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<sst xmlns="http://schemas.openxmlformats.org/spreadsheetml/2006/main" count="316" uniqueCount="274">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</sst>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Protection="1">
      <alignment/>
      <protection/>
    </xf>
    <xf numFmtId="0" fontId="23" fillId="0" borderId="14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 applyProtection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4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6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23" fillId="0" borderId="30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1" xfId="0" applyFont="1" applyBorder="1" applyAlignment="1" applyProtection="1">
      <alignment vertic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left" vertical="center" wrapText="1" indent="1"/>
      <protection/>
    </xf>
    <xf numFmtId="0" fontId="23" fillId="0" borderId="15" xfId="68" applyFont="1" applyFill="1" applyBorder="1" applyAlignment="1" applyProtection="1">
      <alignment vertical="center" wrapText="1"/>
      <protection/>
    </xf>
    <xf numFmtId="164" fontId="23" fillId="0" borderId="13" xfId="68" applyNumberFormat="1" applyFont="1" applyFill="1" applyBorder="1" applyAlignment="1" applyProtection="1">
      <alignment horizontal="center" vertical="center" wrapText="1"/>
      <protection/>
    </xf>
    <xf numFmtId="164" fontId="23" fillId="0" borderId="3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8" applyFont="1" applyFill="1" applyBorder="1" applyAlignment="1" applyProtection="1">
      <alignment horizontal="left" vertical="center" wrapText="1" indent="1"/>
      <protection/>
    </xf>
    <xf numFmtId="164" fontId="26" fillId="0" borderId="20" xfId="68" applyNumberFormat="1" applyFont="1" applyFill="1" applyBorder="1" applyAlignment="1" applyProtection="1">
      <alignment horizontal="center" vertical="center" wrapText="1"/>
      <protection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8" applyFont="1" applyFill="1" applyBorder="1" applyAlignment="1" applyProtection="1">
      <alignment horizontal="left" vertical="center" wrapText="1" indent="1"/>
      <protection/>
    </xf>
    <xf numFmtId="164" fontId="26" fillId="0" borderId="24" xfId="68" applyNumberFormat="1" applyFont="1" applyFill="1" applyBorder="1" applyAlignment="1" applyProtection="1">
      <alignment horizontal="center" vertical="center" wrapText="1"/>
      <protection/>
    </xf>
    <xf numFmtId="164" fontId="24" fillId="0" borderId="24" xfId="68" applyNumberFormat="1" applyFont="1" applyFill="1" applyBorder="1" applyAlignment="1" applyProtection="1">
      <alignment horizontal="center" vertical="center" wrapText="1"/>
      <protection/>
    </xf>
    <xf numFmtId="164" fontId="28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8" applyFont="1" applyFill="1" applyBorder="1" applyAlignment="1" applyProtection="1">
      <alignment horizontal="lef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6"/>
      <protection/>
    </xf>
    <xf numFmtId="0" fontId="24" fillId="0" borderId="23" xfId="68" applyFont="1" applyFill="1" applyBorder="1" applyAlignment="1" applyProtection="1">
      <alignment horizontal="left" indent="6"/>
      <protection/>
    </xf>
    <xf numFmtId="0" fontId="24" fillId="0" borderId="23" xfId="68" applyFont="1" applyFill="1" applyBorder="1" applyAlignment="1" applyProtection="1">
      <alignment horizontal="left" vertical="center" wrapText="1" indent="6"/>
      <protection/>
    </xf>
    <xf numFmtId="49" fontId="24" fillId="0" borderId="40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8" applyFont="1" applyFill="1" applyBorder="1" applyAlignment="1" applyProtection="1">
      <alignment horizontal="left" vertical="center" wrapText="1" indent="7"/>
      <protection/>
    </xf>
    <xf numFmtId="164" fontId="26" fillId="0" borderId="28" xfId="68" applyNumberFormat="1" applyFont="1" applyFill="1" applyBorder="1" applyAlignment="1" applyProtection="1">
      <alignment horizontal="center" vertical="center" wrapText="1"/>
      <protection/>
    </xf>
    <xf numFmtId="164" fontId="24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8" applyFont="1" applyFill="1" applyBorder="1" applyAlignment="1" applyProtection="1">
      <alignment horizontal="left" vertical="center" wrapText="1" indent="1"/>
      <protection/>
    </xf>
    <xf numFmtId="0" fontId="23" fillId="0" borderId="32" xfId="68" applyFont="1" applyFill="1" applyBorder="1" applyAlignment="1" applyProtection="1">
      <alignment vertical="center" wrapText="1"/>
      <protection/>
    </xf>
    <xf numFmtId="164" fontId="23" fillId="0" borderId="30" xfId="68" applyNumberFormat="1" applyFont="1" applyFill="1" applyBorder="1" applyAlignment="1" applyProtection="1">
      <alignment horizontal="right" vertical="center" wrapText="1" indent="1"/>
      <protection/>
    </xf>
    <xf numFmtId="164" fontId="28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8" applyFont="1" applyFill="1" applyBorder="1" applyAlignment="1" applyProtection="1">
      <alignment horizontal="left" vertical="center" wrapText="1" indent="1"/>
      <protection/>
    </xf>
    <xf numFmtId="164" fontId="2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8" applyFont="1" applyFill="1" applyBorder="1" applyAlignment="1" applyProtection="1">
      <alignment horizontal="left" vertical="center" wrapText="1" indent="6"/>
      <protection/>
    </xf>
    <xf numFmtId="164" fontId="24" fillId="0" borderId="28" xfId="68" applyNumberFormat="1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4" fillId="0" borderId="20" xfId="68" applyNumberFormat="1" applyFont="1" applyFill="1" applyBorder="1" applyAlignment="1" applyProtection="1">
      <alignment horizontal="center" vertical="center" wrapText="1"/>
      <protection/>
    </xf>
    <xf numFmtId="164" fontId="24" fillId="0" borderId="13" xfId="68" applyNumberFormat="1" applyFont="1" applyFill="1" applyBorder="1" applyAlignment="1" applyProtection="1">
      <alignment horizontal="center" vertical="center" wrapText="1"/>
      <protection/>
    </xf>
    <xf numFmtId="0" fontId="24" fillId="0" borderId="19" xfId="68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7" fillId="0" borderId="31" xfId="0" applyFont="1" applyBorder="1" applyAlignment="1" applyProtection="1">
      <alignment horizontal="left" vertical="center" wrapText="1" inden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0" fontId="23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9"/>
  <sheetViews>
    <sheetView tabSelected="1" zoomScaleSheetLayoutView="100" zoomScalePageLayoutView="0" workbookViewId="0" topLeftCell="B106">
      <selection activeCell="I126" sqref="I126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20" customWidth="1"/>
    <col min="4" max="4" width="19.375" style="2" hidden="1" customWidth="1"/>
    <col min="5" max="5" width="13.375" style="2" hidden="1" customWidth="1"/>
    <col min="6" max="6" width="15.375" style="2" hidden="1" customWidth="1"/>
    <col min="7" max="7" width="10.625" style="2" customWidth="1"/>
    <col min="8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>SUM(C6:C11)</f>
        <v>1239018195</v>
      </c>
      <c r="D5" s="16">
        <f>+D6+D7+D8+D9+D10+D11</f>
        <v>1190343400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>SUM(D6:F6)+905743</f>
        <v>228418282</v>
      </c>
      <c r="D6" s="22">
        <v>227512539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>SUM(D7:F7)+10461768</f>
        <v>228569062</v>
      </c>
      <c r="D7" s="27">
        <v>218107294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9">
        <f>SUM(D8:F8)-35761000</f>
        <v>505153065</v>
      </c>
      <c r="D8" s="27">
        <f>121200000+67844165+118423160+15562200+177597260+4526280+11511000+24250000</f>
        <v>540914065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9">
        <f>SUM(D9:F9)-4412740</f>
        <v>25891320</v>
      </c>
      <c r="D9" s="27">
        <f>4412740+15262320+10629000</f>
        <v>30304060</v>
      </c>
      <c r="E9" s="28"/>
      <c r="F9" s="28"/>
    </row>
    <row r="10" spans="1:6" s="18" customFormat="1" ht="12" customHeight="1">
      <c r="A10" s="24" t="s">
        <v>22</v>
      </c>
      <c r="B10" s="30" t="s">
        <v>23</v>
      </c>
      <c r="C10" s="26">
        <f>SUM(D10:F10)+23885805+49094027+4501192</f>
        <v>250986466</v>
      </c>
      <c r="D10" s="27">
        <f>3551000+1060845+168707597+58000+128000</f>
        <v>173505442</v>
      </c>
      <c r="E10" s="28"/>
      <c r="F10" s="28"/>
    </row>
    <row r="11" spans="1:6" s="18" customFormat="1" ht="12" customHeight="1" thickBot="1">
      <c r="A11" s="31" t="s">
        <v>24</v>
      </c>
      <c r="B11" s="32" t="s">
        <v>25</v>
      </c>
      <c r="C11" s="33">
        <f>SUM(D11:F11)</f>
        <v>0</v>
      </c>
      <c r="D11" s="34"/>
      <c r="E11" s="35"/>
      <c r="F11" s="35"/>
    </row>
    <row r="12" spans="1:6" s="18" customFormat="1" ht="12" customHeight="1" thickBot="1">
      <c r="A12" s="13" t="s">
        <v>26</v>
      </c>
      <c r="B12" s="36" t="s">
        <v>27</v>
      </c>
      <c r="C12" s="15">
        <f>SUM(C13:C17)</f>
        <v>604827092</v>
      </c>
      <c r="D12" s="16">
        <f>+D13+D14+D15+D16+D17</f>
        <v>178283000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28</v>
      </c>
      <c r="B13" s="20" t="s">
        <v>29</v>
      </c>
      <c r="C13" s="21">
        <f>SUM(D13:F13)</f>
        <v>0</v>
      </c>
      <c r="D13" s="37"/>
      <c r="E13" s="38"/>
      <c r="F13" s="38"/>
    </row>
    <row r="14" spans="1:6" s="18" customFormat="1" ht="12" customHeight="1">
      <c r="A14" s="24" t="s">
        <v>30</v>
      </c>
      <c r="B14" s="25" t="s">
        <v>31</v>
      </c>
      <c r="C14" s="29">
        <f>SUM(D14:F14)</f>
        <v>0</v>
      </c>
      <c r="D14" s="34"/>
      <c r="E14" s="35"/>
      <c r="F14" s="35"/>
    </row>
    <row r="15" spans="1:6" s="18" customFormat="1" ht="12" customHeight="1">
      <c r="A15" s="24" t="s">
        <v>32</v>
      </c>
      <c r="B15" s="25" t="s">
        <v>33</v>
      </c>
      <c r="C15" s="29">
        <f>SUM(D15:F15)</f>
        <v>0</v>
      </c>
      <c r="D15" s="34"/>
      <c r="E15" s="35"/>
      <c r="F15" s="35"/>
    </row>
    <row r="16" spans="1:6" s="18" customFormat="1" ht="12" customHeight="1">
      <c r="A16" s="24" t="s">
        <v>34</v>
      </c>
      <c r="B16" s="25" t="s">
        <v>35</v>
      </c>
      <c r="C16" s="29">
        <f>SUM(D16:F16)</f>
        <v>0</v>
      </c>
      <c r="D16" s="34"/>
      <c r="E16" s="35"/>
      <c r="F16" s="35"/>
    </row>
    <row r="17" spans="1:6" s="18" customFormat="1" ht="12" customHeight="1">
      <c r="A17" s="24" t="s">
        <v>36</v>
      </c>
      <c r="B17" s="25" t="s">
        <v>37</v>
      </c>
      <c r="C17" s="29">
        <f>SUM(D17:F17)+326152588+94906504</f>
        <v>604827092</v>
      </c>
      <c r="D17" s="39">
        <f>2285000+210000+110446000+65342000</f>
        <v>178283000</v>
      </c>
      <c r="E17" s="40"/>
      <c r="F17" s="28">
        <v>5485000</v>
      </c>
    </row>
    <row r="18" spans="1:6" s="18" customFormat="1" ht="12" customHeight="1" thickBot="1">
      <c r="A18" s="31" t="s">
        <v>38</v>
      </c>
      <c r="B18" s="32" t="s">
        <v>39</v>
      </c>
      <c r="C18" s="33">
        <f>SUM(D18:F18)</f>
        <v>0</v>
      </c>
      <c r="D18" s="41"/>
      <c r="E18" s="42"/>
      <c r="F18" s="42"/>
    </row>
    <row r="19" spans="1:6" s="18" customFormat="1" ht="12" customHeight="1" thickBot="1">
      <c r="A19" s="13" t="s">
        <v>40</v>
      </c>
      <c r="B19" s="14" t="s">
        <v>41</v>
      </c>
      <c r="C19" s="15">
        <f>SUM(C20:C24)</f>
        <v>18976576</v>
      </c>
      <c r="D19" s="16">
        <f>+D20+D21+D22+D23+D24</f>
        <v>3797300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>SUM(D20:F20)</f>
        <v>0</v>
      </c>
      <c r="D20" s="43"/>
      <c r="E20" s="44"/>
      <c r="F20" s="44"/>
    </row>
    <row r="21" spans="1:6" s="18" customFormat="1" ht="12" customHeight="1">
      <c r="A21" s="24" t="s">
        <v>44</v>
      </c>
      <c r="B21" s="25" t="s">
        <v>45</v>
      </c>
      <c r="C21" s="29">
        <f>SUM(D21:F21)</f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9">
        <f>SUM(D22:F22)</f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9">
        <f>SUM(D23:F23)</f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9">
        <f>SUM(D24:F24)+15179276</f>
        <v>18976576</v>
      </c>
      <c r="D24" s="27">
        <f>3797300</f>
        <v>3797300</v>
      </c>
      <c r="E24" s="28"/>
      <c r="F24" s="28"/>
    </row>
    <row r="25" spans="1:6" s="18" customFormat="1" ht="12" customHeight="1" thickBot="1">
      <c r="A25" s="31" t="s">
        <v>52</v>
      </c>
      <c r="B25" s="45" t="s">
        <v>53</v>
      </c>
      <c r="C25" s="33">
        <f>SUM(D25:F25)</f>
        <v>3797300</v>
      </c>
      <c r="D25" s="41">
        <v>3797300</v>
      </c>
      <c r="E25" s="42"/>
      <c r="F25" s="42"/>
    </row>
    <row r="26" spans="1:6" s="18" customFormat="1" ht="12" customHeight="1" thickBot="1">
      <c r="A26" s="13" t="s">
        <v>54</v>
      </c>
      <c r="B26" s="14" t="s">
        <v>55</v>
      </c>
      <c r="C26" s="15">
        <f>SUM(C27)+SUM(C30:C33)</f>
        <v>319390000</v>
      </c>
      <c r="D26" s="46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>SUM(C28:C29)</f>
        <v>282830000</v>
      </c>
      <c r="D27" s="47">
        <f>SUM(D28:D30)</f>
        <v>282830000</v>
      </c>
      <c r="E27" s="48"/>
      <c r="F27" s="48"/>
    </row>
    <row r="28" spans="1:6" s="18" customFormat="1" ht="12" customHeight="1">
      <c r="A28" s="24" t="s">
        <v>58</v>
      </c>
      <c r="B28" s="25" t="s">
        <v>59</v>
      </c>
      <c r="C28" s="29">
        <f>SUM(D28:F28)</f>
        <v>78990000</v>
      </c>
      <c r="D28" s="34">
        <f>8990000+70000000</f>
        <v>78990000</v>
      </c>
      <c r="E28" s="35"/>
      <c r="F28" s="35"/>
    </row>
    <row r="29" spans="1:6" s="18" customFormat="1" ht="12" customHeight="1">
      <c r="A29" s="24" t="s">
        <v>60</v>
      </c>
      <c r="B29" s="25" t="s">
        <v>61</v>
      </c>
      <c r="C29" s="29">
        <f>SUM(D29:F29)</f>
        <v>203840000</v>
      </c>
      <c r="D29" s="34">
        <v>203840000</v>
      </c>
      <c r="E29" s="35"/>
      <c r="F29" s="35"/>
    </row>
    <row r="30" spans="1:6" s="18" customFormat="1" ht="12" customHeight="1">
      <c r="A30" s="24" t="s">
        <v>62</v>
      </c>
      <c r="B30" s="25" t="s">
        <v>63</v>
      </c>
      <c r="C30" s="29">
        <f>SUM(D30:F30)</f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9">
        <f>SUM(D31:F31)</f>
        <v>27000000</v>
      </c>
      <c r="D31" s="34">
        <f>27000000</f>
        <v>27000000</v>
      </c>
      <c r="E31" s="35"/>
      <c r="F31" s="35"/>
    </row>
    <row r="32" spans="1:6" s="18" customFormat="1" ht="12" customHeight="1">
      <c r="A32" s="24" t="s">
        <v>66</v>
      </c>
      <c r="B32" s="25" t="s">
        <v>67</v>
      </c>
      <c r="C32" s="29">
        <f>SUM(D32:F32)-4000000</f>
        <v>60000</v>
      </c>
      <c r="D32" s="34">
        <v>4060000</v>
      </c>
      <c r="E32" s="35"/>
      <c r="F32" s="35"/>
    </row>
    <row r="33" spans="1:6" s="18" customFormat="1" ht="12" customHeight="1" thickBot="1">
      <c r="A33" s="31" t="s">
        <v>68</v>
      </c>
      <c r="B33" s="45" t="s">
        <v>69</v>
      </c>
      <c r="C33" s="33">
        <f>SUM(D33:F33)+4000000</f>
        <v>9500000</v>
      </c>
      <c r="D33" s="41">
        <v>5500000</v>
      </c>
      <c r="E33" s="42"/>
      <c r="F33" s="42"/>
    </row>
    <row r="34" spans="1:6" s="18" customFormat="1" ht="12" customHeight="1" thickBot="1">
      <c r="A34" s="13" t="s">
        <v>70</v>
      </c>
      <c r="B34" s="14" t="s">
        <v>71</v>
      </c>
      <c r="C34" s="15">
        <f>SUM(C35:C45)</f>
        <v>448324678</v>
      </c>
      <c r="D34" s="16">
        <f>SUM(D35:D45)</f>
        <v>48800000</v>
      </c>
      <c r="E34" s="17">
        <f>SUM(E35:E45)</f>
        <v>9416500</v>
      </c>
      <c r="F34" s="17">
        <f>SUM(F35:F45)</f>
        <v>389838178</v>
      </c>
    </row>
    <row r="35" spans="1:6" s="18" customFormat="1" ht="12" customHeight="1">
      <c r="A35" s="19" t="s">
        <v>72</v>
      </c>
      <c r="B35" s="20" t="s">
        <v>73</v>
      </c>
      <c r="C35" s="21">
        <f>SUM(D35:F35)</f>
        <v>13087000</v>
      </c>
      <c r="D35" s="22">
        <f>3937000+4000000+5000000</f>
        <v>12937000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9">
        <f>SUM(D36:F36)</f>
        <v>87991338</v>
      </c>
      <c r="D36" s="27">
        <f>100000+12004000+160000</f>
        <v>12264000</v>
      </c>
      <c r="E36" s="28">
        <v>7533500</v>
      </c>
      <c r="F36" s="23">
        <v>68193838</v>
      </c>
    </row>
    <row r="37" spans="1:6" s="18" customFormat="1" ht="12" customHeight="1">
      <c r="A37" s="24" t="s">
        <v>76</v>
      </c>
      <c r="B37" s="25" t="s">
        <v>77</v>
      </c>
      <c r="C37" s="29">
        <f>SUM(D37:F37)</f>
        <v>95623340</v>
      </c>
      <c r="D37" s="27">
        <f>8458000+947000</f>
        <v>9405000</v>
      </c>
      <c r="E37" s="28">
        <v>500000</v>
      </c>
      <c r="F37" s="23">
        <v>85718340</v>
      </c>
    </row>
    <row r="38" spans="1:6" s="18" customFormat="1" ht="12" customHeight="1">
      <c r="A38" s="24" t="s">
        <v>78</v>
      </c>
      <c r="B38" s="25" t="s">
        <v>79</v>
      </c>
      <c r="C38" s="29">
        <f>SUM(D38:F38)</f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9">
        <f>SUM(D39:F39)</f>
        <v>182811402</v>
      </c>
      <c r="D39" s="27"/>
      <c r="E39" s="28"/>
      <c r="F39" s="23">
        <v>182811402</v>
      </c>
    </row>
    <row r="40" spans="1:6" s="18" customFormat="1" ht="12" customHeight="1">
      <c r="A40" s="24" t="s">
        <v>82</v>
      </c>
      <c r="B40" s="25" t="s">
        <v>83</v>
      </c>
      <c r="C40" s="29">
        <f>SUM(D40:F40)+270000</f>
        <v>46003598</v>
      </c>
      <c r="D40" s="27">
        <f>1063000+3242000+5853000+44000+378000+600000+1350000</f>
        <v>12530000</v>
      </c>
      <c r="E40" s="28">
        <v>1283000</v>
      </c>
      <c r="F40" s="23">
        <v>31920598</v>
      </c>
    </row>
    <row r="41" spans="1:6" s="18" customFormat="1" ht="12" customHeight="1">
      <c r="A41" s="24" t="s">
        <v>84</v>
      </c>
      <c r="B41" s="25" t="s">
        <v>85</v>
      </c>
      <c r="C41" s="29">
        <f>SUM(D41:F41)</f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9">
        <f>SUM(D42:F42)</f>
        <v>40000</v>
      </c>
      <c r="D42" s="27">
        <v>30000</v>
      </c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9">
        <f>SUM(D43:F43)</f>
        <v>0</v>
      </c>
      <c r="D43" s="27"/>
      <c r="E43" s="28"/>
      <c r="F43" s="23"/>
    </row>
    <row r="44" spans="1:6" s="18" customFormat="1" ht="12" customHeight="1">
      <c r="A44" s="31" t="s">
        <v>90</v>
      </c>
      <c r="B44" s="45" t="s">
        <v>91</v>
      </c>
      <c r="C44" s="29">
        <f>SUM(D44:F44)</f>
        <v>500000</v>
      </c>
      <c r="D44" s="41">
        <f>500000</f>
        <v>500000</v>
      </c>
      <c r="E44" s="42"/>
      <c r="F44" s="23"/>
    </row>
    <row r="45" spans="1:6" s="18" customFormat="1" ht="12" customHeight="1" thickBot="1">
      <c r="A45" s="31" t="s">
        <v>92</v>
      </c>
      <c r="B45" s="32" t="s">
        <v>93</v>
      </c>
      <c r="C45" s="33">
        <f>SUM(D45:F45)</f>
        <v>804000</v>
      </c>
      <c r="D45" s="41">
        <f>704000</f>
        <v>704000</v>
      </c>
      <c r="E45" s="42">
        <v>100000</v>
      </c>
      <c r="F45" s="23"/>
    </row>
    <row r="46" spans="1:6" s="18" customFormat="1" ht="12" customHeight="1" thickBot="1">
      <c r="A46" s="13" t="s">
        <v>94</v>
      </c>
      <c r="B46" s="14" t="s">
        <v>95</v>
      </c>
      <c r="C46" s="15">
        <f>SUM(C47:C51)</f>
        <v>47179000</v>
      </c>
      <c r="D46" s="16">
        <f>SUM(D47:D51)</f>
        <v>25179000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>SUM(D47:F47)</f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9">
        <f>SUM(D48:F48)+22000000</f>
        <v>47179000</v>
      </c>
      <c r="D48" s="27">
        <f>25179000</f>
        <v>25179000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9">
        <f>SUM(D49:F49)</f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9">
        <f>SUM(D50:F50)</f>
        <v>0</v>
      </c>
      <c r="D50" s="27"/>
      <c r="E50" s="28"/>
      <c r="F50" s="28"/>
    </row>
    <row r="51" spans="1:6" s="18" customFormat="1" ht="12" customHeight="1" thickBot="1">
      <c r="A51" s="31" t="s">
        <v>104</v>
      </c>
      <c r="B51" s="32" t="s">
        <v>105</v>
      </c>
      <c r="C51" s="33">
        <f>SUM(D51:F51)</f>
        <v>0</v>
      </c>
      <c r="D51" s="41"/>
      <c r="E51" s="42"/>
      <c r="F51" s="42"/>
    </row>
    <row r="52" spans="1:6" s="18" customFormat="1" ht="12" customHeight="1" thickBot="1">
      <c r="A52" s="13" t="s">
        <v>106</v>
      </c>
      <c r="B52" s="14" t="s">
        <v>107</v>
      </c>
      <c r="C52" s="15">
        <f>SUM(C53:C55)</f>
        <v>6024000</v>
      </c>
      <c r="D52" s="16">
        <f>SUM(D53:D55)</f>
        <v>6024000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>SUM(D53:F53)</f>
        <v>0</v>
      </c>
      <c r="D53" s="37"/>
      <c r="E53" s="38"/>
      <c r="F53" s="38"/>
    </row>
    <row r="54" spans="1:6" s="18" customFormat="1" ht="12" customHeight="1">
      <c r="A54" s="24" t="s">
        <v>110</v>
      </c>
      <c r="B54" s="25" t="s">
        <v>111</v>
      </c>
      <c r="C54" s="29">
        <f>SUM(D54:F54)</f>
        <v>1949000</v>
      </c>
      <c r="D54" s="27">
        <f>383000+1566000</f>
        <v>1949000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9">
        <f>SUM(D55:F55)</f>
        <v>4075000</v>
      </c>
      <c r="D55" s="27">
        <f>4075000</f>
        <v>4075000</v>
      </c>
      <c r="E55" s="28"/>
      <c r="F55" s="28"/>
    </row>
    <row r="56" spans="1:6" s="18" customFormat="1" ht="12" customHeight="1" thickBot="1">
      <c r="A56" s="31" t="s">
        <v>114</v>
      </c>
      <c r="B56" s="32" t="s">
        <v>115</v>
      </c>
      <c r="C56" s="33">
        <f>SUM(D56:F56)</f>
        <v>0</v>
      </c>
      <c r="D56" s="49"/>
      <c r="E56" s="50"/>
      <c r="F56" s="50"/>
    </row>
    <row r="57" spans="1:6" s="18" customFormat="1" ht="12" customHeight="1" thickBot="1">
      <c r="A57" s="13" t="s">
        <v>116</v>
      </c>
      <c r="B57" s="36" t="s">
        <v>117</v>
      </c>
      <c r="C57" s="15">
        <f>SUM(C58:C60)</f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>SUM(D58:F58)</f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9">
        <f>SUM(D59:F59)</f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9">
        <f>SUM(D60:F60)</f>
        <v>0</v>
      </c>
      <c r="D60" s="27"/>
      <c r="E60" s="28"/>
      <c r="F60" s="28"/>
    </row>
    <row r="61" spans="1:6" s="18" customFormat="1" ht="12" customHeight="1" thickBot="1">
      <c r="A61" s="31" t="s">
        <v>124</v>
      </c>
      <c r="B61" s="32" t="s">
        <v>125</v>
      </c>
      <c r="C61" s="33">
        <f>SUM(D61:F61)</f>
        <v>0</v>
      </c>
      <c r="D61" s="27"/>
      <c r="E61" s="28"/>
      <c r="F61" s="28"/>
    </row>
    <row r="62" spans="1:6" s="18" customFormat="1" ht="12" customHeight="1" thickBot="1">
      <c r="A62" s="51" t="s">
        <v>126</v>
      </c>
      <c r="B62" s="14" t="s">
        <v>127</v>
      </c>
      <c r="C62" s="15">
        <f>C57+C52+C46+C34+C26+C19+C12+C5</f>
        <v>2683739541</v>
      </c>
      <c r="D62" s="46">
        <f>+D5+D12+D19+D26+D34+D46+D52+D57</f>
        <v>1771816700</v>
      </c>
      <c r="E62" s="15">
        <f>+E5+E12+E19+E26+E34+E46+E52+E57</f>
        <v>9416500</v>
      </c>
      <c r="F62" s="15">
        <f>+F5+F12+F19+F26+F34+F46+F52+F57</f>
        <v>395323178</v>
      </c>
    </row>
    <row r="63" spans="1:6" s="18" customFormat="1" ht="12" customHeight="1" thickBot="1">
      <c r="A63" s="52" t="s">
        <v>128</v>
      </c>
      <c r="B63" s="36" t="s">
        <v>129</v>
      </c>
      <c r="C63" s="53">
        <f>SUM(C64:C66)</f>
        <v>144100000</v>
      </c>
      <c r="D63" s="16">
        <f>SUM(D64:D66)</f>
        <v>144100000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>SUM(D64:F64)</f>
        <v>44100000</v>
      </c>
      <c r="D64" s="27">
        <v>44100000</v>
      </c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9">
        <f>SUM(D65:F65)</f>
        <v>100000000</v>
      </c>
      <c r="D65" s="27">
        <v>100000000</v>
      </c>
      <c r="E65" s="28"/>
      <c r="F65" s="28"/>
    </row>
    <row r="66" spans="1:6" s="18" customFormat="1" ht="12" customHeight="1" thickBot="1">
      <c r="A66" s="31" t="s">
        <v>134</v>
      </c>
      <c r="B66" s="54" t="s">
        <v>135</v>
      </c>
      <c r="C66" s="33">
        <f>SUM(D66:F66)</f>
        <v>0</v>
      </c>
      <c r="D66" s="27"/>
      <c r="E66" s="28"/>
      <c r="F66" s="28"/>
    </row>
    <row r="67" spans="1:6" s="18" customFormat="1" ht="12" customHeight="1" thickBot="1">
      <c r="A67" s="52" t="s">
        <v>136</v>
      </c>
      <c r="B67" s="36" t="s">
        <v>137</v>
      </c>
      <c r="C67" s="55">
        <f>SUM(C68:C71)</f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>SUM(D68:F68)</f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9">
        <f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9">
        <f>SUM(D70:F70)</f>
        <v>0</v>
      </c>
      <c r="D70" s="27"/>
      <c r="E70" s="28"/>
      <c r="F70" s="28"/>
    </row>
    <row r="71" spans="1:6" s="18" customFormat="1" ht="12" customHeight="1" thickBot="1">
      <c r="A71" s="31" t="s">
        <v>144</v>
      </c>
      <c r="B71" s="32" t="s">
        <v>145</v>
      </c>
      <c r="C71" s="33">
        <f>SUM(D71:F71)</f>
        <v>0</v>
      </c>
      <c r="D71" s="27"/>
      <c r="E71" s="28"/>
      <c r="F71" s="28"/>
    </row>
    <row r="72" spans="1:6" s="18" customFormat="1" ht="12" customHeight="1" thickBot="1">
      <c r="A72" s="52" t="s">
        <v>146</v>
      </c>
      <c r="B72" s="36" t="s">
        <v>147</v>
      </c>
      <c r="C72" s="15">
        <f>SUM(C73:C74)</f>
        <v>292999415</v>
      </c>
      <c r="D72" s="16">
        <f>SUM(D73:D74)</f>
        <v>289331423</v>
      </c>
      <c r="E72" s="17">
        <f>SUM(E73:E74)</f>
        <v>447404</v>
      </c>
      <c r="F72" s="17">
        <f>SUM(F73:F74)</f>
        <v>3220588</v>
      </c>
    </row>
    <row r="73" spans="1:6" s="18" customFormat="1" ht="12" customHeight="1">
      <c r="A73" s="19" t="s">
        <v>148</v>
      </c>
      <c r="B73" s="20" t="s">
        <v>149</v>
      </c>
      <c r="C73" s="21">
        <f>SUM(D73:F73)</f>
        <v>292999415</v>
      </c>
      <c r="D73" s="27">
        <v>289331423</v>
      </c>
      <c r="E73" s="28">
        <v>447404</v>
      </c>
      <c r="F73" s="28">
        <v>3220588</v>
      </c>
    </row>
    <row r="74" spans="1:6" s="18" customFormat="1" ht="12" customHeight="1" thickBot="1">
      <c r="A74" s="31" t="s">
        <v>150</v>
      </c>
      <c r="B74" s="32" t="s">
        <v>151</v>
      </c>
      <c r="C74" s="33">
        <f>SUM(D74:F74)</f>
        <v>0</v>
      </c>
      <c r="D74" s="27"/>
      <c r="E74" s="28"/>
      <c r="F74" s="28"/>
    </row>
    <row r="75" spans="1:6" s="18" customFormat="1" ht="12" customHeight="1" thickBot="1">
      <c r="A75" s="52" t="s">
        <v>152</v>
      </c>
      <c r="B75" s="36" t="s">
        <v>153</v>
      </c>
      <c r="C75" s="55">
        <f>SUM(C76:C78)</f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>SUM(D76:F76)</f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9">
        <f>SUM(D77:F77)</f>
        <v>0</v>
      </c>
      <c r="D77" s="27"/>
      <c r="E77" s="28"/>
      <c r="F77" s="28"/>
    </row>
    <row r="78" spans="1:6" s="18" customFormat="1" ht="12" customHeight="1" thickBot="1">
      <c r="A78" s="31" t="s">
        <v>158</v>
      </c>
      <c r="B78" s="32" t="s">
        <v>159</v>
      </c>
      <c r="C78" s="33">
        <f>SUM(D78:F78)</f>
        <v>0</v>
      </c>
      <c r="D78" s="27"/>
      <c r="E78" s="28"/>
      <c r="F78" s="28"/>
    </row>
    <row r="79" spans="1:6" s="18" customFormat="1" ht="12" customHeight="1" thickBot="1">
      <c r="A79" s="52" t="s">
        <v>160</v>
      </c>
      <c r="B79" s="36" t="s">
        <v>161</v>
      </c>
      <c r="C79" s="55">
        <f>SUM(C80:C83)</f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6" t="s">
        <v>162</v>
      </c>
      <c r="B80" s="20" t="s">
        <v>163</v>
      </c>
      <c r="C80" s="21">
        <f aca="true" t="shared" si="0" ref="C80:C85">SUM(D80:F80)</f>
        <v>0</v>
      </c>
      <c r="D80" s="27"/>
      <c r="E80" s="28"/>
      <c r="F80" s="28"/>
    </row>
    <row r="81" spans="1:6" s="18" customFormat="1" ht="12" customHeight="1">
      <c r="A81" s="57" t="s">
        <v>164</v>
      </c>
      <c r="B81" s="25" t="s">
        <v>165</v>
      </c>
      <c r="C81" s="29">
        <f t="shared" si="0"/>
        <v>0</v>
      </c>
      <c r="D81" s="27"/>
      <c r="E81" s="28"/>
      <c r="F81" s="28"/>
    </row>
    <row r="82" spans="1:6" s="18" customFormat="1" ht="12" customHeight="1">
      <c r="A82" s="57" t="s">
        <v>166</v>
      </c>
      <c r="B82" s="25" t="s">
        <v>167</v>
      </c>
      <c r="C82" s="29">
        <f t="shared" si="0"/>
        <v>0</v>
      </c>
      <c r="D82" s="27"/>
      <c r="E82" s="28"/>
      <c r="F82" s="28"/>
    </row>
    <row r="83" spans="1:6" s="18" customFormat="1" ht="12" customHeight="1" thickBot="1">
      <c r="A83" s="58" t="s">
        <v>168</v>
      </c>
      <c r="B83" s="32" t="s">
        <v>169</v>
      </c>
      <c r="C83" s="33">
        <f t="shared" si="0"/>
        <v>0</v>
      </c>
      <c r="D83" s="27"/>
      <c r="E83" s="28"/>
      <c r="F83" s="28"/>
    </row>
    <row r="84" spans="1:6" s="18" customFormat="1" ht="12" customHeight="1" thickBot="1">
      <c r="A84" s="52" t="s">
        <v>170</v>
      </c>
      <c r="B84" s="36" t="s">
        <v>171</v>
      </c>
      <c r="C84" s="59">
        <f t="shared" si="0"/>
        <v>0</v>
      </c>
      <c r="D84" s="60"/>
      <c r="E84" s="61"/>
      <c r="F84" s="61"/>
    </row>
    <row r="85" spans="1:6" s="18" customFormat="1" ht="13.5" customHeight="1" thickBot="1">
      <c r="A85" s="52" t="s">
        <v>172</v>
      </c>
      <c r="B85" s="36" t="s">
        <v>173</v>
      </c>
      <c r="C85" s="15">
        <f t="shared" si="0"/>
        <v>0</v>
      </c>
      <c r="D85" s="60"/>
      <c r="E85" s="61"/>
      <c r="F85" s="61"/>
    </row>
    <row r="86" spans="1:6" s="18" customFormat="1" ht="15.75" customHeight="1" thickBot="1">
      <c r="A86" s="52" t="s">
        <v>174</v>
      </c>
      <c r="B86" s="62" t="s">
        <v>175</v>
      </c>
      <c r="C86" s="15">
        <f>C85+C84+C79+C75+C72+C67+C63</f>
        <v>437099415</v>
      </c>
      <c r="D86" s="46">
        <f>+D63+D67+D72+D75+D79+D85+D84</f>
        <v>433431423</v>
      </c>
      <c r="E86" s="15">
        <f>+E63+E67+E72+E75+E79+E85+E84</f>
        <v>447404</v>
      </c>
      <c r="F86" s="15">
        <f>+F63+F67+F72+F75+F79+F85+F84</f>
        <v>3220588</v>
      </c>
    </row>
    <row r="87" spans="1:6" s="18" customFormat="1" ht="16.5" customHeight="1" thickBot="1">
      <c r="A87" s="63" t="s">
        <v>176</v>
      </c>
      <c r="B87" s="64" t="s">
        <v>177</v>
      </c>
      <c r="C87" s="15">
        <f>C62+C86</f>
        <v>3120838956</v>
      </c>
      <c r="D87" s="46">
        <f>+D62+D86</f>
        <v>2205248123</v>
      </c>
      <c r="E87" s="15">
        <f>+E62+E86</f>
        <v>9863904</v>
      </c>
      <c r="F87" s="15">
        <f>+F62+F86</f>
        <v>398543766</v>
      </c>
    </row>
    <row r="88" spans="1:3" s="18" customFormat="1" ht="83.25" customHeight="1">
      <c r="A88" s="65"/>
      <c r="B88" s="66"/>
      <c r="C88" s="67"/>
    </row>
    <row r="89" spans="1:3" ht="16.5" customHeight="1">
      <c r="A89" s="1" t="s">
        <v>178</v>
      </c>
      <c r="B89" s="1"/>
      <c r="C89" s="1"/>
    </row>
    <row r="90" spans="1:3" s="70" customFormat="1" ht="16.5" customHeight="1" thickBot="1">
      <c r="A90" s="68" t="s">
        <v>179</v>
      </c>
      <c r="B90" s="68"/>
      <c r="C90" s="69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1" t="s">
        <v>9</v>
      </c>
      <c r="B92" s="72" t="s">
        <v>10</v>
      </c>
      <c r="C92" s="11" t="s">
        <v>11</v>
      </c>
    </row>
    <row r="93" spans="1:6" ht="12" customHeight="1" thickBot="1">
      <c r="A93" s="73" t="s">
        <v>12</v>
      </c>
      <c r="B93" s="74" t="s">
        <v>181</v>
      </c>
      <c r="C93" s="75">
        <f>SUM(C94:C98)+SUM(C111)</f>
        <v>2785355588</v>
      </c>
      <c r="D93" s="76">
        <f>+D94+D95+D96+D97+D98+D111</f>
        <v>694146130</v>
      </c>
      <c r="E93" s="77">
        <f>+E94+E95+E96+E97+E98+E111</f>
        <v>223822850</v>
      </c>
      <c r="F93" s="78">
        <f>F94+F95+F96+F97+F98+F111</f>
        <v>1388014694</v>
      </c>
    </row>
    <row r="94" spans="1:6" ht="12" customHeight="1">
      <c r="A94" s="79" t="s">
        <v>14</v>
      </c>
      <c r="B94" s="80" t="s">
        <v>182</v>
      </c>
      <c r="C94" s="81">
        <f>SUM(D94:F94)+252096521+85501355+27232396</f>
        <v>1344140843</v>
      </c>
      <c r="D94" s="82">
        <f>25364000+485000+6010000+3749000+165142000+48000+105000</f>
        <v>200903000</v>
      </c>
      <c r="E94" s="83">
        <v>119212000</v>
      </c>
      <c r="F94" s="84">
        <v>659195571</v>
      </c>
    </row>
    <row r="95" spans="1:6" ht="12" customHeight="1">
      <c r="A95" s="24" t="s">
        <v>16</v>
      </c>
      <c r="B95" s="85" t="s">
        <v>183</v>
      </c>
      <c r="C95" s="86">
        <f>SUM(D95:F95)+28812821+9405149+5800271</f>
        <v>254785602</v>
      </c>
      <c r="D95" s="27">
        <f>5239000+143000+1233000+14000+1652000+19299000+10000+23000</f>
        <v>27613000</v>
      </c>
      <c r="E95" s="28">
        <v>28323500</v>
      </c>
      <c r="F95" s="40">
        <v>154830861</v>
      </c>
    </row>
    <row r="96" spans="1:6" ht="12" customHeight="1">
      <c r="A96" s="24" t="s">
        <v>18</v>
      </c>
      <c r="B96" s="85" t="s">
        <v>184</v>
      </c>
      <c r="C96" s="86">
        <f>SUM(D96:F96)+41579904+1600000+22320920+28158088</f>
        <v>946056354</v>
      </c>
      <c r="D96" s="41">
        <f>11475000+835000+4801000+2722822+944166+8715000+1817000+17736000+735000+300000+8485000+34925000+628800+40773000+3429000+11212000+576000+3351000+1682000+16980000+46750042+1200000+4573000+1350000+376000</f>
        <v>226371830</v>
      </c>
      <c r="E96" s="42">
        <v>52037350</v>
      </c>
      <c r="F96" s="40">
        <v>573988262</v>
      </c>
    </row>
    <row r="97" spans="1:6" ht="12" customHeight="1">
      <c r="A97" s="24" t="s">
        <v>20</v>
      </c>
      <c r="B97" s="85" t="s">
        <v>185</v>
      </c>
      <c r="C97" s="87">
        <f>SUM(D97:F97)</f>
        <v>95230000</v>
      </c>
      <c r="D97" s="41">
        <f>70980000</f>
        <v>70980000</v>
      </c>
      <c r="E97" s="42">
        <v>24250000</v>
      </c>
      <c r="F97" s="88"/>
    </row>
    <row r="98" spans="1:6" ht="12" customHeight="1">
      <c r="A98" s="24" t="s">
        <v>186</v>
      </c>
      <c r="B98" s="89" t="s">
        <v>187</v>
      </c>
      <c r="C98" s="87">
        <f>SUM(D98:F98)+1500+3500000+6600000</f>
        <v>47266500</v>
      </c>
      <c r="D98" s="41">
        <f>SUM(D99:D110)</f>
        <v>37165000</v>
      </c>
      <c r="E98" s="42">
        <f>SUM(E99:E110)</f>
        <v>0</v>
      </c>
      <c r="F98" s="88"/>
    </row>
    <row r="99" spans="1:6" ht="12" customHeight="1">
      <c r="A99" s="24" t="s">
        <v>24</v>
      </c>
      <c r="B99" s="85" t="s">
        <v>188</v>
      </c>
      <c r="C99" s="87">
        <f>SUM(D99:F99)+1500</f>
        <v>1500</v>
      </c>
      <c r="D99" s="41"/>
      <c r="E99" s="42"/>
      <c r="F99" s="88"/>
    </row>
    <row r="100" spans="1:6" ht="12" customHeight="1">
      <c r="A100" s="24" t="s">
        <v>189</v>
      </c>
      <c r="B100" s="90" t="s">
        <v>190</v>
      </c>
      <c r="C100" s="87">
        <f aca="true" t="shared" si="1" ref="C100:C109">SUM(D100:F100)</f>
        <v>0</v>
      </c>
      <c r="D100" s="41"/>
      <c r="E100" s="42"/>
      <c r="F100" s="88"/>
    </row>
    <row r="101" spans="1:6" ht="12" customHeight="1">
      <c r="A101" s="24" t="s">
        <v>191</v>
      </c>
      <c r="B101" s="90" t="s">
        <v>192</v>
      </c>
      <c r="C101" s="87">
        <f t="shared" si="1"/>
        <v>0</v>
      </c>
      <c r="D101" s="41"/>
      <c r="E101" s="42"/>
      <c r="F101" s="88"/>
    </row>
    <row r="102" spans="1:6" ht="12" customHeight="1">
      <c r="A102" s="24" t="s">
        <v>193</v>
      </c>
      <c r="B102" s="91" t="s">
        <v>194</v>
      </c>
      <c r="C102" s="87">
        <f t="shared" si="1"/>
        <v>0</v>
      </c>
      <c r="D102" s="41"/>
      <c r="E102" s="42"/>
      <c r="F102" s="88"/>
    </row>
    <row r="103" spans="1:6" ht="12" customHeight="1">
      <c r="A103" s="24" t="s">
        <v>195</v>
      </c>
      <c r="B103" s="92" t="s">
        <v>196</v>
      </c>
      <c r="C103" s="87">
        <f t="shared" si="1"/>
        <v>0</v>
      </c>
      <c r="D103" s="41"/>
      <c r="E103" s="42"/>
      <c r="F103" s="88"/>
    </row>
    <row r="104" spans="1:6" ht="12" customHeight="1">
      <c r="A104" s="24" t="s">
        <v>197</v>
      </c>
      <c r="B104" s="92" t="s">
        <v>198</v>
      </c>
      <c r="C104" s="87">
        <f t="shared" si="1"/>
        <v>0</v>
      </c>
      <c r="D104" s="41"/>
      <c r="E104" s="42"/>
      <c r="F104" s="88"/>
    </row>
    <row r="105" spans="1:6" ht="12" customHeight="1">
      <c r="A105" s="24" t="s">
        <v>199</v>
      </c>
      <c r="B105" s="91" t="s">
        <v>200</v>
      </c>
      <c r="C105" s="87">
        <f t="shared" si="1"/>
        <v>0</v>
      </c>
      <c r="D105" s="41"/>
      <c r="E105" s="42"/>
      <c r="F105" s="88"/>
    </row>
    <row r="106" spans="1:6" ht="12" customHeight="1">
      <c r="A106" s="24" t="s">
        <v>201</v>
      </c>
      <c r="B106" s="91" t="s">
        <v>202</v>
      </c>
      <c r="C106" s="87">
        <f t="shared" si="1"/>
        <v>0</v>
      </c>
      <c r="D106" s="41"/>
      <c r="E106" s="42"/>
      <c r="F106" s="88"/>
    </row>
    <row r="107" spans="1:6" ht="12" customHeight="1">
      <c r="A107" s="24" t="s">
        <v>203</v>
      </c>
      <c r="B107" s="92" t="s">
        <v>204</v>
      </c>
      <c r="C107" s="87">
        <f t="shared" si="1"/>
        <v>0</v>
      </c>
      <c r="D107" s="41"/>
      <c r="E107" s="42"/>
      <c r="F107" s="88"/>
    </row>
    <row r="108" spans="1:6" ht="12" customHeight="1">
      <c r="A108" s="93" t="s">
        <v>205</v>
      </c>
      <c r="B108" s="90" t="s">
        <v>206</v>
      </c>
      <c r="C108" s="87">
        <f t="shared" si="1"/>
        <v>0</v>
      </c>
      <c r="D108" s="41"/>
      <c r="E108" s="42"/>
      <c r="F108" s="88"/>
    </row>
    <row r="109" spans="1:6" ht="12" customHeight="1">
      <c r="A109" s="24" t="s">
        <v>207</v>
      </c>
      <c r="B109" s="90" t="s">
        <v>208</v>
      </c>
      <c r="C109" s="87">
        <f t="shared" si="1"/>
        <v>0</v>
      </c>
      <c r="D109" s="41"/>
      <c r="E109" s="42"/>
      <c r="F109" s="88"/>
    </row>
    <row r="110" spans="1:6" ht="12" customHeight="1">
      <c r="A110" s="31" t="s">
        <v>209</v>
      </c>
      <c r="B110" s="90" t="s">
        <v>210</v>
      </c>
      <c r="C110" s="87">
        <f>SUM(D110:F110)+3500000+6600000</f>
        <v>47265000</v>
      </c>
      <c r="D110" s="27">
        <f>536000+11389000+8562000+16678000</f>
        <v>37165000</v>
      </c>
      <c r="E110" s="28"/>
      <c r="F110" s="88"/>
    </row>
    <row r="111" spans="1:6" ht="12" customHeight="1">
      <c r="A111" s="24" t="s">
        <v>211</v>
      </c>
      <c r="B111" s="85" t="s">
        <v>212</v>
      </c>
      <c r="C111" s="87">
        <f>SUM(C112:C113)</f>
        <v>97876289</v>
      </c>
      <c r="D111" s="27">
        <f>D112+D113</f>
        <v>131113300</v>
      </c>
      <c r="E111" s="28"/>
      <c r="F111" s="40">
        <f>F112+F113</f>
        <v>0</v>
      </c>
    </row>
    <row r="112" spans="1:6" ht="12" customHeight="1">
      <c r="A112" s="24" t="s">
        <v>213</v>
      </c>
      <c r="B112" s="85" t="s">
        <v>214</v>
      </c>
      <c r="C112" s="86">
        <f>SUM(D112:F112)-9172313+8719388</f>
        <v>19547075</v>
      </c>
      <c r="D112" s="41">
        <v>20000000</v>
      </c>
      <c r="E112" s="42"/>
      <c r="F112" s="40"/>
    </row>
    <row r="113" spans="1:6" ht="12" customHeight="1" thickBot="1">
      <c r="A113" s="94" t="s">
        <v>215</v>
      </c>
      <c r="B113" s="95" t="s">
        <v>216</v>
      </c>
      <c r="C113" s="96">
        <f>SUM(D113:F113)-8373330-1600000-8539600-6323156-7948000</f>
        <v>78329214</v>
      </c>
      <c r="D113" s="97">
        <f>110613300+500000</f>
        <v>111113300</v>
      </c>
      <c r="E113" s="98"/>
      <c r="F113" s="99"/>
    </row>
    <row r="114" spans="1:6" ht="12" customHeight="1" thickBot="1">
      <c r="A114" s="100" t="s">
        <v>26</v>
      </c>
      <c r="B114" s="101" t="s">
        <v>217</v>
      </c>
      <c r="C114" s="75">
        <f>C115+C117+C119</f>
        <v>197157436</v>
      </c>
      <c r="D114" s="16">
        <f>+D115+D117+D119</f>
        <v>158172900</v>
      </c>
      <c r="E114" s="17">
        <f>+E115+E117+E119</f>
        <v>1901000</v>
      </c>
      <c r="F114" s="102">
        <f>+F115+F117+F119</f>
        <v>9272287</v>
      </c>
    </row>
    <row r="115" spans="1:6" ht="12" customHeight="1">
      <c r="A115" s="19" t="s">
        <v>28</v>
      </c>
      <c r="B115" s="85" t="s">
        <v>218</v>
      </c>
      <c r="C115" s="81">
        <f>SUM(D115:F115)+15239176+979170-265000</f>
        <v>63069533</v>
      </c>
      <c r="D115" s="22">
        <f>6621000+2963001+787402+10624171+3081125+300001+529000+1654000+447000+2237000+90200+6604000+301000+204000</f>
        <v>36442900</v>
      </c>
      <c r="E115" s="23">
        <v>1901000</v>
      </c>
      <c r="F115" s="103">
        <v>8772287</v>
      </c>
    </row>
    <row r="116" spans="1:6" ht="12" customHeight="1">
      <c r="A116" s="19" t="s">
        <v>30</v>
      </c>
      <c r="B116" s="104" t="s">
        <v>219</v>
      </c>
      <c r="C116" s="87">
        <f>SUM(D116:F116)</f>
        <v>14492698</v>
      </c>
      <c r="D116" s="22">
        <v>14492698</v>
      </c>
      <c r="E116" s="23"/>
      <c r="F116" s="103"/>
    </row>
    <row r="117" spans="1:6" ht="12" customHeight="1">
      <c r="A117" s="19" t="s">
        <v>32</v>
      </c>
      <c r="B117" s="104" t="s">
        <v>220</v>
      </c>
      <c r="C117" s="86">
        <f>SUM(D117:F117)-134607+7509510+735000</f>
        <v>88267903</v>
      </c>
      <c r="D117" s="27">
        <f>53340000+21000000+1513000+2996000+809000</f>
        <v>79658000</v>
      </c>
      <c r="E117" s="28"/>
      <c r="F117" s="40">
        <v>500000</v>
      </c>
    </row>
    <row r="118" spans="1:6" ht="12" customHeight="1">
      <c r="A118" s="19" t="s">
        <v>34</v>
      </c>
      <c r="B118" s="104" t="s">
        <v>221</v>
      </c>
      <c r="C118" s="87">
        <f>SUM(D118:F118)</f>
        <v>53340000</v>
      </c>
      <c r="D118" s="27">
        <v>53340000</v>
      </c>
      <c r="E118" s="105"/>
      <c r="F118" s="27"/>
    </row>
    <row r="119" spans="1:6" ht="12" customHeight="1">
      <c r="A119" s="19" t="s">
        <v>36</v>
      </c>
      <c r="B119" s="32" t="s">
        <v>222</v>
      </c>
      <c r="C119" s="87">
        <f>SUM(D119:F119)+2400000+1348000</f>
        <v>45820000</v>
      </c>
      <c r="D119" s="27">
        <f>SUM(D120:D127)</f>
        <v>42072000</v>
      </c>
      <c r="E119" s="27"/>
      <c r="F119" s="27"/>
    </row>
    <row r="120" spans="1:6" ht="12" customHeight="1">
      <c r="A120" s="19" t="s">
        <v>38</v>
      </c>
      <c r="B120" s="30" t="s">
        <v>223</v>
      </c>
      <c r="C120" s="87">
        <f aca="true" t="shared" si="2" ref="C120:C126">SUM(D120:F120)</f>
        <v>0</v>
      </c>
      <c r="D120" s="34"/>
      <c r="E120" s="34"/>
      <c r="F120" s="27"/>
    </row>
    <row r="121" spans="1:6" ht="12" customHeight="1">
      <c r="A121" s="19" t="s">
        <v>224</v>
      </c>
      <c r="B121" s="106" t="s">
        <v>225</v>
      </c>
      <c r="C121" s="87">
        <f t="shared" si="2"/>
        <v>0</v>
      </c>
      <c r="D121" s="34"/>
      <c r="E121" s="34"/>
      <c r="F121" s="27"/>
    </row>
    <row r="122" spans="1:6" ht="15.75">
      <c r="A122" s="19" t="s">
        <v>226</v>
      </c>
      <c r="B122" s="92" t="s">
        <v>198</v>
      </c>
      <c r="C122" s="87">
        <f t="shared" si="2"/>
        <v>0</v>
      </c>
      <c r="D122" s="34"/>
      <c r="E122" s="34"/>
      <c r="F122" s="27"/>
    </row>
    <row r="123" spans="1:6" ht="12" customHeight="1">
      <c r="A123" s="19" t="s">
        <v>227</v>
      </c>
      <c r="B123" s="92" t="s">
        <v>228</v>
      </c>
      <c r="C123" s="87">
        <f t="shared" si="2"/>
        <v>0</v>
      </c>
      <c r="D123" s="34"/>
      <c r="E123" s="34"/>
      <c r="F123" s="27"/>
    </row>
    <row r="124" spans="1:6" ht="12" customHeight="1">
      <c r="A124" s="19" t="s">
        <v>229</v>
      </c>
      <c r="B124" s="92" t="s">
        <v>230</v>
      </c>
      <c r="C124" s="87">
        <f t="shared" si="2"/>
        <v>0</v>
      </c>
      <c r="D124" s="34"/>
      <c r="E124" s="34"/>
      <c r="F124" s="27"/>
    </row>
    <row r="125" spans="1:6" ht="12" customHeight="1">
      <c r="A125" s="19" t="s">
        <v>231</v>
      </c>
      <c r="B125" s="92" t="s">
        <v>204</v>
      </c>
      <c r="C125" s="87">
        <f t="shared" si="2"/>
        <v>0</v>
      </c>
      <c r="D125" s="34"/>
      <c r="E125" s="34"/>
      <c r="F125" s="27"/>
    </row>
    <row r="126" spans="1:6" ht="12" customHeight="1">
      <c r="A126" s="19" t="s">
        <v>232</v>
      </c>
      <c r="B126" s="92" t="s">
        <v>233</v>
      </c>
      <c r="C126" s="87">
        <f t="shared" si="2"/>
        <v>0</v>
      </c>
      <c r="D126" s="34"/>
      <c r="E126" s="34"/>
      <c r="F126" s="27"/>
    </row>
    <row r="127" spans="1:6" ht="16.5" thickBot="1">
      <c r="A127" s="93" t="s">
        <v>234</v>
      </c>
      <c r="B127" s="92" t="s">
        <v>235</v>
      </c>
      <c r="C127" s="107">
        <f>SUM(D127:F127)+2400000+1348000</f>
        <v>45820000</v>
      </c>
      <c r="D127" s="41">
        <v>42072000</v>
      </c>
      <c r="E127" s="41"/>
      <c r="F127" s="41"/>
    </row>
    <row r="128" spans="1:6" ht="12" customHeight="1" thickBot="1">
      <c r="A128" s="13" t="s">
        <v>40</v>
      </c>
      <c r="B128" s="108" t="s">
        <v>236</v>
      </c>
      <c r="C128" s="75">
        <f>C114+C93</f>
        <v>2982513024</v>
      </c>
      <c r="D128" s="16">
        <f>+D93+D114</f>
        <v>852319030</v>
      </c>
      <c r="E128" s="17">
        <f>+E93+E114</f>
        <v>225723850</v>
      </c>
      <c r="F128" s="17">
        <f>+F93+F114</f>
        <v>1397286981</v>
      </c>
    </row>
    <row r="129" spans="1:6" ht="12" customHeight="1" thickBot="1">
      <c r="A129" s="13" t="s">
        <v>237</v>
      </c>
      <c r="B129" s="108" t="s">
        <v>238</v>
      </c>
      <c r="C129" s="75">
        <f>SUM(C130:C132)</f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4" t="s">
        <v>239</v>
      </c>
      <c r="C130" s="109">
        <f>SUM(D130:F130)</f>
        <v>3161000</v>
      </c>
      <c r="D130" s="27">
        <v>3161000</v>
      </c>
      <c r="E130" s="27"/>
      <c r="F130" s="27"/>
    </row>
    <row r="131" spans="1:6" ht="12" customHeight="1">
      <c r="A131" s="19" t="s">
        <v>62</v>
      </c>
      <c r="B131" s="104" t="s">
        <v>240</v>
      </c>
      <c r="C131" s="87">
        <f>SUM(D131:F131)</f>
        <v>100000000</v>
      </c>
      <c r="D131" s="34">
        <v>100000000</v>
      </c>
      <c r="E131" s="34"/>
      <c r="F131" s="34"/>
    </row>
    <row r="132" spans="1:6" ht="12" customHeight="1" thickBot="1">
      <c r="A132" s="93" t="s">
        <v>241</v>
      </c>
      <c r="B132" s="104" t="s">
        <v>242</v>
      </c>
      <c r="C132" s="107">
        <f>SUM(D132:F132)</f>
        <v>0</v>
      </c>
      <c r="D132" s="34"/>
      <c r="E132" s="34"/>
      <c r="F132" s="34"/>
    </row>
    <row r="133" spans="1:6" ht="12" customHeight="1" thickBot="1">
      <c r="A133" s="13" t="s">
        <v>70</v>
      </c>
      <c r="B133" s="108" t="s">
        <v>243</v>
      </c>
      <c r="C133" s="110">
        <f>SUM(C134:C139)</f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11" t="s">
        <v>244</v>
      </c>
      <c r="C134" s="109">
        <f aca="true" t="shared" si="3" ref="C134:C139">SUM(D134:F134)</f>
        <v>0</v>
      </c>
      <c r="D134" s="34"/>
      <c r="E134" s="34"/>
      <c r="F134" s="34"/>
    </row>
    <row r="135" spans="1:6" ht="12" customHeight="1">
      <c r="A135" s="19" t="s">
        <v>74</v>
      </c>
      <c r="B135" s="111" t="s">
        <v>245</v>
      </c>
      <c r="C135" s="87">
        <f t="shared" si="3"/>
        <v>0</v>
      </c>
      <c r="D135" s="34"/>
      <c r="E135" s="34"/>
      <c r="F135" s="34"/>
    </row>
    <row r="136" spans="1:6" ht="12" customHeight="1">
      <c r="A136" s="19" t="s">
        <v>76</v>
      </c>
      <c r="B136" s="111" t="s">
        <v>246</v>
      </c>
      <c r="C136" s="87">
        <f t="shared" si="3"/>
        <v>0</v>
      </c>
      <c r="D136" s="34"/>
      <c r="E136" s="34"/>
      <c r="F136" s="34"/>
    </row>
    <row r="137" spans="1:6" ht="12" customHeight="1">
      <c r="A137" s="19" t="s">
        <v>78</v>
      </c>
      <c r="B137" s="111" t="s">
        <v>247</v>
      </c>
      <c r="C137" s="87">
        <f t="shared" si="3"/>
        <v>0</v>
      </c>
      <c r="D137" s="34"/>
      <c r="E137" s="34"/>
      <c r="F137" s="34"/>
    </row>
    <row r="138" spans="1:6" ht="12" customHeight="1">
      <c r="A138" s="19" t="s">
        <v>80</v>
      </c>
      <c r="B138" s="111" t="s">
        <v>248</v>
      </c>
      <c r="C138" s="87">
        <f t="shared" si="3"/>
        <v>0</v>
      </c>
      <c r="D138" s="34"/>
      <c r="E138" s="34"/>
      <c r="F138" s="34"/>
    </row>
    <row r="139" spans="1:6" ht="12" customHeight="1" thickBot="1">
      <c r="A139" s="93" t="s">
        <v>82</v>
      </c>
      <c r="B139" s="111" t="s">
        <v>249</v>
      </c>
      <c r="C139" s="107">
        <f t="shared" si="3"/>
        <v>0</v>
      </c>
      <c r="D139" s="34"/>
      <c r="E139" s="34"/>
      <c r="F139" s="34"/>
    </row>
    <row r="140" spans="1:6" ht="12" customHeight="1" thickBot="1">
      <c r="A140" s="13" t="s">
        <v>94</v>
      </c>
      <c r="B140" s="108" t="s">
        <v>250</v>
      </c>
      <c r="C140" s="75">
        <f>SUM(C141:C144)</f>
        <v>35164932</v>
      </c>
      <c r="D140" s="46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11" t="s">
        <v>251</v>
      </c>
      <c r="C141" s="109">
        <f>SUM(D141:F141)</f>
        <v>0</v>
      </c>
      <c r="D141" s="34"/>
      <c r="E141" s="34"/>
      <c r="F141" s="34"/>
    </row>
    <row r="142" spans="1:6" ht="12" customHeight="1">
      <c r="A142" s="19" t="s">
        <v>98</v>
      </c>
      <c r="B142" s="111" t="s">
        <v>252</v>
      </c>
      <c r="C142" s="87">
        <f>SUM(D142:F142)</f>
        <v>35164932</v>
      </c>
      <c r="D142" s="34">
        <f>35164932</f>
        <v>35164932</v>
      </c>
      <c r="E142" s="34"/>
      <c r="F142" s="34"/>
    </row>
    <row r="143" spans="1:6" ht="12" customHeight="1">
      <c r="A143" s="19" t="s">
        <v>100</v>
      </c>
      <c r="B143" s="111" t="s">
        <v>253</v>
      </c>
      <c r="C143" s="87">
        <f>SUM(D143:F143)</f>
        <v>0</v>
      </c>
      <c r="D143" s="34"/>
      <c r="E143" s="34"/>
      <c r="F143" s="34"/>
    </row>
    <row r="144" spans="1:6" ht="12" customHeight="1" thickBot="1">
      <c r="A144" s="93" t="s">
        <v>102</v>
      </c>
      <c r="B144" s="89" t="s">
        <v>254</v>
      </c>
      <c r="C144" s="107">
        <f>SUM(D144:F144)</f>
        <v>0</v>
      </c>
      <c r="D144" s="34"/>
      <c r="E144" s="34"/>
      <c r="F144" s="34"/>
    </row>
    <row r="145" spans="1:6" ht="12" customHeight="1" thickBot="1">
      <c r="A145" s="13" t="s">
        <v>255</v>
      </c>
      <c r="B145" s="108" t="s">
        <v>256</v>
      </c>
      <c r="C145" s="110">
        <f>SUM(C146:C150)</f>
        <v>0</v>
      </c>
      <c r="D145" s="112">
        <f>+D146+D147+D148+D149+D150</f>
        <v>0</v>
      </c>
      <c r="E145" s="113">
        <f>+E146+E147+E148+E149+E150</f>
        <v>0</v>
      </c>
      <c r="F145" s="113">
        <f>SUM(F146:F150)</f>
        <v>0</v>
      </c>
    </row>
    <row r="146" spans="1:6" ht="12" customHeight="1">
      <c r="A146" s="19" t="s">
        <v>108</v>
      </c>
      <c r="B146" s="111" t="s">
        <v>257</v>
      </c>
      <c r="C146" s="109">
        <f aca="true" t="shared" si="4" ref="C146:C152">SUM(D146:F146)</f>
        <v>0</v>
      </c>
      <c r="D146" s="34"/>
      <c r="E146" s="34"/>
      <c r="F146" s="34"/>
    </row>
    <row r="147" spans="1:6" ht="12" customHeight="1">
      <c r="A147" s="19" t="s">
        <v>110</v>
      </c>
      <c r="B147" s="111" t="s">
        <v>258</v>
      </c>
      <c r="C147" s="87">
        <f t="shared" si="4"/>
        <v>0</v>
      </c>
      <c r="D147" s="34"/>
      <c r="E147" s="34"/>
      <c r="F147" s="34"/>
    </row>
    <row r="148" spans="1:6" ht="12" customHeight="1">
      <c r="A148" s="19" t="s">
        <v>112</v>
      </c>
      <c r="B148" s="111" t="s">
        <v>259</v>
      </c>
      <c r="C148" s="87">
        <f t="shared" si="4"/>
        <v>0</v>
      </c>
      <c r="D148" s="34"/>
      <c r="E148" s="34"/>
      <c r="F148" s="34"/>
    </row>
    <row r="149" spans="1:6" ht="12" customHeight="1">
      <c r="A149" s="19" t="s">
        <v>114</v>
      </c>
      <c r="B149" s="111" t="s">
        <v>260</v>
      </c>
      <c r="C149" s="87">
        <f t="shared" si="4"/>
        <v>0</v>
      </c>
      <c r="D149" s="34"/>
      <c r="E149" s="34"/>
      <c r="F149" s="34"/>
    </row>
    <row r="150" spans="1:6" ht="12" customHeight="1" thickBot="1">
      <c r="A150" s="19" t="s">
        <v>261</v>
      </c>
      <c r="B150" s="111" t="s">
        <v>262</v>
      </c>
      <c r="C150" s="107">
        <f t="shared" si="4"/>
        <v>0</v>
      </c>
      <c r="D150" s="49"/>
      <c r="E150" s="49"/>
      <c r="F150" s="34"/>
    </row>
    <row r="151" spans="1:6" ht="12" customHeight="1" thickBot="1">
      <c r="A151" s="13" t="s">
        <v>116</v>
      </c>
      <c r="B151" s="108" t="s">
        <v>263</v>
      </c>
      <c r="C151" s="110">
        <f t="shared" si="4"/>
        <v>0</v>
      </c>
      <c r="D151" s="112"/>
      <c r="E151" s="113"/>
      <c r="F151" s="114"/>
    </row>
    <row r="152" spans="1:6" ht="12" customHeight="1" thickBot="1">
      <c r="A152" s="13" t="s">
        <v>264</v>
      </c>
      <c r="B152" s="108" t="s">
        <v>265</v>
      </c>
      <c r="C152" s="110">
        <f t="shared" si="4"/>
        <v>0</v>
      </c>
      <c r="D152" s="112"/>
      <c r="E152" s="113"/>
      <c r="F152" s="114"/>
    </row>
    <row r="153" spans="1:8" ht="15" customHeight="1" thickBot="1">
      <c r="A153" s="13" t="s">
        <v>266</v>
      </c>
      <c r="B153" s="108" t="s">
        <v>267</v>
      </c>
      <c r="C153" s="75">
        <f>C152+C151+C145+C140+C133+C129</f>
        <v>138325932</v>
      </c>
      <c r="D153" s="115">
        <f>+D129+D133+D140+D145+D151+D152</f>
        <v>138325932</v>
      </c>
      <c r="E153" s="116">
        <f>+E129+E133+E140+E145+E151+E152</f>
        <v>0</v>
      </c>
      <c r="F153" s="116">
        <f>+F129+F133+F140+F145+F151+F152</f>
        <v>0</v>
      </c>
      <c r="G153" s="117"/>
      <c r="H153" s="117"/>
    </row>
    <row r="154" spans="1:6" s="18" customFormat="1" ht="12.75" customHeight="1" thickBot="1">
      <c r="A154" s="118" t="s">
        <v>268</v>
      </c>
      <c r="B154" s="119" t="s">
        <v>269</v>
      </c>
      <c r="C154" s="75">
        <f>C153+C128</f>
        <v>3120838956</v>
      </c>
      <c r="D154" s="115">
        <f>+D128+D153</f>
        <v>990644962</v>
      </c>
      <c r="E154" s="116">
        <f>+E128+E153</f>
        <v>225723850</v>
      </c>
      <c r="F154" s="116">
        <f>+F128+F153</f>
        <v>1397286981</v>
      </c>
    </row>
    <row r="155" ht="7.5" customHeight="1"/>
    <row r="156" spans="1:3" ht="15.75">
      <c r="A156" s="121" t="s">
        <v>270</v>
      </c>
      <c r="B156" s="121"/>
      <c r="C156" s="121"/>
    </row>
    <row r="157" spans="1:3" ht="15" customHeight="1" thickBot="1">
      <c r="A157" s="3" t="s">
        <v>271</v>
      </c>
      <c r="B157" s="3"/>
      <c r="C157" s="4" t="s">
        <v>2</v>
      </c>
    </row>
    <row r="158" spans="1:3" ht="13.5" customHeight="1" thickBot="1">
      <c r="A158" s="13">
        <v>1</v>
      </c>
      <c r="B158" s="122" t="s">
        <v>272</v>
      </c>
      <c r="C158" s="17">
        <f>+C62-C128</f>
        <v>-298773483</v>
      </c>
    </row>
    <row r="159" spans="1:3" ht="27.75" customHeight="1" thickBot="1">
      <c r="A159" s="13" t="s">
        <v>26</v>
      </c>
      <c r="B159" s="122" t="s">
        <v>273</v>
      </c>
      <c r="C159" s="17">
        <f>+C86-C153</f>
        <v>298773483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13/2017.(IV.28.)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2017-05-02T06:20:33Z</dcterms:created>
  <dcterms:modified xsi:type="dcterms:W3CDTF">2017-05-02T06:20:34Z</dcterms:modified>
  <cp:category/>
  <cp:version/>
  <cp:contentType/>
  <cp:contentStatus/>
</cp:coreProperties>
</file>