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8190" firstSheet="9" activeTab="17"/>
  </bookViews>
  <sheets>
    <sheet name="Hivatal bevétel" sheetId="1" r:id="rId1"/>
    <sheet name="Hivatal kiadás" sheetId="2" r:id="rId2"/>
    <sheet name="Önk.kiadás" sheetId="3" r:id="rId3"/>
    <sheet name="Önk.bevétel" sheetId="4" r:id="rId4"/>
    <sheet name="címrendes bevétel" sheetId="5" r:id="rId5"/>
    <sheet name="címrendes kiadás" sheetId="6" r:id="rId6"/>
    <sheet name="hitel 3.sz." sheetId="7" r:id="rId7"/>
    <sheet name="4.sz.mell." sheetId="8" r:id="rId8"/>
    <sheet name="5.mell." sheetId="9" r:id="rId9"/>
    <sheet name="5.a kötelező-nem kötelező" sheetId="10" r:id="rId10"/>
    <sheet name="6.mell." sheetId="11" r:id="rId11"/>
    <sheet name="7.mell (2)" sheetId="12" r:id="rId12"/>
    <sheet name="9.m." sheetId="13" r:id="rId13"/>
    <sheet name="10.mell " sheetId="14" r:id="rId14"/>
    <sheet name="10.mell  összehasonlító" sheetId="15" r:id="rId15"/>
    <sheet name="11a melléklet" sheetId="16" r:id="rId16"/>
    <sheet name="12.mell." sheetId="17" r:id="rId17"/>
    <sheet name="13.mell." sheetId="18" r:id="rId18"/>
  </sheets>
  <externalReferences>
    <externalReference r:id="rId21"/>
    <externalReference r:id="rId22"/>
    <externalReference r:id="rId23"/>
  </externalReferences>
  <definedNames>
    <definedName name="_xlnm.Print_Titles" localSheetId="15">'11a melléklet'!$9:$9</definedName>
    <definedName name="_xlnm.Print_Titles" localSheetId="4">'címrendes bevétel'!$5:$10</definedName>
    <definedName name="_xlnm.Print_Titles" localSheetId="0">'Hivatal bevétel'!$8:$8</definedName>
    <definedName name="_xlnm.Print_Titles" localSheetId="1">'Hivatal kiadás'!$8:$8</definedName>
    <definedName name="_xlnm.Print_Titles" localSheetId="2">'Önk.kiadás'!$7:$8</definedName>
    <definedName name="_xlnm.Print_Area" localSheetId="15">'11a melléklet'!$A$1:$F$36</definedName>
    <definedName name="_xlnm.Print_Area" localSheetId="7">'4.sz.mell.'!$A$1:$AC$42</definedName>
    <definedName name="_xlnm.Print_Area" localSheetId="9">'5.a kötelező-nem kötelező'!$A$1:$Z$66</definedName>
    <definedName name="_xlnm.Print_Area" localSheetId="8">'5.mell.'!$A$1:$P$65</definedName>
    <definedName name="_xlnm.Print_Area" localSheetId="11">'7.mell (2)'!$A$1:$T$38</definedName>
    <definedName name="_xlnm.Print_Area" localSheetId="4">'címrendes bevétel'!$A$1:$Y$153</definedName>
    <definedName name="_xlnm.Print_Area" localSheetId="5">'címrendes kiadás'!$A$1:$Y$98</definedName>
    <definedName name="_xlnm.Print_Area" localSheetId="6">'hitel 3.sz.'!$A$1:$Q$41</definedName>
    <definedName name="_xlnm.Print_Area" localSheetId="0">'Hivatal bevétel'!$A$1:$Y$18</definedName>
    <definedName name="_xlnm.Print_Area" localSheetId="1">'Hivatal kiadás'!$A$1:$Z$23</definedName>
    <definedName name="_xlnm.Print_Area" localSheetId="3">'Önk.bevétel'!$A$1:$Y$33</definedName>
    <definedName name="_xlnm.Print_Area" localSheetId="2">'Önk.kiadás'!$A$1:$Z$66</definedName>
  </definedNames>
  <calcPr fullCalcOnLoad="1"/>
</workbook>
</file>

<file path=xl/sharedStrings.xml><?xml version="1.0" encoding="utf-8"?>
<sst xmlns="http://schemas.openxmlformats.org/spreadsheetml/2006/main" count="1926" uniqueCount="642">
  <si>
    <t>Polgármesteri Hivatal 2015. évi bevételei</t>
  </si>
  <si>
    <t>adatok e Ft-ban</t>
  </si>
  <si>
    <t>Megnevezés</t>
  </si>
  <si>
    <t>Változás</t>
  </si>
  <si>
    <t>Mód.ei. III.31.</t>
  </si>
  <si>
    <t>Telj. III.31.</t>
  </si>
  <si>
    <t>Telj. %-a</t>
  </si>
  <si>
    <t>Mód.ei. VI.30.</t>
  </si>
  <si>
    <t>2014.           Eredeti ei.</t>
  </si>
  <si>
    <t>változás</t>
  </si>
  <si>
    <t>Eredeti ei.</t>
  </si>
  <si>
    <t>Rovat</t>
  </si>
  <si>
    <t>L</t>
  </si>
  <si>
    <t>M</t>
  </si>
  <si>
    <t>T</t>
  </si>
  <si>
    <t>Családi ünnepek szervezése</t>
  </si>
  <si>
    <t>B4</t>
  </si>
  <si>
    <t>Önkormányzatok igazgatási tevékenysége</t>
  </si>
  <si>
    <t>ebből: - Illetékjellegű bevételek (járlat,okm.)</t>
  </si>
  <si>
    <t xml:space="preserve">          - Átszámlázott szolgáltatás</t>
  </si>
  <si>
    <t xml:space="preserve">          - Egyéb bevételek</t>
  </si>
  <si>
    <t>Működési célú bevételek</t>
  </si>
  <si>
    <t>Kistérségi Iroda munkaszervezet</t>
  </si>
  <si>
    <t>B16</t>
  </si>
  <si>
    <t>Támogatás értékű műk.c.pe.átvétel</t>
  </si>
  <si>
    <t>BEVÉTELEK ÖSSZESEN:</t>
  </si>
  <si>
    <t>Polgármesteri Hivatal 2015. évi kiadásai</t>
  </si>
  <si>
    <t>Családi ünnepek rendezése</t>
  </si>
  <si>
    <t>K3</t>
  </si>
  <si>
    <t>Működési kiadások</t>
  </si>
  <si>
    <t>Szoc.pénzbeni ellátások</t>
  </si>
  <si>
    <t>K4</t>
  </si>
  <si>
    <t>Önkormányzati igazgatási tevékenység</t>
  </si>
  <si>
    <t>Személyi juttatások</t>
  </si>
  <si>
    <t>K1</t>
  </si>
  <si>
    <t>Munkaadókat terh.befiz.köt.</t>
  </si>
  <si>
    <t>K2</t>
  </si>
  <si>
    <t>Dologi kiadások</t>
  </si>
  <si>
    <t>Összesen:</t>
  </si>
  <si>
    <t>Biztositási dijak</t>
  </si>
  <si>
    <t>Adó, kamat, pénzf.terh.ktg., tagdijak, stb.</t>
  </si>
  <si>
    <t>Egyéb folyó kiadások összesen:</t>
  </si>
  <si>
    <t>Önkormányzatok igazgatási tev.összesen</t>
  </si>
  <si>
    <t>KIADÁSOK ÖSSZESEN:</t>
  </si>
  <si>
    <t>Önkormányzat 2015. évi kiadásai</t>
  </si>
  <si>
    <t>Vízkárelhárítás</t>
  </si>
  <si>
    <t>Város- és községgazdálkodási szolg.</t>
  </si>
  <si>
    <t xml:space="preserve">             - Mezei őrszolgálat</t>
  </si>
  <si>
    <t xml:space="preserve">             - Szúnyog-, kullancs-, patkányirtás</t>
  </si>
  <si>
    <t xml:space="preserve">             - Pályázatokhoz kapcsolódó kiadások</t>
  </si>
  <si>
    <t>Települési vízellátás (közkifolyó, Vízmű)</t>
  </si>
  <si>
    <t>Közvilágítás</t>
  </si>
  <si>
    <t>Csapadékvíz átemelő üzemeltetés (áramdíj)</t>
  </si>
  <si>
    <t>Lapkiadás</t>
  </si>
  <si>
    <t>Vasút út 46-48. orvosi rendelők fenntartási ktge</t>
  </si>
  <si>
    <t>Oktatási intézmények fenntartási kiadása</t>
  </si>
  <si>
    <t>Gyermekétkeztetés</t>
  </si>
  <si>
    <t>Egyéb feladatok személyi juttatása</t>
  </si>
  <si>
    <t>Egyéb feladatok munkaadókat terh.jár.szoc.hj.adó</t>
  </si>
  <si>
    <t>Hosszabb időtartamú közfoglalkoztatás személyi juttatása</t>
  </si>
  <si>
    <t>Hosszabb időtartamú közfoglalkoztatás járulékok</t>
  </si>
  <si>
    <t>Hosszabb időtartamú közfoglalkoztatás dologi kiadások</t>
  </si>
  <si>
    <t>Szociális földprogram</t>
  </si>
  <si>
    <t>Közfoglalkoztatás nem elszámolható költségei</t>
  </si>
  <si>
    <t>TÁMOP-5.3.1-B-2 Roma nők továbbfoglalkoztatása (bér + járulék)</t>
  </si>
  <si>
    <t>K1,K2</t>
  </si>
  <si>
    <t>Ifjusági és sportfeladatok támogatása</t>
  </si>
  <si>
    <t>K511</t>
  </si>
  <si>
    <t>Civil szervezetek támogatása</t>
  </si>
  <si>
    <t>Polgárőrség támogatása (hőkamera is)</t>
  </si>
  <si>
    <t>Közfeladatok ellátásának támogatása (KOMÉP)</t>
  </si>
  <si>
    <t>Cervinus Teátrum Színház támogatás</t>
  </si>
  <si>
    <t>Cervinus Teátrum Művelődési Központ támogatás</t>
  </si>
  <si>
    <t>Cervnius Teátrum Művészeti Alapiskola fenntartás</t>
  </si>
  <si>
    <t>Önkorm.tulajdonú GT támogatása</t>
  </si>
  <si>
    <t>Béke u. 1. társasház közös költség</t>
  </si>
  <si>
    <t>Orosháza és Térsége Ivóvízjav.Önk.Társ.működési tám.</t>
  </si>
  <si>
    <t>Békés M.Önkormányzatok Ivóvízminőség-javító Társulása műk.tám.</t>
  </si>
  <si>
    <t>Körösvölgyi Hulladékgazd. Önkorm. Társulás műk.tám.</t>
  </si>
  <si>
    <t>Polgármesteri alap I.</t>
  </si>
  <si>
    <t>TOURINFORM Iroda működtetése</t>
  </si>
  <si>
    <t>TDM szervezet támogatása</t>
  </si>
  <si>
    <t>Működési célú pe.átadás</t>
  </si>
  <si>
    <t>Többc. Társ. Szociális intézmény + egyéb</t>
  </si>
  <si>
    <t>K506</t>
  </si>
  <si>
    <t>Többc. Társ. Támogatása feladatellátáshoz</t>
  </si>
  <si>
    <t>Többc. Társ. Normatíva támogatás</t>
  </si>
  <si>
    <t>Szlovák Önkormányzat támogatása</t>
  </si>
  <si>
    <t>Roma Nemzetiségi Önkormányzat támogatása</t>
  </si>
  <si>
    <t>Támogatás értékű működési célú pe.átadás</t>
  </si>
  <si>
    <t>Kamatfizetés</t>
  </si>
  <si>
    <t>K353</t>
  </si>
  <si>
    <t xml:space="preserve"> - felhalmozási hitel kamat</t>
  </si>
  <si>
    <t>Vagyonbiztosítás</t>
  </si>
  <si>
    <t>Önkormányzat 2015. évi bevételei</t>
  </si>
  <si>
    <t xml:space="preserve">L  </t>
  </si>
  <si>
    <t>Vasút út 46-48. orvosi rendelők bevételei</t>
  </si>
  <si>
    <t>Oktatási intézmények bevételei</t>
  </si>
  <si>
    <t>Étkezési térítési díj</t>
  </si>
  <si>
    <t xml:space="preserve">           - Kamatbevételek</t>
  </si>
  <si>
    <t xml:space="preserve">           - Átszámlázott szolgáltatás</t>
  </si>
  <si>
    <t>Önkormányzati vagyonhasznosítás (egyéb bérl.díj, stb.)</t>
  </si>
  <si>
    <t>Gyomaendrődi hulladékátrakó bérleti díj</t>
  </si>
  <si>
    <t>Mezőőri szolgáltatás támogatás</t>
  </si>
  <si>
    <t>Hosszabb időtartamú közfoglalkoztatás támogatása</t>
  </si>
  <si>
    <t>Támogatás értékű működési célú pe.átvétel</t>
  </si>
  <si>
    <t>KEOP Békés Megyei Ivóvízminőségjav.program EU Önerő</t>
  </si>
  <si>
    <t>B25</t>
  </si>
  <si>
    <t>Támogatás értékű felhalmozási célú pe.átvétel</t>
  </si>
  <si>
    <t>Vagyonértékesítés</t>
  </si>
  <si>
    <t>B51</t>
  </si>
  <si>
    <t>Osztalékbevétel</t>
  </si>
  <si>
    <t>Önkorm.sajátos felhalm. és tőkejell.bev.</t>
  </si>
  <si>
    <t>B55</t>
  </si>
  <si>
    <t>Felhalmozási és tőkejellegű bevétel</t>
  </si>
  <si>
    <t>Lakossági szennyvízbefizetés</t>
  </si>
  <si>
    <t>B7</t>
  </si>
  <si>
    <t>Felhalmozási célú pe.átvétel</t>
  </si>
  <si>
    <t>Belvízkár kamatmentes kölcsön visszafiz.</t>
  </si>
  <si>
    <t>B8</t>
  </si>
  <si>
    <t>Önkorm.bérlakásértékesítés</t>
  </si>
  <si>
    <t>Kölcsönök visszatérülése összesen:</t>
  </si>
  <si>
    <t xml:space="preserve">Szarvas Város Önkormányzatának 2015. évi bevételi forrásai </t>
  </si>
  <si>
    <t>adatok eFt-ban</t>
  </si>
  <si>
    <t>Cím sz.</t>
  </si>
  <si>
    <t>Alcim sz.</t>
  </si>
  <si>
    <t>Jogcim csop. sz.</t>
  </si>
  <si>
    <t>Előir. csop. sz.</t>
  </si>
  <si>
    <t>Kiem ei.sz</t>
  </si>
  <si>
    <t>Előir. sz.</t>
  </si>
  <si>
    <t>Cím neve</t>
  </si>
  <si>
    <t>Alcim neve</t>
  </si>
  <si>
    <t>Jogcim csop.</t>
  </si>
  <si>
    <t>Ei. Csop</t>
  </si>
  <si>
    <t>Kiem.ei. név</t>
  </si>
  <si>
    <t>Előir.név</t>
  </si>
  <si>
    <t>Mód.ei.                     VI.30.</t>
  </si>
  <si>
    <r>
      <t>Államigazg</t>
    </r>
    <r>
      <rPr>
        <sz val="12"/>
        <rFont val="Arial CE"/>
        <family val="2"/>
      </rPr>
      <t xml:space="preserve"> feladat            Mód. ei.</t>
    </r>
  </si>
  <si>
    <r>
      <t>Kötelező</t>
    </r>
    <r>
      <rPr>
        <sz val="12"/>
        <rFont val="Arial CE"/>
        <family val="2"/>
      </rPr>
      <t xml:space="preserve"> feladat                 Mód. ei. </t>
    </r>
  </si>
  <si>
    <r>
      <t>Önként v.</t>
    </r>
    <r>
      <rPr>
        <sz val="12"/>
        <rFont val="Arial CE"/>
        <family val="2"/>
      </rPr>
      <t xml:space="preserve"> feladat                Mód. ei. 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</si>
  <si>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</si>
  <si>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</si>
  <si>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</si>
  <si>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</si>
  <si>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</si>
  <si>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</si>
  <si>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</si>
  <si>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</si>
  <si>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</si>
  <si>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</si>
  <si>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</si>
  <si>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</t>
  </si>
  <si>
    <t>O</t>
  </si>
  <si>
    <t>P</t>
  </si>
  <si>
    <t>Q</t>
  </si>
  <si>
    <t>R</t>
  </si>
  <si>
    <t>1.</t>
  </si>
  <si>
    <t>Önkormányzat</t>
  </si>
  <si>
    <t>I.</t>
  </si>
  <si>
    <t>Működési bevételek</t>
  </si>
  <si>
    <t>Intézm.működési bevétel</t>
  </si>
  <si>
    <t>2.</t>
  </si>
  <si>
    <t>Önkorm.sajátos műk.bevételei</t>
  </si>
  <si>
    <t xml:space="preserve"> 2.2.</t>
  </si>
  <si>
    <t>Helyi adók</t>
  </si>
  <si>
    <t xml:space="preserve"> 2.2.1.</t>
  </si>
  <si>
    <t xml:space="preserve">Épitményadó </t>
  </si>
  <si>
    <t>B34</t>
  </si>
  <si>
    <t xml:space="preserve"> 2.2.2.</t>
  </si>
  <si>
    <t>Idegenforgalmi adó</t>
  </si>
  <si>
    <t>B3</t>
  </si>
  <si>
    <t xml:space="preserve"> 2.2.3.</t>
  </si>
  <si>
    <t>Iparűzési adó</t>
  </si>
  <si>
    <t>B35</t>
  </si>
  <si>
    <t xml:space="preserve"> 2.3.</t>
  </si>
  <si>
    <t>Átengedett központi adók</t>
  </si>
  <si>
    <t xml:space="preserve"> 2.3.1.</t>
  </si>
  <si>
    <t>Gépjárműadó</t>
  </si>
  <si>
    <t xml:space="preserve"> 2.4.</t>
  </si>
  <si>
    <t>Birságok,pótlékok és egyéb bevételek</t>
  </si>
  <si>
    <t xml:space="preserve"> 2.4.1.</t>
  </si>
  <si>
    <t>Birság, pótlék</t>
  </si>
  <si>
    <t>B36</t>
  </si>
  <si>
    <t xml:space="preserve"> 2.4.2.</t>
  </si>
  <si>
    <t>Környezetvédelmi birság</t>
  </si>
  <si>
    <t xml:space="preserve"> 2.4.3.</t>
  </si>
  <si>
    <t>Egyéb sajátos bevétel</t>
  </si>
  <si>
    <t xml:space="preserve"> 2.4.4.</t>
  </si>
  <si>
    <t>Talajterhelési dij</t>
  </si>
  <si>
    <t>Önk.sajátos bevételei összesen</t>
  </si>
  <si>
    <t>Működési bevételek összesen</t>
  </si>
  <si>
    <t>II.</t>
  </si>
  <si>
    <t>Támogatások</t>
  </si>
  <si>
    <t>Önkormányzatok kv.támogatása</t>
  </si>
  <si>
    <t xml:space="preserve"> 1.1.</t>
  </si>
  <si>
    <t>Önk. általános működésének és ágazati feladatainak tám.</t>
  </si>
  <si>
    <t xml:space="preserve"> 1.1.1.</t>
  </si>
  <si>
    <t>Önkormányzatok működésének általános támogatása</t>
  </si>
  <si>
    <t>B11</t>
  </si>
  <si>
    <t xml:space="preserve"> 1.1.2.</t>
  </si>
  <si>
    <t>Önkorm.egyes köznevelési felad.tám.</t>
  </si>
  <si>
    <t>B112</t>
  </si>
  <si>
    <t xml:space="preserve"> 1.1.3.</t>
  </si>
  <si>
    <t>Önkorm.szoc.,gyermekjól.és gyermekétkezt. feladat tám.</t>
  </si>
  <si>
    <t>B113</t>
  </si>
  <si>
    <t xml:space="preserve"> 1.1.4.</t>
  </si>
  <si>
    <t>Önk.kulturális feladatainak tám.</t>
  </si>
  <si>
    <t>B114</t>
  </si>
  <si>
    <t xml:space="preserve"> </t>
  </si>
  <si>
    <t xml:space="preserve"> 1.2.</t>
  </si>
  <si>
    <t>Önkormányzatok kiegészítő támogatásai</t>
  </si>
  <si>
    <t xml:space="preserve"> 1.2.1.</t>
  </si>
  <si>
    <t>Lak.közműfejlesztés</t>
  </si>
  <si>
    <t>B115</t>
  </si>
  <si>
    <t xml:space="preserve"> 1.2.2.</t>
  </si>
  <si>
    <t>Helyi szervezési intézkedések tám.</t>
  </si>
  <si>
    <t xml:space="preserve"> 1.2.3.</t>
  </si>
  <si>
    <t>EU önerő alap támogatás</t>
  </si>
  <si>
    <t xml:space="preserve"> 1.2.4.</t>
  </si>
  <si>
    <t>Nyári gyermekétkeztetés</t>
  </si>
  <si>
    <t xml:space="preserve"> 1.2.5.</t>
  </si>
  <si>
    <t>Önk.feladatok fejlesztési támogatása</t>
  </si>
  <si>
    <t xml:space="preserve"> 1.2.6.</t>
  </si>
  <si>
    <t>Érdekeltségnövelő támogatás</t>
  </si>
  <si>
    <t>Támogatások összesen</t>
  </si>
  <si>
    <t>III.</t>
  </si>
  <si>
    <t>Felhalmozási és tőkejellegű bevételek</t>
  </si>
  <si>
    <t>Tárgyi eszk.immateriális javak értékes.</t>
  </si>
  <si>
    <t>Önkorm.sajátos felhalm.és tőkejell.bev.</t>
  </si>
  <si>
    <t>3.</t>
  </si>
  <si>
    <t>Pénzügyi befektetések bevételei</t>
  </si>
  <si>
    <t>Felhalm. és tőkejellegű bevételek összesen</t>
  </si>
  <si>
    <t>IV.</t>
  </si>
  <si>
    <t>Támogatás értékű bevétel</t>
  </si>
  <si>
    <t>Támogatás értékű bevétel összesen</t>
  </si>
  <si>
    <t>V.</t>
  </si>
  <si>
    <t>Véglegesen átvett pénzeszközök</t>
  </si>
  <si>
    <t>Műk.célú pe. átvétel</t>
  </si>
  <si>
    <t>B6</t>
  </si>
  <si>
    <t>Véglegesen átvett pénzeszközök összesen:</t>
  </si>
  <si>
    <t>VI.</t>
  </si>
  <si>
    <t>Kölcsönök visszatér.értékpap.értékesit.bevét.</t>
  </si>
  <si>
    <t>Kölcsönök visszatérülése</t>
  </si>
  <si>
    <t>Értékpapir értékesités bevétele</t>
  </si>
  <si>
    <t>Kölcs.visszatér.értékpap.érték.bev.összesen:</t>
  </si>
  <si>
    <t>Önkormányzat összesen</t>
  </si>
  <si>
    <t xml:space="preserve">Polgármesteri Hivatal </t>
  </si>
  <si>
    <t>Intézményi működési bevétel</t>
  </si>
  <si>
    <t>Működési bevétel összesen</t>
  </si>
  <si>
    <t>Működési célú pe. átvétel</t>
  </si>
  <si>
    <t>Felhalmozási célú pe. átvétel</t>
  </si>
  <si>
    <t>Véglegesen átvett pe.összesen</t>
  </si>
  <si>
    <t>Polgármesteri Hivatal összesen</t>
  </si>
  <si>
    <t>Szarvas Város Óvodái és Bölcsődéje</t>
  </si>
  <si>
    <t>Szarvas Város Óvodái és Bölcsődéje összesen</t>
  </si>
  <si>
    <t>4.</t>
  </si>
  <si>
    <t>Tessedik Sámuel Múzeum és Szárazmalom, Városi Könyvtár</t>
  </si>
  <si>
    <t>Tessedik S. Múzeum és Szárazm.,Városi Könyvtár össz.</t>
  </si>
  <si>
    <t>Tárgyévi költségvetési bevételek jogcimcsoportonként</t>
  </si>
  <si>
    <t xml:space="preserve">Működési bevételek </t>
  </si>
  <si>
    <t>Önkormányzat sajátos műk.bevétele</t>
  </si>
  <si>
    <t>B1</t>
  </si>
  <si>
    <t>B5</t>
  </si>
  <si>
    <t>Támogatás értékű bevételek</t>
  </si>
  <si>
    <t>Támogatás értékű bevételek összesen</t>
  </si>
  <si>
    <t>Működési célú pe.átvétel</t>
  </si>
  <si>
    <t>Véglegesen átvett pénzeszközök összesen</t>
  </si>
  <si>
    <t>Tárgyévi költségvetési bevételek mindösszesen</t>
  </si>
  <si>
    <t>Tárgyévi finanszirozási bevételek jogcímcsoportonként</t>
  </si>
  <si>
    <t xml:space="preserve">Önkormányzat </t>
  </si>
  <si>
    <t>VII.</t>
  </si>
  <si>
    <t xml:space="preserve">Hitelek </t>
  </si>
  <si>
    <t>Működési célú hitelek</t>
  </si>
  <si>
    <t>Felhalmozási célú hitelek</t>
  </si>
  <si>
    <t>Kötvénykibocsátás</t>
  </si>
  <si>
    <t>Hitelek összesen</t>
  </si>
  <si>
    <t>VIII.</t>
  </si>
  <si>
    <t>Pénzforgalom nélküli bevételek</t>
  </si>
  <si>
    <t>Előző évi pénzmaradvány igénybevétele</t>
  </si>
  <si>
    <t>Pénzforgalom nélküli bevételek összesen</t>
  </si>
  <si>
    <t>Polgármesteri Hivatal</t>
  </si>
  <si>
    <t>Tessedik S. Múzeum és Szárazm., Városi Könyvtár össz.</t>
  </si>
  <si>
    <t>Finanszírozási bevételek összesen</t>
  </si>
  <si>
    <t>Bevételek mindösszesen</t>
  </si>
  <si>
    <t>Szarvas Város Önkormányzatának 2015. évi működési kiadásai</t>
  </si>
  <si>
    <t>Személyi juttatás</t>
  </si>
  <si>
    <t>Munkaadókat terh.jár. és szoc.hozzáj.adó</t>
  </si>
  <si>
    <t xml:space="preserve"> 1.3.</t>
  </si>
  <si>
    <t xml:space="preserve"> 1.5.</t>
  </si>
  <si>
    <t>Tám.ért.működési célú pe.átadás</t>
  </si>
  <si>
    <t xml:space="preserve"> 1.6.</t>
  </si>
  <si>
    <t xml:space="preserve"> 1.7.</t>
  </si>
  <si>
    <t>Társ.szoc.pol.juttatás</t>
  </si>
  <si>
    <t xml:space="preserve"> 1.8.</t>
  </si>
  <si>
    <t>Kamatfizetési kötelezettség</t>
  </si>
  <si>
    <t xml:space="preserve"> 1.9.</t>
  </si>
  <si>
    <t>Működési célú tartalék</t>
  </si>
  <si>
    <t>K512</t>
  </si>
  <si>
    <t xml:space="preserve"> Önkormányzat összesen</t>
  </si>
  <si>
    <t>Működési kiadások összesen</t>
  </si>
  <si>
    <t>Működési kiadások mindösszesen</t>
  </si>
  <si>
    <t>Szarvas Város Önkormányzatának 2015. évi felhalmozási kiadásai</t>
  </si>
  <si>
    <t>Felhalmozási kiadások</t>
  </si>
  <si>
    <t xml:space="preserve"> 2.1.</t>
  </si>
  <si>
    <t>Beruházások</t>
  </si>
  <si>
    <t>Ingatlan vásárlás Petőfi u. 8.</t>
  </si>
  <si>
    <t>K6</t>
  </si>
  <si>
    <t>KEOP Békés Megyei Ivóvízminőségjavító Program</t>
  </si>
  <si>
    <t>Beruházások összesen</t>
  </si>
  <si>
    <t>Felújítások</t>
  </si>
  <si>
    <t>Lengyel Palota felújítása</t>
  </si>
  <si>
    <t>K7</t>
  </si>
  <si>
    <t>Felújítások összesen</t>
  </si>
  <si>
    <t>Tám.ért. felhalm. célú pe.átad.</t>
  </si>
  <si>
    <t>K8</t>
  </si>
  <si>
    <t>Tám.ért. felhalm. célú pe.átad.összesen</t>
  </si>
  <si>
    <t>Felhalm.célú pe.átadás</t>
  </si>
  <si>
    <t>Felhalmozási célú pe átadás összesen</t>
  </si>
  <si>
    <t xml:space="preserve"> 2.5.</t>
  </si>
  <si>
    <t>Pénzügyi befektetések kiadásai</t>
  </si>
  <si>
    <t>K66</t>
  </si>
  <si>
    <t>Pénzügyi befektetések kiadásai összesen</t>
  </si>
  <si>
    <t xml:space="preserve"> 2.6.</t>
  </si>
  <si>
    <t>Fejlesztési célú tartalék</t>
  </si>
  <si>
    <t xml:space="preserve">Felhalm.célú pe.átadás </t>
  </si>
  <si>
    <t>K65-66</t>
  </si>
  <si>
    <t>Felhalm. kiadások mindösszesen</t>
  </si>
  <si>
    <t>Szarvas Város Önkormányzatának 2015. évi finanszírozási kiadásai</t>
  </si>
  <si>
    <t xml:space="preserve"> 1.</t>
  </si>
  <si>
    <t>Finanszirozási kiadások</t>
  </si>
  <si>
    <t xml:space="preserve"> 3.1.</t>
  </si>
  <si>
    <t>Felhalmozási hitel törlesztése</t>
  </si>
  <si>
    <t>OTP Nyrt. Városrehabilitáció hitel</t>
  </si>
  <si>
    <t>K911</t>
  </si>
  <si>
    <t>Felhalmozási hitel törlesztés összesen</t>
  </si>
  <si>
    <t xml:space="preserve">Szarvas Város Önkormányzata 2015. évi hitelállományának, adósságot keletkeztető ügyleteiből adódó kötelezettségeinek alakulása </t>
  </si>
  <si>
    <t>Önkormányzat hitelállománya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</si>
  <si>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</si>
  <si>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</si>
  <si>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</si>
  <si>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</si>
  <si>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</si>
  <si>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</si>
  <si>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</si>
  <si>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</si>
  <si>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2023. év</t>
  </si>
  <si>
    <t>2024. év</t>
  </si>
  <si>
    <t>Összesen</t>
  </si>
  <si>
    <t>Hitel megnevezése</t>
  </si>
  <si>
    <t>nyitó</t>
  </si>
  <si>
    <t>felvét</t>
  </si>
  <si>
    <t xml:space="preserve">törlesztés </t>
  </si>
  <si>
    <t>záró</t>
  </si>
  <si>
    <t>OTP Nyrt. Városrehabilitáció kölcsön</t>
  </si>
  <si>
    <t>OTP Nyrt. Termál projekt kölcsön</t>
  </si>
  <si>
    <t>Hitel  összesen</t>
  </si>
  <si>
    <t>2015. évi kamatfizetés</t>
  </si>
  <si>
    <t>Tájékoztatásul a devizás kötelezettségek 2013.06.30-i állományáról eFt-ban (295,6 Ft/Euro, állomány 2 666 879,8 EUR)</t>
  </si>
  <si>
    <t>Kötvénykibocsátás 2007.</t>
  </si>
  <si>
    <t>Tájékoztatásul a devizás kötelezettségek 2013.09.30-i állományáról eFt-ban (305,08 Ft/Euro, állomány 2 370 322,77 EUR)</t>
  </si>
  <si>
    <t>Önkormányzati kezességvállalás és lízing</t>
  </si>
  <si>
    <t>összesen</t>
  </si>
  <si>
    <t>KOMÉP Kft. Ravatalozó építésre felvett beruházási hitel kezességvállalása</t>
  </si>
  <si>
    <t xml:space="preserve">Szarvasi Gyógy-Termál Kft. folyószámla hitel kezességvállalása (2015.12.31.-ig)      </t>
  </si>
  <si>
    <t>Önkormányzat adósságot keletkeztető ügyleteiből adódó kötelezettségeinek alakulása</t>
  </si>
  <si>
    <r>
      <t xml:space="preserve">Önkormányzat saját bevétele             </t>
    </r>
    <r>
      <rPr>
        <sz val="10"/>
        <rFont val="Arial CE"/>
        <family val="2"/>
      </rPr>
      <t>(353/2011.(XII.30.) Korm.rendelet 2.§)</t>
    </r>
  </si>
  <si>
    <r>
      <t>Önkormányzat saját bevétele 50%-a</t>
    </r>
    <r>
      <rPr>
        <b/>
        <sz val="10"/>
        <rFont val="Arial CE"/>
        <family val="2"/>
      </rPr>
      <t xml:space="preserve">      </t>
    </r>
    <r>
      <rPr>
        <sz val="10"/>
        <rFont val="Arial CE"/>
        <family val="2"/>
      </rPr>
      <t>(2011.évi CXCIV.törvény 10. § (5))</t>
    </r>
  </si>
  <si>
    <t>Hiteltörlesztés</t>
  </si>
  <si>
    <t>Hitelkamat</t>
  </si>
  <si>
    <t>Kezesség</t>
  </si>
  <si>
    <t>Hitel, kamat, kezesség összesen</t>
  </si>
  <si>
    <t>Adósságszolgálat a saját bevétel arányában</t>
  </si>
  <si>
    <t>Szarvas Város Önkormányzatának 2015. évi működési, fejlesztési és finanszírozási célú bevételeinek és kiadásainak mérlege</t>
  </si>
  <si>
    <t>Kv.működési bevételek</t>
  </si>
  <si>
    <t>Telj.        III.31.</t>
  </si>
  <si>
    <t>Telj.        VI.30.</t>
  </si>
  <si>
    <t>Kv.működési kiadások</t>
  </si>
  <si>
    <t>Munkaa.terh.jár.és szoc.hj.a.</t>
  </si>
  <si>
    <t>Dologi kiadás</t>
  </si>
  <si>
    <t>Támogatás ért.pe.átadás</t>
  </si>
  <si>
    <t>Önkormányzat sajátos bevétele</t>
  </si>
  <si>
    <t>támogatás értékű műk.c. bev.</t>
  </si>
  <si>
    <t>Szoc.pol juttatás</t>
  </si>
  <si>
    <t>Működési tartalék</t>
  </si>
  <si>
    <t>Fejlesztési bevételek</t>
  </si>
  <si>
    <t>Fejlesztési kiadások</t>
  </si>
  <si>
    <t>Felhalm. és tőkejellegű bevétel</t>
  </si>
  <si>
    <t>Magánsz. Építm.adó 20 %-a</t>
  </si>
  <si>
    <t>Felhalm.c.pe.átadás</t>
  </si>
  <si>
    <t>Felhalmozásra átvett pe.</t>
  </si>
  <si>
    <t>Fejlesztési tartalék</t>
  </si>
  <si>
    <t>Tám. értékű felhalm.c.pe átvét.</t>
  </si>
  <si>
    <t>Fejlesztési hitel kamata</t>
  </si>
  <si>
    <t>Kv.fejlesztési bevételek</t>
  </si>
  <si>
    <t>Kv.fejlesztési kiadások</t>
  </si>
  <si>
    <t>Kv.bevételek összesen</t>
  </si>
  <si>
    <t>Kv.kiadások összesen</t>
  </si>
  <si>
    <t>Finanszírozási bevételek</t>
  </si>
  <si>
    <t>Finanszírozási kadások</t>
  </si>
  <si>
    <t>Pénzmaradvány</t>
  </si>
  <si>
    <t>Működési finanszírozási bevételek</t>
  </si>
  <si>
    <t>Működési finanszírozási kiadások</t>
  </si>
  <si>
    <t>Hitel (felhalmozási)</t>
  </si>
  <si>
    <t>Fejlesztési finanszírozási bevételek</t>
  </si>
  <si>
    <t>Fejlesztési finanszírozási kiadások</t>
  </si>
  <si>
    <t>Finanszírozási bevételek össz.</t>
  </si>
  <si>
    <t>Finanszírozási kadások össz.</t>
  </si>
  <si>
    <t>Bevételek  mindösszesen</t>
  </si>
  <si>
    <t>Kiadások mindösszesen</t>
  </si>
  <si>
    <t>Müködési, felhalmozási és finanszírozási célú bevételek és kiadások alakulása 2015. évben</t>
  </si>
  <si>
    <t>BEVÉTELEK</t>
  </si>
  <si>
    <t xml:space="preserve"> I.</t>
  </si>
  <si>
    <t>Működési bevétel</t>
  </si>
  <si>
    <t>Mód. ei. VI.30.</t>
  </si>
  <si>
    <r>
      <t>Államigazg</t>
    </r>
    <r>
      <rPr>
        <sz val="11"/>
        <rFont val="Arial CE"/>
        <family val="2"/>
      </rPr>
      <t xml:space="preserve"> feladat           Mód. ei.</t>
    </r>
  </si>
  <si>
    <r>
      <t>Kötelező</t>
    </r>
    <r>
      <rPr>
        <sz val="11"/>
        <rFont val="Arial CE"/>
        <family val="2"/>
      </rPr>
      <t xml:space="preserve"> feladat Mód.ei. </t>
    </r>
  </si>
  <si>
    <r>
      <t>Önként v.</t>
    </r>
    <r>
      <rPr>
        <sz val="11"/>
        <rFont val="Arial CE"/>
        <family val="2"/>
      </rPr>
      <t xml:space="preserve"> feladat Mód.ei. </t>
    </r>
  </si>
  <si>
    <t>Kötelező</t>
  </si>
  <si>
    <t xml:space="preserve"> 2.</t>
  </si>
  <si>
    <t>Önkormányzat sajátos működési bevétele</t>
  </si>
  <si>
    <t>Működési bevételek összesen:</t>
  </si>
  <si>
    <t xml:space="preserve">III. </t>
  </si>
  <si>
    <t>Támogatás értékű bevételek összesen:</t>
  </si>
  <si>
    <t>Kölcsönök visszatérülése, értékpapir bevételei</t>
  </si>
  <si>
    <t>Költségvetési bevételek összesen:</t>
  </si>
  <si>
    <t>KIADÁSOK</t>
  </si>
  <si>
    <t xml:space="preserve"> 1.4.</t>
  </si>
  <si>
    <t>Ellátottak pénzbeli juttatásai</t>
  </si>
  <si>
    <t>Műk.célú pe. átadás</t>
  </si>
  <si>
    <t>Tám. értékű felh.célú pe.átadás</t>
  </si>
  <si>
    <t>Felhalm.c.pe. átadás</t>
  </si>
  <si>
    <t>Felhalmozási kiadások összesen:</t>
  </si>
  <si>
    <t>Költségvetési kiadások összesen</t>
  </si>
  <si>
    <t>Hitelek</t>
  </si>
  <si>
    <t>Finanszírozási kiadások</t>
  </si>
  <si>
    <t>Felhalmozási célú hitel törlesztése</t>
  </si>
  <si>
    <t>Finanszírozási kiadások összesen</t>
  </si>
  <si>
    <t>Költségvetési bevételek és kiadások  kötelező-, önként vállalt-, állami (államigazgatási) feladatok szerinti bontása</t>
  </si>
  <si>
    <t>2015. évben</t>
  </si>
  <si>
    <t>Teljesítés VI.30.</t>
  </si>
  <si>
    <t>Eredeti</t>
  </si>
  <si>
    <t>Telj. IX.30.</t>
  </si>
  <si>
    <t>Államigazgatási   feladat</t>
  </si>
  <si>
    <t>Önkormányzati feladat</t>
  </si>
  <si>
    <t>Államigazg.        feladat</t>
  </si>
  <si>
    <t>Nem kötelező</t>
  </si>
  <si>
    <t>Müködési, felhalmozási és finanszírozási célú bevételek és kiadások alakulása 2015-2018. években</t>
  </si>
  <si>
    <t>Szarvas Város Önkormányzatának 2015. évi létszámadatai (fő)</t>
  </si>
  <si>
    <t>eredeti ei.</t>
  </si>
  <si>
    <t>Államigazgatási feladatok</t>
  </si>
  <si>
    <t>Önkormányzati feladatok</t>
  </si>
  <si>
    <t>Polgármester</t>
  </si>
  <si>
    <t>Bizottsági tag</t>
  </si>
  <si>
    <t>Képviselő</t>
  </si>
  <si>
    <t>Köztisztviselő</t>
  </si>
  <si>
    <t>Szakmai (mezőőr)</t>
  </si>
  <si>
    <t>Közfoglalkoztatás</t>
  </si>
  <si>
    <t>Köztisztviselők</t>
  </si>
  <si>
    <t>Ügyviteli dolgozók</t>
  </si>
  <si>
    <t>Fizikai dolgozók</t>
  </si>
  <si>
    <t>Munkaügyi Központ által támogatott</t>
  </si>
  <si>
    <t>Óvodapedagógus</t>
  </si>
  <si>
    <t xml:space="preserve">Óvodapedagógust segítő </t>
  </si>
  <si>
    <t>Technikai</t>
  </si>
  <si>
    <t>Bölcsőde szakmai</t>
  </si>
  <si>
    <t>Bölcsőde technikai</t>
  </si>
  <si>
    <t>Szakmai (múzeum)</t>
  </si>
  <si>
    <t>Szakmai (könyvtár)</t>
  </si>
  <si>
    <t>Közcélú foglalkoztatottak</t>
  </si>
  <si>
    <t>Szarvas Város Önkormányzata összesen:</t>
  </si>
  <si>
    <t xml:space="preserve">2015. évi költségvetés címenkénti összesítése, kiemelt előirányzati bontásban </t>
  </si>
  <si>
    <t>Kiemelt előirányzat</t>
  </si>
  <si>
    <t>Polgármesteri Hivatal                2 cím</t>
  </si>
  <si>
    <t>Szarvas Város Óvodái és Bölcsődéje                           3 cím</t>
  </si>
  <si>
    <t>Tessedik Sámuel Múzeum és Szárazmalom, Városi Könyvtár 4 cím</t>
  </si>
  <si>
    <t>Mindösszesen</t>
  </si>
  <si>
    <t>Óvoda</t>
  </si>
  <si>
    <t>Bölcsőde</t>
  </si>
  <si>
    <t>Múzeum</t>
  </si>
  <si>
    <t>Könyvtár</t>
  </si>
  <si>
    <t>Bér</t>
  </si>
  <si>
    <t>Munkaadói járulék</t>
  </si>
  <si>
    <t>Tám.ért.műk.pe.átadás</t>
  </si>
  <si>
    <t>Társ.szoc.pol.tám.</t>
  </si>
  <si>
    <t>Kamat</t>
  </si>
  <si>
    <t>Műk.kiadás össz.</t>
  </si>
  <si>
    <t>Finanszírozás</t>
  </si>
  <si>
    <t>felhalmozási kamat</t>
  </si>
  <si>
    <t>támogatás értékű pe.áa.</t>
  </si>
  <si>
    <t>felhalm.c.pe.átadás</t>
  </si>
  <si>
    <t>pénzügyi befektetés</t>
  </si>
  <si>
    <t>felújítás (Lengyel Palota)</t>
  </si>
  <si>
    <t>beruházás</t>
  </si>
  <si>
    <t>felhalmozási tartalék</t>
  </si>
  <si>
    <t>Felhalmozási kiadás</t>
  </si>
  <si>
    <t>Kiadás mindössz.</t>
  </si>
  <si>
    <t>Támogatás értékű műk.bev.</t>
  </si>
  <si>
    <t>Működési átvett pe.</t>
  </si>
  <si>
    <t>önkorm.sajátos bevétel</t>
  </si>
  <si>
    <t xml:space="preserve">pénzmaradvány </t>
  </si>
  <si>
    <t>támogatás értékű felh.bev.</t>
  </si>
  <si>
    <t>Egyéb felh. átvett pe.</t>
  </si>
  <si>
    <t>Felhalmozási és tj.</t>
  </si>
  <si>
    <t>Kölcsönök visszatér</t>
  </si>
  <si>
    <t>Helyi adóbevétel</t>
  </si>
  <si>
    <t>központi adóbevétel</t>
  </si>
  <si>
    <t>Működési hitel</t>
  </si>
  <si>
    <t>Felhalmozási hitel</t>
  </si>
  <si>
    <t>Normatív és központosított támogatás</t>
  </si>
  <si>
    <t>Bevétel összesen</t>
  </si>
  <si>
    <t>Támogatási igény</t>
  </si>
  <si>
    <t>Norm.felüli tám.</t>
  </si>
  <si>
    <t>Támogatás %</t>
  </si>
  <si>
    <t>Tessedik Sámuel Múzeum , Városi Könyvtár</t>
  </si>
  <si>
    <t>Hivatal 2014.</t>
  </si>
  <si>
    <t>Hivatal 2015.</t>
  </si>
  <si>
    <t>Önkormányzat 2014.</t>
  </si>
  <si>
    <t>Önkormányzat 2015.</t>
  </si>
  <si>
    <t>Mindösszesen 2014.</t>
  </si>
  <si>
    <t>Mindösszesen 2015.</t>
  </si>
  <si>
    <t>Múezum 2014.</t>
  </si>
  <si>
    <t>Múzeum 2015.</t>
  </si>
  <si>
    <t>Könyvtár 2014.</t>
  </si>
  <si>
    <t>Könyvtár 2015.</t>
  </si>
  <si>
    <t>Óvoda 2014.</t>
  </si>
  <si>
    <t>Óvoda 2015.</t>
  </si>
  <si>
    <t>Bölcsőde 2014.</t>
  </si>
  <si>
    <t>Bölcsőde 2015.</t>
  </si>
  <si>
    <t>felújítás</t>
  </si>
  <si>
    <t>felhalmozás</t>
  </si>
  <si>
    <t>pénzmaradvány</t>
  </si>
  <si>
    <t>Normatív támogats</t>
  </si>
  <si>
    <t>Fejlesztési tartalék részletezése 2015. év .</t>
  </si>
  <si>
    <t>adatok Ft-ban</t>
  </si>
  <si>
    <t>Fejlesztési tartalék eredeti előirányzata: 2015.01.01.</t>
  </si>
  <si>
    <t>Vízmű vagyon karbantartása</t>
  </si>
  <si>
    <t>Kimutatás a közvetett támogatásokról</t>
  </si>
  <si>
    <t>Adónem</t>
  </si>
  <si>
    <t>Az önkormányzat rendeletében foglalt       kedvezmény, mentesség</t>
  </si>
  <si>
    <t>2015. évi      kedvezmény, mentesség várható összege</t>
  </si>
  <si>
    <t xml:space="preserve">A </t>
  </si>
  <si>
    <t>Építményadó 31/2004. (XII. 17.)</t>
  </si>
  <si>
    <t>65. évét betöltött egyedülálló</t>
  </si>
  <si>
    <t>Helyi iparűzési adó 13/1991. (XII. 16.)</t>
  </si>
  <si>
    <t>2,5 mFt adóalapot meg nem haladó vállalkozások</t>
  </si>
  <si>
    <t>Idegenforgalmi adó 40/2009. (XII.18.)</t>
  </si>
  <si>
    <t>70. életévét betöltött magánszemélyek</t>
  </si>
  <si>
    <t xml:space="preserve">Lakások és helyiségek bérletére szolgáló 1/2004.(I.23.) rendelet </t>
  </si>
  <si>
    <t>lakbér kedvezmény</t>
  </si>
  <si>
    <t>Támogatás összesen</t>
  </si>
  <si>
    <t>Államigazg. feladat</t>
  </si>
  <si>
    <t>Kötelező feladat</t>
  </si>
  <si>
    <t>Önként v. feladat</t>
  </si>
  <si>
    <t>Ingatlan hasznosítás (KOMÉP Régi + új bérlakások)</t>
  </si>
  <si>
    <t>Önkormányzati vagyon hasznosítás (ÁFA)</t>
  </si>
  <si>
    <t>Ingatlan hasznosítás (átszámlázandó)</t>
  </si>
  <si>
    <t>Igazgatási tevékenység</t>
  </si>
  <si>
    <t>Ingatlan vásárlás Vasút u. 51.</t>
  </si>
  <si>
    <t>Önkormányzat             1 cím</t>
  </si>
  <si>
    <t>Európai Uniós támogatással megvalósuló projektek 2015. évben</t>
  </si>
  <si>
    <t>KT határozat száma</t>
  </si>
  <si>
    <t>Tárgy</t>
  </si>
  <si>
    <t>Teljes költségvetés (eFt)</t>
  </si>
  <si>
    <t>Teljes saját forrás (eFt)</t>
  </si>
  <si>
    <t>2015. évi saját forrás</t>
  </si>
  <si>
    <t>2015. évi saját forrás kiegészítés (BM Önerő Alap)</t>
  </si>
  <si>
    <t>NFM EU Önerő Alap2015</t>
  </si>
  <si>
    <t>2015. évi támogatás</t>
  </si>
  <si>
    <t>Összes forrás 2015</t>
  </si>
  <si>
    <t>445/2014. (VIII.22.)</t>
  </si>
  <si>
    <t>Közvilágítás energiatakarékos korszerűsítése Szarvas városban KEOP-2014-5.5.0/K/14-2014-0012</t>
  </si>
  <si>
    <t>505/2012. (VIII.16.)</t>
  </si>
  <si>
    <t>Szarvas Város Geotermikus Rendszer fejlesztése I. ütem KEOP-4.20/B/11-2011-0034</t>
  </si>
  <si>
    <t>413/2012 (VI.21.)</t>
  </si>
  <si>
    <t>Belvízvédelmi rendszer fejlesztése Szarvason (konzorciumos, Szarvas gesztorságával) DAOP-5.2.1/A-11-2011-0007 Szarvasra eső rész</t>
  </si>
  <si>
    <t>651/2012. (X.18.)</t>
  </si>
  <si>
    <t>Település szilárdhulladék-gazdálkodási rendszerek fejlesztése (Komposztáló) KEOP-7.1.1/1F-2008-0009 Szarvasra eső rész</t>
  </si>
  <si>
    <t>691/2009; 781/2012; 18/2014 (I.16.)</t>
  </si>
  <si>
    <t>Ivóvízminőség-javító program KEOP-1.3.0/09-11 Szarvasra eső rész</t>
  </si>
  <si>
    <t>354/2012. (V.31.)</t>
  </si>
  <si>
    <t>TÁMOP-3.1.3-11/2-2012-0008 Öveges Program Szarvasra eső rész</t>
  </si>
  <si>
    <t>3/2011. (I.06.)</t>
  </si>
  <si>
    <t>Szarvas kistérségi székhely központjának integrált fejlesztése DAOP 5.1.2/A-09-2F-2011-0003 (Városrehab)</t>
  </si>
  <si>
    <t>100/2013. (II.21)</t>
  </si>
  <si>
    <t>KEOP-4.10.0/A/12/2013-1297 szarvas, Szlovák Általános Iskola és Diákotthon villamos energia fogyasztásának csökkentése napelemes rendszer kiépítésével</t>
  </si>
  <si>
    <t>97/2013. (II.21.)</t>
  </si>
  <si>
    <t>KEOP-4.10.0/A/12/2013-1297 szarvasi Szent Klára Gyógyfürdő és Termálszolgáltató Kft. villamos energia fogyasztásának csökkentése napelewmes rendszer kiépítésével</t>
  </si>
  <si>
    <t>390/2013. (VII.09.) 439/2013. (VIII.15.)</t>
  </si>
  <si>
    <t>KEOP 1.1.1/C/13-2013-0043 A Körös-szögi Kistérség hulladékgazdálkodási rendszerének továbbfejlesztése</t>
  </si>
  <si>
    <t>559/2014. (X.31.)</t>
  </si>
  <si>
    <t>ÁROP 1.A.3/2014-2014-0132 Területi esélyegyenlőségi együttműködés kialakítása a szarvasi járásban</t>
  </si>
  <si>
    <t>961/2013. (VI.27.)</t>
  </si>
  <si>
    <t>ÁROP-1.A.5-2013-2013-0012 Szarvas Város Önkormányzata Szervezetfejlesztés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</si>
  <si>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</si>
  <si>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</si>
  <si>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</si>
  <si>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</si>
  <si>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</si>
  <si>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</si>
  <si>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</si>
  <si>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</si>
  <si>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</si>
  <si>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</si>
  <si>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</si>
  <si>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</si>
  <si>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</si>
  <si>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3.Támogatás</t>
  </si>
  <si>
    <t>Kiadások</t>
  </si>
  <si>
    <t>11. Beruházások</t>
  </si>
  <si>
    <t>12. Felhalm.pe.átadás</t>
  </si>
  <si>
    <t>2015. Évi előirányzat-felhasználási ütemterv</t>
  </si>
  <si>
    <t>13.Tartalék</t>
  </si>
  <si>
    <t>14. Kiadások összesen</t>
  </si>
  <si>
    <t>9. Adósságszolgálat</t>
  </si>
  <si>
    <t>8. Dologi kiadások</t>
  </si>
  <si>
    <t>7. Működési kiadás dologi nélk.</t>
  </si>
  <si>
    <t>6. Bevételek összesen</t>
  </si>
  <si>
    <t>2. Átvett pénzeszk.</t>
  </si>
  <si>
    <t>1. Saját bevétel</t>
  </si>
  <si>
    <t>4. Hitel,kötvény</t>
  </si>
  <si>
    <t>5. Pénzforg.nélküli bevétel</t>
  </si>
  <si>
    <t>10. Felujitások</t>
  </si>
  <si>
    <t>15. Egyenleg (6-13)</t>
  </si>
  <si>
    <t>2015. évi költségvetés II. forduló összehasonlító tábla</t>
  </si>
  <si>
    <t>Igazgatási tev.összesen</t>
  </si>
  <si>
    <t>1/b melléklet a 2/2015.(II.20.) önkormányzati rendelethez</t>
  </si>
  <si>
    <t>2/b melléklet a 2/2015.(II.20.) önkormányzati rendelethez</t>
  </si>
  <si>
    <t>2/a melléklet a 2/2015.(II.20.) önkormányzati rendelethez</t>
  </si>
  <si>
    <t>1/a melléklet a 2/2015.(II.20.) önkormányzati rendelethez</t>
  </si>
  <si>
    <t>1 melléklet a 2/2015.(II.20.) önkormányzati rendelethez</t>
  </si>
  <si>
    <t>2 melléklet a 2/2015.(II.20.) önkormányzati rendelethez</t>
  </si>
  <si>
    <t>3 melléklet a 2/2015.(II.20.) önkormányzati rendelethez</t>
  </si>
  <si>
    <t>4 melléklet a 2/2015.(II.20.) önkormányzati rendelethez</t>
  </si>
  <si>
    <t>5 melléklet a 2/2015.(II.20.) önkormányzati rendelethez</t>
  </si>
  <si>
    <t>5/a melléklet a 2/2015.(II.20.) önkormányzati rendelethez</t>
  </si>
  <si>
    <t>6 melléklet a 2/2015.(II.20.) önkormányzati rendelethez</t>
  </si>
  <si>
    <t>7 melléklet a 2/2015.(II.20.) önkormányzati rendelethez</t>
  </si>
  <si>
    <t>9 melléklet a 2/2015.(II.20.) önkormányzati rendelethez</t>
  </si>
  <si>
    <t>10 melléklet a 2/2015.(II.20.) önkormányzati rendelethez</t>
  </si>
  <si>
    <t>11/a melléklet a 2/2015.(II.20.) önkormányzati rendelethez</t>
  </si>
  <si>
    <t>12 melléklet a 2/2015.(II.20.) önkormányzati rendelethez</t>
  </si>
  <si>
    <t>13 melléklet a 2/2015.(II.20.)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</si>
</sst>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  <numFmt numFmtId="166" formatCode="#,##0\ _F_t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"/>
    <numFmt numFmtId="171" formatCode="#,##0.0"/>
    <numFmt numFmtId="172" formatCode="#,##0\ [$€-1];[Red]\-#,##0\ [$€-1]"/>
    <numFmt numFmtId="173" formatCode="[$€-2]\ #,##0;[Red]\-[$€-2]\ #,##0"/>
    <numFmt numFmtId="174" formatCode="[$-40E]yyyy\.\ mmmm\ d\."/>
    <numFmt numFmtId="175" formatCode="#,##0_ ;[Red]\-#,##0\ "/>
    <numFmt numFmtId="176" formatCode="\+\ 0"/>
    <numFmt numFmtId="177" formatCode="\+\2.\2%"/>
    <numFmt numFmtId="178" formatCode="\+\ .\2%"/>
    <numFmt numFmtId="179" formatCode="0.0%"/>
    <numFmt numFmtId="180" formatCode="\+\ .\4%"/>
    <numFmt numFmtId="181" formatCode="\+\ .\7%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#,##0.000"/>
    <numFmt numFmtId="191" formatCode="#,##0_ ;\-#,##0\ "/>
    <numFmt numFmtId="192" formatCode="0_ ;\-0\ "/>
    <numFmt numFmtId="193" formatCode="yyyy\-mm\-dd;@"/>
    <numFmt numFmtId="194" formatCode="mmm/yyyy"/>
    <numFmt numFmtId="195" formatCode="m\.\ d\.;@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836">
    <xf numFmtId="0" fontId="0" fillId="0" borderId="0" xfId="0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0" fillId="0" borderId="0" xfId="0" applyNumberFormat="1" applyFont="1" applyBorder="1" applyAlignment="1">
      <alignment horizontal="right"/>
    </xf>
    <xf numFmtId="1" fontId="21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" fontId="23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19" fillId="0" borderId="0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22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3" fontId="26" fillId="0" borderId="10" xfId="0" applyNumberFormat="1" applyFont="1" applyBorder="1" applyAlignment="1">
      <alignment horizontal="right"/>
    </xf>
    <xf numFmtId="0" fontId="26" fillId="0" borderId="11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3" fontId="25" fillId="0" borderId="0" xfId="0" applyNumberFormat="1" applyFont="1" applyAlignment="1">
      <alignment horizontal="right"/>
    </xf>
    <xf numFmtId="0" fontId="26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6" fillId="0" borderId="12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5" fillId="0" borderId="10" xfId="0" applyFont="1" applyFill="1" applyBorder="1" applyAlignment="1">
      <alignment/>
    </xf>
    <xf numFmtId="3" fontId="26" fillId="0" borderId="11" xfId="0" applyNumberFormat="1" applyFont="1" applyBorder="1" applyAlignment="1">
      <alignment horizontal="right"/>
    </xf>
    <xf numFmtId="3" fontId="25" fillId="0" borderId="0" xfId="0" applyNumberFormat="1" applyFont="1" applyFill="1" applyAlignment="1">
      <alignment/>
    </xf>
    <xf numFmtId="1" fontId="19" fillId="0" borderId="10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1" fontId="23" fillId="0" borderId="11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0" fontId="19" fillId="0" borderId="0" xfId="63" applyFont="1" applyAlignment="1">
      <alignment horizontal="center"/>
      <protection/>
    </xf>
    <xf numFmtId="0" fontId="19" fillId="0" borderId="0" xfId="63" applyFont="1">
      <alignment/>
      <protection/>
    </xf>
    <xf numFmtId="3" fontId="19" fillId="0" borderId="0" xfId="63" applyNumberFormat="1" applyFont="1">
      <alignment/>
      <protection/>
    </xf>
    <xf numFmtId="0" fontId="19" fillId="0" borderId="0" xfId="63" applyFont="1" applyAlignment="1">
      <alignment horizontal="right"/>
      <protection/>
    </xf>
    <xf numFmtId="0" fontId="20" fillId="0" borderId="0" xfId="63" applyFont="1" applyAlignment="1">
      <alignment horizontal="right"/>
      <protection/>
    </xf>
    <xf numFmtId="0" fontId="0" fillId="0" borderId="0" xfId="63" applyAlignment="1">
      <alignment horizontal="right"/>
      <protection/>
    </xf>
    <xf numFmtId="0" fontId="21" fillId="0" borderId="0" xfId="63" applyFont="1" applyAlignment="1">
      <alignment horizontal="right"/>
      <protection/>
    </xf>
    <xf numFmtId="0" fontId="23" fillId="0" borderId="0" xfId="63" applyFont="1" applyBorder="1" applyAlignment="1">
      <alignment horizontal="center"/>
      <protection/>
    </xf>
    <xf numFmtId="0" fontId="23" fillId="0" borderId="0" xfId="63" applyFont="1" applyAlignment="1">
      <alignment horizontal="center"/>
      <protection/>
    </xf>
    <xf numFmtId="0" fontId="0" fillId="0" borderId="10" xfId="63" applyBorder="1" applyAlignment="1">
      <alignment/>
      <protection/>
    </xf>
    <xf numFmtId="0" fontId="19" fillId="0" borderId="10" xfId="63" applyFont="1" applyBorder="1">
      <alignment/>
      <protection/>
    </xf>
    <xf numFmtId="0" fontId="23" fillId="0" borderId="10" xfId="63" applyFont="1" applyBorder="1" applyAlignment="1">
      <alignment horizontal="right"/>
      <protection/>
    </xf>
    <xf numFmtId="0" fontId="19" fillId="0" borderId="0" xfId="63" applyFont="1" applyAlignment="1">
      <alignment/>
      <protection/>
    </xf>
    <xf numFmtId="0" fontId="19" fillId="0" borderId="11" xfId="63" applyFont="1" applyBorder="1" applyAlignment="1">
      <alignment horizontal="center" vertical="center" textRotation="90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3" fontId="19" fillId="0" borderId="11" xfId="63" applyNumberFormat="1" applyFont="1" applyBorder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23" fillId="0" borderId="0" xfId="63" applyFont="1" applyAlignment="1">
      <alignment horizontal="center" vertical="center" wrapText="1"/>
      <protection/>
    </xf>
    <xf numFmtId="3" fontId="23" fillId="0" borderId="11" xfId="63" applyNumberFormat="1" applyFont="1" applyBorder="1" applyAlignment="1">
      <alignment horizontal="center" vertical="center" wrapText="1"/>
      <protection/>
    </xf>
    <xf numFmtId="0" fontId="19" fillId="0" borderId="0" xfId="63" applyFont="1" applyAlignment="1">
      <alignment vertical="top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3" fontId="19" fillId="0" borderId="10" xfId="63" applyNumberFormat="1" applyFont="1" applyBorder="1" applyAlignment="1">
      <alignment horizontal="center" vertical="center" wrapText="1"/>
      <protection/>
    </xf>
    <xf numFmtId="3" fontId="19" fillId="0" borderId="11" xfId="63" applyNumberFormat="1" applyFont="1" applyBorder="1" applyAlignment="1">
      <alignment horizontal="center" vertical="top" wrapText="1"/>
      <protection/>
    </xf>
    <xf numFmtId="0" fontId="19" fillId="0" borderId="11" xfId="63" applyFont="1" applyBorder="1" applyAlignment="1">
      <alignment horizontal="center" vertical="top" wrapText="1"/>
      <protection/>
    </xf>
    <xf numFmtId="0" fontId="19" fillId="0" borderId="0" xfId="63" applyFont="1" applyBorder="1" applyAlignment="1">
      <alignment vertical="top" wrapText="1"/>
      <protection/>
    </xf>
    <xf numFmtId="0" fontId="19" fillId="0" borderId="12" xfId="63" applyFont="1" applyBorder="1" applyAlignment="1">
      <alignment horizontal="center"/>
      <protection/>
    </xf>
    <xf numFmtId="0" fontId="19" fillId="0" borderId="12" xfId="63" applyFont="1" applyBorder="1">
      <alignment/>
      <protection/>
    </xf>
    <xf numFmtId="3" fontId="19" fillId="0" borderId="0" xfId="63" applyNumberFormat="1" applyFont="1" applyBorder="1">
      <alignment/>
      <protection/>
    </xf>
    <xf numFmtId="0" fontId="19" fillId="0" borderId="0" xfId="63" applyFont="1" applyBorder="1" applyAlignment="1">
      <alignment horizontal="right"/>
      <protection/>
    </xf>
    <xf numFmtId="0" fontId="19" fillId="0" borderId="0" xfId="63" applyFont="1" applyBorder="1">
      <alignment/>
      <protection/>
    </xf>
    <xf numFmtId="0" fontId="19" fillId="0" borderId="10" xfId="63" applyFont="1" applyBorder="1" applyAlignment="1">
      <alignment horizontal="center"/>
      <protection/>
    </xf>
    <xf numFmtId="0" fontId="23" fillId="0" borderId="11" xfId="63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3" fontId="23" fillId="0" borderId="11" xfId="63" applyNumberFormat="1" applyFont="1" applyBorder="1">
      <alignment/>
      <protection/>
    </xf>
    <xf numFmtId="3" fontId="23" fillId="0" borderId="11" xfId="63" applyNumberFormat="1" applyFont="1" applyBorder="1" applyAlignment="1">
      <alignment horizontal="right"/>
      <protection/>
    </xf>
    <xf numFmtId="0" fontId="23" fillId="0" borderId="0" xfId="63" applyFont="1">
      <alignment/>
      <protection/>
    </xf>
    <xf numFmtId="0" fontId="19" fillId="0" borderId="0" xfId="63" applyFont="1" applyBorder="1" applyAlignment="1">
      <alignment horizontal="center"/>
      <protection/>
    </xf>
    <xf numFmtId="164" fontId="19" fillId="0" borderId="0" xfId="63" applyNumberFormat="1" applyFont="1" applyBorder="1" applyAlignment="1">
      <alignment horizontal="center"/>
      <protection/>
    </xf>
    <xf numFmtId="0" fontId="23" fillId="0" borderId="11" xfId="63" applyFont="1" applyBorder="1" applyAlignment="1">
      <alignment horizontal="right"/>
      <protection/>
    </xf>
    <xf numFmtId="165" fontId="19" fillId="0" borderId="10" xfId="63" applyNumberFormat="1" applyFont="1" applyBorder="1">
      <alignment/>
      <protection/>
    </xf>
    <xf numFmtId="3" fontId="23" fillId="0" borderId="0" xfId="63" applyNumberFormat="1" applyFont="1">
      <alignment/>
      <protection/>
    </xf>
    <xf numFmtId="3" fontId="23" fillId="0" borderId="0" xfId="63" applyNumberFormat="1" applyFont="1" applyBorder="1">
      <alignment/>
      <protection/>
    </xf>
    <xf numFmtId="0" fontId="19" fillId="0" borderId="11" xfId="63" applyFont="1" applyBorder="1">
      <alignment/>
      <protection/>
    </xf>
    <xf numFmtId="164" fontId="23" fillId="0" borderId="11" xfId="63" applyNumberFormat="1" applyFont="1" applyBorder="1" applyAlignment="1">
      <alignment horizontal="center"/>
      <protection/>
    </xf>
    <xf numFmtId="0" fontId="19" fillId="0" borderId="11" xfId="63" applyFont="1" applyBorder="1" applyAlignment="1">
      <alignment horizontal="right"/>
      <protection/>
    </xf>
    <xf numFmtId="0" fontId="23" fillId="0" borderId="0" xfId="63" applyFont="1" applyBorder="1">
      <alignment/>
      <protection/>
    </xf>
    <xf numFmtId="0" fontId="23" fillId="0" borderId="0" xfId="63" applyFont="1" applyAlignment="1">
      <alignment horizontal="right"/>
      <protection/>
    </xf>
    <xf numFmtId="0" fontId="19" fillId="0" borderId="0" xfId="63" applyFont="1" applyFill="1" applyBorder="1">
      <alignment/>
      <protection/>
    </xf>
    <xf numFmtId="0" fontId="19" fillId="0" borderId="11" xfId="63" applyFont="1" applyBorder="1" applyAlignment="1">
      <alignment horizontal="center"/>
      <protection/>
    </xf>
    <xf numFmtId="0" fontId="23" fillId="0" borderId="11" xfId="63" applyFont="1" applyFill="1" applyBorder="1" applyAlignment="1">
      <alignment horizontal="center"/>
      <protection/>
    </xf>
    <xf numFmtId="0" fontId="23" fillId="0" borderId="11" xfId="63" applyFont="1" applyFill="1" applyBorder="1">
      <alignment/>
      <protection/>
    </xf>
    <xf numFmtId="3" fontId="23" fillId="0" borderId="11" xfId="63" applyNumberFormat="1" applyFont="1" applyFill="1" applyBorder="1">
      <alignment/>
      <protection/>
    </xf>
    <xf numFmtId="0" fontId="23" fillId="0" borderId="11" xfId="63" applyFont="1" applyFill="1" applyBorder="1" applyAlignment="1">
      <alignment horizontal="right"/>
      <protection/>
    </xf>
    <xf numFmtId="0" fontId="23" fillId="0" borderId="0" xfId="63" applyFont="1" applyFill="1">
      <alignment/>
      <protection/>
    </xf>
    <xf numFmtId="0" fontId="19" fillId="0" borderId="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3" fontId="23" fillId="0" borderId="11" xfId="63" applyNumberFormat="1" applyFont="1" applyBorder="1" applyAlignment="1">
      <alignment horizontal="right" vertical="center" wrapText="1"/>
      <protection/>
    </xf>
    <xf numFmtId="3" fontId="19" fillId="0" borderId="10" xfId="63" applyNumberFormat="1" applyFont="1" applyBorder="1">
      <alignment/>
      <protection/>
    </xf>
    <xf numFmtId="3" fontId="19" fillId="0" borderId="11" xfId="63" applyNumberFormat="1" applyFont="1" applyBorder="1">
      <alignment/>
      <protection/>
    </xf>
    <xf numFmtId="0" fontId="19" fillId="0" borderId="11" xfId="63" applyFont="1" applyFill="1" applyBorder="1">
      <alignment/>
      <protection/>
    </xf>
    <xf numFmtId="0" fontId="23" fillId="0" borderId="11" xfId="63" applyFont="1" applyBorder="1" applyAlignment="1">
      <alignment horizontal="left"/>
      <protection/>
    </xf>
    <xf numFmtId="0" fontId="19" fillId="0" borderId="10" xfId="63" applyFont="1" applyBorder="1" applyAlignment="1">
      <alignment horizontal="right"/>
      <protection/>
    </xf>
    <xf numFmtId="0" fontId="23" fillId="0" borderId="12" xfId="63" applyFont="1" applyBorder="1" applyAlignment="1">
      <alignment horizontal="center"/>
      <protection/>
    </xf>
    <xf numFmtId="0" fontId="23" fillId="0" borderId="12" xfId="63" applyFont="1" applyBorder="1">
      <alignment/>
      <protection/>
    </xf>
    <xf numFmtId="0" fontId="27" fillId="0" borderId="0" xfId="63" applyFont="1" applyAlignment="1">
      <alignment horizontal="center"/>
      <protection/>
    </xf>
    <xf numFmtId="0" fontId="27" fillId="0" borderId="0" xfId="63" applyFont="1">
      <alignment/>
      <protection/>
    </xf>
    <xf numFmtId="3" fontId="27" fillId="0" borderId="0" xfId="63" applyNumberFormat="1" applyFont="1">
      <alignment/>
      <protection/>
    </xf>
    <xf numFmtId="0" fontId="27" fillId="0" borderId="0" xfId="63" applyFont="1" applyAlignment="1">
      <alignment horizontal="right"/>
      <protection/>
    </xf>
    <xf numFmtId="0" fontId="28" fillId="0" borderId="0" xfId="63" applyFont="1" applyAlignment="1">
      <alignment/>
      <protection/>
    </xf>
    <xf numFmtId="0" fontId="0" fillId="0" borderId="0" xfId="63" applyAlignment="1">
      <alignment/>
      <protection/>
    </xf>
    <xf numFmtId="0" fontId="28" fillId="0" borderId="0" xfId="63" applyFont="1" applyAlignment="1">
      <alignment horizontal="right"/>
      <protection/>
    </xf>
    <xf numFmtId="0" fontId="29" fillId="0" borderId="0" xfId="63" applyFont="1" applyBorder="1" applyAlignment="1">
      <alignment horizontal="center"/>
      <protection/>
    </xf>
    <xf numFmtId="0" fontId="29" fillId="0" borderId="10" xfId="63" applyFont="1" applyBorder="1" applyAlignment="1">
      <alignment/>
      <protection/>
    </xf>
    <xf numFmtId="0" fontId="0" fillId="0" borderId="0" xfId="63" applyBorder="1" applyAlignment="1">
      <alignment/>
      <protection/>
    </xf>
    <xf numFmtId="0" fontId="29" fillId="0" borderId="0" xfId="63" applyFont="1" applyBorder="1" applyAlignment="1">
      <alignment horizontal="right"/>
      <protection/>
    </xf>
    <xf numFmtId="0" fontId="27" fillId="0" borderId="11" xfId="63" applyFont="1" applyBorder="1" applyAlignment="1">
      <alignment horizontal="center" vertical="center" textRotation="90" wrapText="1"/>
      <protection/>
    </xf>
    <xf numFmtId="0" fontId="27" fillId="0" borderId="11" xfId="63" applyFont="1" applyBorder="1" applyAlignment="1">
      <alignment horizontal="center" vertical="center" wrapText="1"/>
      <protection/>
    </xf>
    <xf numFmtId="3" fontId="19" fillId="0" borderId="10" xfId="63" applyNumberFormat="1" applyFont="1" applyBorder="1" applyAlignment="1">
      <alignment horizontal="center" vertical="top" wrapText="1"/>
      <protection/>
    </xf>
    <xf numFmtId="3" fontId="27" fillId="0" borderId="0" xfId="63" applyNumberFormat="1" applyFont="1" applyBorder="1">
      <alignment/>
      <protection/>
    </xf>
    <xf numFmtId="0" fontId="27" fillId="0" borderId="0" xfId="63" applyFont="1" applyBorder="1" applyAlignment="1">
      <alignment horizontal="right"/>
      <protection/>
    </xf>
    <xf numFmtId="0" fontId="27" fillId="0" borderId="0" xfId="63" applyFont="1" applyBorder="1">
      <alignment/>
      <protection/>
    </xf>
    <xf numFmtId="164" fontId="27" fillId="0" borderId="0" xfId="63" applyNumberFormat="1" applyFont="1" applyAlignment="1">
      <alignment horizontal="center"/>
      <protection/>
    </xf>
    <xf numFmtId="3" fontId="27" fillId="0" borderId="0" xfId="63" applyNumberFormat="1" applyFont="1" applyFill="1">
      <alignment/>
      <protection/>
    </xf>
    <xf numFmtId="0" fontId="29" fillId="0" borderId="11" xfId="63" applyFont="1" applyBorder="1" applyAlignment="1">
      <alignment horizontal="center"/>
      <protection/>
    </xf>
    <xf numFmtId="0" fontId="29" fillId="0" borderId="11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0" fontId="29" fillId="0" borderId="11" xfId="63" applyFont="1" applyBorder="1" applyAlignment="1">
      <alignment horizontal="right"/>
      <protection/>
    </xf>
    <xf numFmtId="0" fontId="29" fillId="0" borderId="0" xfId="63" applyFont="1">
      <alignment/>
      <protection/>
    </xf>
    <xf numFmtId="0" fontId="27" fillId="0" borderId="0" xfId="63" applyFont="1" applyFill="1" applyBorder="1">
      <alignment/>
      <protection/>
    </xf>
    <xf numFmtId="0" fontId="27" fillId="0" borderId="0" xfId="63" applyFont="1" applyBorder="1" applyAlignment="1">
      <alignment/>
      <protection/>
    </xf>
    <xf numFmtId="3" fontId="27" fillId="0" borderId="11" xfId="63" applyNumberFormat="1" applyFont="1" applyBorder="1">
      <alignment/>
      <protection/>
    </xf>
    <xf numFmtId="0" fontId="27" fillId="0" borderId="11" xfId="63" applyFont="1" applyBorder="1" applyAlignment="1">
      <alignment horizontal="right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Border="1">
      <alignment/>
      <protection/>
    </xf>
    <xf numFmtId="0" fontId="29" fillId="0" borderId="0" xfId="63" applyFont="1" applyBorder="1">
      <alignment/>
      <protection/>
    </xf>
    <xf numFmtId="0" fontId="29" fillId="0" borderId="10" xfId="63" applyFont="1" applyBorder="1" applyAlignment="1">
      <alignment horizontal="right"/>
      <protection/>
    </xf>
    <xf numFmtId="164" fontId="29" fillId="0" borderId="11" xfId="63" applyNumberFormat="1" applyFont="1" applyBorder="1" applyAlignment="1">
      <alignment horizontal="center"/>
      <protection/>
    </xf>
    <xf numFmtId="3" fontId="29" fillId="0" borderId="10" xfId="63" applyNumberFormat="1" applyFont="1" applyBorder="1">
      <alignment/>
      <protection/>
    </xf>
    <xf numFmtId="0" fontId="27" fillId="0" borderId="0" xfId="63" applyFont="1" applyBorder="1" applyAlignment="1">
      <alignment horizontal="center"/>
      <protection/>
    </xf>
    <xf numFmtId="0" fontId="29" fillId="0" borderId="11" xfId="63" applyFont="1" applyFill="1" applyBorder="1">
      <alignment/>
      <protection/>
    </xf>
    <xf numFmtId="164" fontId="27" fillId="0" borderId="0" xfId="63" applyNumberFormat="1" applyFont="1" applyBorder="1" applyAlignment="1">
      <alignment horizontal="center"/>
      <protection/>
    </xf>
    <xf numFmtId="0" fontId="29" fillId="0" borderId="10" xfId="63" applyFont="1" applyBorder="1" applyAlignment="1">
      <alignment horizontal="center"/>
      <protection/>
    </xf>
    <xf numFmtId="0" fontId="29" fillId="0" borderId="10" xfId="63" applyFont="1" applyBorder="1">
      <alignment/>
      <protection/>
    </xf>
    <xf numFmtId="3" fontId="29" fillId="0" borderId="0" xfId="63" applyNumberFormat="1" applyFont="1">
      <alignment/>
      <protection/>
    </xf>
    <xf numFmtId="3" fontId="28" fillId="0" borderId="0" xfId="63" applyNumberFormat="1" applyFont="1" applyBorder="1" applyAlignment="1">
      <alignment horizontal="right"/>
      <protection/>
    </xf>
    <xf numFmtId="0" fontId="29" fillId="0" borderId="0" xfId="63" applyFont="1" applyAlignment="1">
      <alignment horizontal="center"/>
      <protection/>
    </xf>
    <xf numFmtId="3" fontId="29" fillId="0" borderId="0" xfId="63" applyNumberFormat="1" applyFont="1" applyAlignment="1">
      <alignment horizontal="center"/>
      <protection/>
    </xf>
    <xf numFmtId="0" fontId="27" fillId="0" borderId="10" xfId="63" applyFont="1" applyBorder="1" applyAlignment="1">
      <alignment horizontal="center" vertical="center" wrapText="1"/>
      <protection/>
    </xf>
    <xf numFmtId="0" fontId="0" fillId="0" borderId="0" xfId="59">
      <alignment/>
      <protection/>
    </xf>
    <xf numFmtId="0" fontId="21" fillId="0" borderId="0" xfId="59" applyFont="1" applyAlignment="1">
      <alignment/>
      <protection/>
    </xf>
    <xf numFmtId="0" fontId="24" fillId="0" borderId="0" xfId="59" applyFont="1">
      <alignment/>
      <protection/>
    </xf>
    <xf numFmtId="0" fontId="21" fillId="0" borderId="0" xfId="59" applyFont="1" applyAlignment="1">
      <alignment horizontal="right"/>
      <protection/>
    </xf>
    <xf numFmtId="0" fontId="24" fillId="0" borderId="0" xfId="59" applyFont="1" applyAlignment="1">
      <alignment/>
      <protection/>
    </xf>
    <xf numFmtId="0" fontId="20" fillId="0" borderId="0" xfId="59" applyFont="1" applyAlignment="1">
      <alignment horizontal="center" vertical="top"/>
      <protection/>
    </xf>
    <xf numFmtId="0" fontId="20" fillId="0" borderId="0" xfId="59" applyFont="1" applyAlignment="1">
      <alignment vertical="top"/>
      <protection/>
    </xf>
    <xf numFmtId="0" fontId="0" fillId="0" borderId="0" xfId="59" applyAlignment="1">
      <alignment vertical="top"/>
      <protection/>
    </xf>
    <xf numFmtId="0" fontId="24" fillId="0" borderId="0" xfId="59" applyFont="1" applyBorder="1" applyAlignment="1">
      <alignment vertical="top"/>
      <protection/>
    </xf>
    <xf numFmtId="0" fontId="24" fillId="0" borderId="0" xfId="59" applyFont="1" applyBorder="1" applyAlignment="1">
      <alignment horizontal="right" vertical="top"/>
      <protection/>
    </xf>
    <xf numFmtId="0" fontId="0" fillId="0" borderId="13" xfId="59" applyBorder="1">
      <alignment/>
      <protection/>
    </xf>
    <xf numFmtId="0" fontId="0" fillId="0" borderId="14" xfId="59" applyBorder="1">
      <alignment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3" xfId="59" applyFont="1" applyBorder="1" applyAlignment="1">
      <alignment horizontal="center" vertical="top" wrapText="1"/>
      <protection/>
    </xf>
    <xf numFmtId="0" fontId="24" fillId="0" borderId="14" xfId="59" applyFont="1" applyBorder="1" applyAlignment="1">
      <alignment horizontal="center" vertical="top" wrapText="1"/>
      <protection/>
    </xf>
    <xf numFmtId="0" fontId="0" fillId="0" borderId="15" xfId="59" applyFont="1" applyBorder="1" applyAlignment="1">
      <alignment horizontal="center" vertical="center" wrapText="1"/>
      <protection/>
    </xf>
    <xf numFmtId="0" fontId="30" fillId="0" borderId="15" xfId="59" applyFont="1" applyBorder="1" applyAlignment="1">
      <alignment horizontal="center" vertical="center" wrapText="1"/>
      <protection/>
    </xf>
    <xf numFmtId="0" fontId="24" fillId="0" borderId="16" xfId="59" applyFont="1" applyBorder="1" applyAlignment="1">
      <alignment vertical="center" wrapText="1"/>
      <protection/>
    </xf>
    <xf numFmtId="0" fontId="0" fillId="24" borderId="13" xfId="59" applyFont="1" applyFill="1" applyBorder="1" applyAlignment="1">
      <alignment vertical="top"/>
      <protection/>
    </xf>
    <xf numFmtId="0" fontId="0" fillId="24" borderId="14" xfId="59" applyFill="1" applyBorder="1" applyAlignment="1">
      <alignment vertical="top" wrapText="1"/>
      <protection/>
    </xf>
    <xf numFmtId="3" fontId="0" fillId="24" borderId="15" xfId="59" applyNumberFormat="1" applyFill="1" applyBorder="1" applyAlignment="1">
      <alignment vertical="center" wrapText="1"/>
      <protection/>
    </xf>
    <xf numFmtId="3" fontId="0" fillId="0" borderId="15" xfId="59" applyNumberFormat="1" applyBorder="1" applyAlignment="1">
      <alignment vertical="center" wrapText="1"/>
      <protection/>
    </xf>
    <xf numFmtId="0" fontId="24" fillId="0" borderId="13" xfId="59" applyFont="1" applyBorder="1" applyAlignment="1">
      <alignment vertical="top" wrapText="1"/>
      <protection/>
    </xf>
    <xf numFmtId="0" fontId="24" fillId="0" borderId="14" xfId="59" applyFont="1" applyBorder="1" applyAlignment="1">
      <alignment vertical="top" wrapText="1"/>
      <protection/>
    </xf>
    <xf numFmtId="3" fontId="24" fillId="0" borderId="15" xfId="59" applyNumberFormat="1" applyFont="1" applyBorder="1" applyAlignment="1">
      <alignment vertical="center" wrapText="1"/>
      <protection/>
    </xf>
    <xf numFmtId="3" fontId="24" fillId="0" borderId="15" xfId="59" applyNumberFormat="1" applyFont="1" applyBorder="1" applyAlignment="1">
      <alignment vertical="center"/>
      <protection/>
    </xf>
    <xf numFmtId="3" fontId="24" fillId="0" borderId="15" xfId="59" applyNumberFormat="1" applyFont="1" applyBorder="1" applyAlignment="1">
      <alignment horizontal="right" vertical="center"/>
      <protection/>
    </xf>
    <xf numFmtId="3" fontId="24" fillId="0" borderId="0" xfId="59" applyNumberFormat="1" applyFont="1" applyBorder="1" applyAlignment="1">
      <alignment vertical="center"/>
      <protection/>
    </xf>
    <xf numFmtId="0" fontId="24" fillId="0" borderId="0" xfId="59" applyFont="1" applyFill="1" applyBorder="1" applyAlignment="1">
      <alignment vertical="center" wrapText="1"/>
      <protection/>
    </xf>
    <xf numFmtId="3" fontId="24" fillId="0" borderId="0" xfId="59" applyNumberFormat="1" applyFont="1" applyBorder="1" applyAlignment="1">
      <alignment vertical="center" wrapText="1"/>
      <protection/>
    </xf>
    <xf numFmtId="3" fontId="24" fillId="0" borderId="0" xfId="59" applyNumberFormat="1" applyFont="1" applyBorder="1" applyAlignment="1">
      <alignment horizontal="center" vertical="center"/>
      <protection/>
    </xf>
    <xf numFmtId="0" fontId="0" fillId="0" borderId="0" xfId="59" applyFont="1" applyFill="1" applyBorder="1" applyAlignment="1">
      <alignment horizontal="left" vertical="center" wrapText="1"/>
      <protection/>
    </xf>
    <xf numFmtId="3" fontId="0" fillId="0" borderId="0" xfId="59" applyNumberFormat="1" applyFont="1" applyBorder="1" applyAlignment="1">
      <alignment horizontal="center" vertical="center"/>
      <protection/>
    </xf>
    <xf numFmtId="0" fontId="24" fillId="0" borderId="0" xfId="59" applyFont="1" applyBorder="1" applyAlignment="1">
      <alignment horizontal="center"/>
      <protection/>
    </xf>
    <xf numFmtId="0" fontId="0" fillId="0" borderId="0" xfId="59" applyAlignment="1">
      <alignment/>
      <protection/>
    </xf>
    <xf numFmtId="0" fontId="24" fillId="0" borderId="10" xfId="59" applyFont="1" applyBorder="1" applyAlignment="1">
      <alignment horizontal="center"/>
      <protection/>
    </xf>
    <xf numFmtId="0" fontId="24" fillId="0" borderId="10" xfId="59" applyFont="1" applyBorder="1" applyAlignment="1">
      <alignment horizontal="right"/>
      <protection/>
    </xf>
    <xf numFmtId="0" fontId="24" fillId="0" borderId="13" xfId="63" applyFont="1" applyBorder="1" applyAlignment="1">
      <alignment/>
      <protection/>
    </xf>
    <xf numFmtId="0" fontId="24" fillId="0" borderId="11" xfId="63" applyFont="1" applyBorder="1" applyAlignment="1">
      <alignment/>
      <protection/>
    </xf>
    <xf numFmtId="0" fontId="24" fillId="0" borderId="17" xfId="63" applyFont="1" applyBorder="1" applyAlignment="1">
      <alignment horizontal="right"/>
      <protection/>
    </xf>
    <xf numFmtId="0" fontId="24" fillId="0" borderId="18" xfId="63" applyFont="1" applyFill="1" applyBorder="1" applyAlignment="1">
      <alignment horizontal="right"/>
      <protection/>
    </xf>
    <xf numFmtId="0" fontId="24" fillId="0" borderId="15" xfId="63" applyFont="1" applyBorder="1" applyAlignment="1">
      <alignment horizontal="right"/>
      <protection/>
    </xf>
    <xf numFmtId="0" fontId="24" fillId="0" borderId="15" xfId="63" applyFont="1" applyFill="1" applyBorder="1" applyAlignment="1">
      <alignment horizontal="right"/>
      <protection/>
    </xf>
    <xf numFmtId="0" fontId="24" fillId="0" borderId="15" xfId="63" applyFont="1" applyFill="1" applyBorder="1" applyAlignment="1">
      <alignment/>
      <protection/>
    </xf>
    <xf numFmtId="0" fontId="0" fillId="0" borderId="0" xfId="63" applyBorder="1">
      <alignment/>
      <protection/>
    </xf>
    <xf numFmtId="0" fontId="24" fillId="0" borderId="0" xfId="63" applyFont="1" applyFill="1" applyBorder="1" applyAlignment="1">
      <alignment/>
      <protection/>
    </xf>
    <xf numFmtId="0" fontId="0" fillId="0" borderId="0" xfId="63">
      <alignment/>
      <protection/>
    </xf>
    <xf numFmtId="0" fontId="0" fillId="0" borderId="19" xfId="59" applyFont="1" applyFill="1" applyBorder="1">
      <alignment/>
      <protection/>
    </xf>
    <xf numFmtId="0" fontId="0" fillId="0" borderId="0" xfId="59" applyFont="1">
      <alignment/>
      <protection/>
    </xf>
    <xf numFmtId="3" fontId="0" fillId="0" borderId="17" xfId="59" applyNumberFormat="1" applyFont="1" applyBorder="1">
      <alignment/>
      <protection/>
    </xf>
    <xf numFmtId="3" fontId="0" fillId="0" borderId="15" xfId="59" applyNumberFormat="1" applyFont="1" applyBorder="1">
      <alignment/>
      <protection/>
    </xf>
    <xf numFmtId="3" fontId="0" fillId="0" borderId="17" xfId="59" applyNumberFormat="1" applyFont="1" applyBorder="1" applyAlignment="1">
      <alignment horizontal="center"/>
      <protection/>
    </xf>
    <xf numFmtId="0" fontId="0" fillId="0" borderId="0" xfId="59" applyFont="1" applyBorder="1">
      <alignment/>
      <protection/>
    </xf>
    <xf numFmtId="3" fontId="0" fillId="0" borderId="0" xfId="59" applyNumberFormat="1" applyFont="1" applyBorder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0" fillId="0" borderId="13" xfId="59" applyFont="1" applyFill="1" applyBorder="1">
      <alignment/>
      <protection/>
    </xf>
    <xf numFmtId="0" fontId="0" fillId="0" borderId="11" xfId="59" applyFill="1" applyBorder="1">
      <alignment/>
      <protection/>
    </xf>
    <xf numFmtId="0" fontId="0" fillId="0" borderId="11" xfId="59" applyBorder="1">
      <alignment/>
      <protection/>
    </xf>
    <xf numFmtId="3" fontId="0" fillId="0" borderId="15" xfId="59" applyNumberFormat="1" applyBorder="1">
      <alignment/>
      <protection/>
    </xf>
    <xf numFmtId="0" fontId="0" fillId="0" borderId="15" xfId="59" applyBorder="1">
      <alignment/>
      <protection/>
    </xf>
    <xf numFmtId="0" fontId="0" fillId="0" borderId="0" xfId="59" applyBorder="1">
      <alignment/>
      <protection/>
    </xf>
    <xf numFmtId="3" fontId="0" fillId="0" borderId="0" xfId="59" applyNumberFormat="1" applyBorder="1">
      <alignment/>
      <protection/>
    </xf>
    <xf numFmtId="3" fontId="0" fillId="0" borderId="0" xfId="59" applyNumberFormat="1" applyFont="1" applyBorder="1" applyAlignment="1">
      <alignment/>
      <protection/>
    </xf>
    <xf numFmtId="3" fontId="0" fillId="0" borderId="0" xfId="59" applyNumberFormat="1" applyBorder="1" applyAlignment="1">
      <alignment/>
      <protection/>
    </xf>
    <xf numFmtId="0" fontId="0" fillId="0" borderId="0" xfId="59" applyFill="1" applyBorder="1">
      <alignment/>
      <protection/>
    </xf>
    <xf numFmtId="0" fontId="24" fillId="0" borderId="0" xfId="59" applyFont="1" applyAlignment="1">
      <alignment horizontal="right"/>
      <protection/>
    </xf>
    <xf numFmtId="0" fontId="24" fillId="0" borderId="15" xfId="59" applyFont="1" applyBorder="1" applyAlignment="1">
      <alignment horizontal="right"/>
      <protection/>
    </xf>
    <xf numFmtId="3" fontId="24" fillId="0" borderId="14" xfId="59" applyNumberFormat="1" applyFont="1" applyBorder="1" applyAlignment="1">
      <alignment vertical="center"/>
      <protection/>
    </xf>
    <xf numFmtId="3" fontId="0" fillId="0" borderId="0" xfId="59" applyNumberFormat="1" applyFont="1" applyFill="1" applyBorder="1" applyAlignment="1">
      <alignment vertical="center"/>
      <protection/>
    </xf>
    <xf numFmtId="3" fontId="0" fillId="0" borderId="0" xfId="59" applyNumberFormat="1" applyFont="1" applyBorder="1" applyAlignment="1">
      <alignment vertical="center"/>
      <protection/>
    </xf>
    <xf numFmtId="3" fontId="0" fillId="0" borderId="14" xfId="59" applyNumberFormat="1" applyFont="1" applyBorder="1" applyAlignment="1">
      <alignment vertical="center" wrapText="1"/>
      <protection/>
    </xf>
    <xf numFmtId="3" fontId="0" fillId="0" borderId="15" xfId="59" applyNumberFormat="1" applyFont="1" applyBorder="1" applyAlignment="1">
      <alignment vertical="center" wrapText="1"/>
      <protection/>
    </xf>
    <xf numFmtId="3" fontId="0" fillId="0" borderId="0" xfId="59" applyNumberFormat="1" applyFont="1" applyFill="1" applyBorder="1" applyAlignment="1">
      <alignment vertical="center" wrapText="1"/>
      <protection/>
    </xf>
    <xf numFmtId="3" fontId="0" fillId="0" borderId="0" xfId="59" applyNumberFormat="1" applyFont="1" applyBorder="1" applyAlignment="1">
      <alignment vertical="center" wrapText="1"/>
      <protection/>
    </xf>
    <xf numFmtId="3" fontId="0" fillId="0" borderId="0" xfId="59" applyNumberFormat="1">
      <alignment/>
      <protection/>
    </xf>
    <xf numFmtId="3" fontId="24" fillId="0" borderId="15" xfId="59" applyNumberFormat="1" applyFont="1" applyBorder="1">
      <alignment/>
      <protection/>
    </xf>
    <xf numFmtId="10" fontId="24" fillId="0" borderId="15" xfId="59" applyNumberFormat="1" applyFont="1" applyBorder="1">
      <alignment/>
      <protection/>
    </xf>
    <xf numFmtId="0" fontId="31" fillId="0" borderId="0" xfId="57" applyFont="1">
      <alignment/>
      <protection/>
    </xf>
    <xf numFmtId="3" fontId="31" fillId="0" borderId="0" xfId="57" applyNumberFormat="1" applyFont="1">
      <alignment/>
      <protection/>
    </xf>
    <xf numFmtId="3" fontId="31" fillId="0" borderId="0" xfId="57" applyNumberFormat="1" applyFont="1" applyFill="1">
      <alignment/>
      <protection/>
    </xf>
    <xf numFmtId="0" fontId="31" fillId="0" borderId="20" xfId="57" applyFont="1" applyBorder="1">
      <alignment/>
      <protection/>
    </xf>
    <xf numFmtId="3" fontId="19" fillId="0" borderId="0" xfId="57" applyNumberFormat="1" applyFont="1">
      <alignment/>
      <protection/>
    </xf>
    <xf numFmtId="1" fontId="19" fillId="0" borderId="0" xfId="57" applyNumberFormat="1" applyFont="1">
      <alignment/>
      <protection/>
    </xf>
    <xf numFmtId="0" fontId="19" fillId="0" borderId="0" xfId="57" applyFont="1">
      <alignment/>
      <protection/>
    </xf>
    <xf numFmtId="3" fontId="19" fillId="0" borderId="0" xfId="57" applyNumberFormat="1" applyFont="1" applyFill="1">
      <alignment/>
      <protection/>
    </xf>
    <xf numFmtId="0" fontId="19" fillId="0" borderId="0" xfId="57" applyFont="1" applyBorder="1">
      <alignment/>
      <protection/>
    </xf>
    <xf numFmtId="0" fontId="19" fillId="0" borderId="15" xfId="57" applyFont="1" applyBorder="1" applyAlignment="1">
      <alignment horizontal="center"/>
      <protection/>
    </xf>
    <xf numFmtId="3" fontId="19" fillId="0" borderId="15" xfId="57" applyNumberFormat="1" applyFont="1" applyBorder="1" applyAlignment="1">
      <alignment horizontal="center"/>
      <protection/>
    </xf>
    <xf numFmtId="3" fontId="19" fillId="0" borderId="14" xfId="57" applyNumberFormat="1" applyFont="1" applyBorder="1" applyAlignment="1">
      <alignment horizontal="center"/>
      <protection/>
    </xf>
    <xf numFmtId="3" fontId="19" fillId="0" borderId="15" xfId="57" applyNumberFormat="1" applyFont="1" applyFill="1" applyBorder="1" applyAlignment="1">
      <alignment horizontal="center"/>
      <protection/>
    </xf>
    <xf numFmtId="3" fontId="19" fillId="0" borderId="11" xfId="57" applyNumberFormat="1" applyFont="1" applyBorder="1" applyAlignment="1">
      <alignment horizontal="center"/>
      <protection/>
    </xf>
    <xf numFmtId="3" fontId="19" fillId="0" borderId="13" xfId="57" applyNumberFormat="1" applyFont="1" applyBorder="1" applyAlignment="1">
      <alignment horizontal="center"/>
      <protection/>
    </xf>
    <xf numFmtId="1" fontId="19" fillId="0" borderId="14" xfId="57" applyNumberFormat="1" applyFont="1" applyBorder="1" applyAlignment="1">
      <alignment horizontal="center"/>
      <protection/>
    </xf>
    <xf numFmtId="3" fontId="19" fillId="0" borderId="19" xfId="57" applyNumberFormat="1" applyFont="1" applyBorder="1" applyAlignment="1">
      <alignment horizontal="center"/>
      <protection/>
    </xf>
    <xf numFmtId="0" fontId="23" fillId="0" borderId="13" xfId="57" applyFont="1" applyBorder="1" applyAlignment="1">
      <alignment horizontal="center" vertical="center"/>
      <protection/>
    </xf>
    <xf numFmtId="3" fontId="23" fillId="0" borderId="15" xfId="57" applyNumberFormat="1" applyFont="1" applyBorder="1" applyAlignment="1">
      <alignment horizontal="center" vertical="center"/>
      <protection/>
    </xf>
    <xf numFmtId="3" fontId="23" fillId="0" borderId="15" xfId="57" applyNumberFormat="1" applyFont="1" applyBorder="1" applyAlignment="1">
      <alignment horizontal="center" vertical="center" wrapText="1"/>
      <protection/>
    </xf>
    <xf numFmtId="3" fontId="24" fillId="0" borderId="15" xfId="60" applyNumberFormat="1" applyFont="1" applyBorder="1" applyAlignment="1">
      <alignment horizontal="center" vertical="center" wrapText="1"/>
      <protection/>
    </xf>
    <xf numFmtId="3" fontId="24" fillId="0" borderId="14" xfId="60" applyNumberFormat="1" applyFont="1" applyBorder="1" applyAlignment="1">
      <alignment horizontal="center" vertical="center" wrapText="1"/>
      <protection/>
    </xf>
    <xf numFmtId="3" fontId="24" fillId="0" borderId="15" xfId="60" applyNumberFormat="1" applyFont="1" applyFill="1" applyBorder="1" applyAlignment="1">
      <alignment horizontal="center" vertical="center" wrapText="1"/>
      <protection/>
    </xf>
    <xf numFmtId="3" fontId="24" fillId="0" borderId="11" xfId="60" applyNumberFormat="1" applyFont="1" applyBorder="1" applyAlignment="1">
      <alignment horizontal="center" vertical="center" wrapText="1"/>
      <protection/>
    </xf>
    <xf numFmtId="3" fontId="23" fillId="0" borderId="11" xfId="57" applyNumberFormat="1" applyFont="1" applyBorder="1" applyAlignment="1">
      <alignment horizontal="center" vertical="center" wrapText="1"/>
      <protection/>
    </xf>
    <xf numFmtId="3" fontId="23" fillId="0" borderId="15" xfId="60" applyNumberFormat="1" applyFont="1" applyBorder="1" applyAlignment="1">
      <alignment horizontal="center" vertical="center" wrapText="1"/>
      <protection/>
    </xf>
    <xf numFmtId="3" fontId="23" fillId="0" borderId="13" xfId="60" applyNumberFormat="1" applyFont="1" applyBorder="1" applyAlignment="1">
      <alignment horizontal="center" vertical="center" wrapText="1"/>
      <protection/>
    </xf>
    <xf numFmtId="1" fontId="23" fillId="0" borderId="14" xfId="60" applyNumberFormat="1" applyFont="1" applyBorder="1" applyAlignment="1">
      <alignment horizontal="center" vertical="center" wrapText="1"/>
      <protection/>
    </xf>
    <xf numFmtId="3" fontId="23" fillId="0" borderId="13" xfId="57" applyNumberFormat="1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center" vertical="center"/>
      <protection/>
    </xf>
    <xf numFmtId="0" fontId="19" fillId="0" borderId="20" xfId="57" applyFont="1" applyBorder="1">
      <alignment/>
      <protection/>
    </xf>
    <xf numFmtId="3" fontId="19" fillId="0" borderId="21" xfId="57" applyNumberFormat="1" applyFont="1" applyBorder="1">
      <alignment/>
      <protection/>
    </xf>
    <xf numFmtId="3" fontId="19" fillId="0" borderId="22" xfId="57" applyNumberFormat="1" applyFont="1" applyBorder="1">
      <alignment/>
      <protection/>
    </xf>
    <xf numFmtId="3" fontId="19" fillId="0" borderId="0" xfId="57" applyNumberFormat="1" applyFont="1" applyFill="1" applyBorder="1">
      <alignment/>
      <protection/>
    </xf>
    <xf numFmtId="3" fontId="19" fillId="0" borderId="17" xfId="57" applyNumberFormat="1" applyFont="1" applyBorder="1">
      <alignment/>
      <protection/>
    </xf>
    <xf numFmtId="3" fontId="19" fillId="0" borderId="0" xfId="57" applyNumberFormat="1" applyFont="1" applyBorder="1">
      <alignment/>
      <protection/>
    </xf>
    <xf numFmtId="1" fontId="19" fillId="0" borderId="17" xfId="57" applyNumberFormat="1" applyFont="1" applyBorder="1">
      <alignment/>
      <protection/>
    </xf>
    <xf numFmtId="3" fontId="19" fillId="0" borderId="20" xfId="57" applyNumberFormat="1" applyFont="1" applyBorder="1">
      <alignment/>
      <protection/>
    </xf>
    <xf numFmtId="0" fontId="27" fillId="0" borderId="20" xfId="60" applyFont="1" applyBorder="1">
      <alignment/>
      <protection/>
    </xf>
    <xf numFmtId="1" fontId="19" fillId="0" borderId="21" xfId="57" applyNumberFormat="1" applyFont="1" applyBorder="1">
      <alignment/>
      <protection/>
    </xf>
    <xf numFmtId="0" fontId="19" fillId="0" borderId="20" xfId="57" applyFont="1" applyFill="1" applyBorder="1">
      <alignment/>
      <protection/>
    </xf>
    <xf numFmtId="3" fontId="19" fillId="0" borderId="21" xfId="57" applyNumberFormat="1" applyFont="1" applyFill="1" applyBorder="1">
      <alignment/>
      <protection/>
    </xf>
    <xf numFmtId="0" fontId="19" fillId="0" borderId="21" xfId="57" applyFont="1" applyBorder="1">
      <alignment/>
      <protection/>
    </xf>
    <xf numFmtId="3" fontId="19" fillId="0" borderId="16" xfId="57" applyNumberFormat="1" applyFont="1" applyBorder="1">
      <alignment/>
      <protection/>
    </xf>
    <xf numFmtId="0" fontId="23" fillId="0" borderId="19" xfId="57" applyFont="1" applyBorder="1">
      <alignment/>
      <protection/>
    </xf>
    <xf numFmtId="3" fontId="23" fillId="0" borderId="15" xfId="57" applyNumberFormat="1" applyFont="1" applyBorder="1">
      <alignment/>
      <protection/>
    </xf>
    <xf numFmtId="3" fontId="23" fillId="0" borderId="15" xfId="57" applyNumberFormat="1" applyFont="1" applyFill="1" applyBorder="1">
      <alignment/>
      <protection/>
    </xf>
    <xf numFmtId="3" fontId="23" fillId="0" borderId="13" xfId="57" applyNumberFormat="1" applyFont="1" applyBorder="1">
      <alignment/>
      <protection/>
    </xf>
    <xf numFmtId="3" fontId="23" fillId="0" borderId="17" xfId="57" applyNumberFormat="1" applyFont="1" applyBorder="1">
      <alignment/>
      <protection/>
    </xf>
    <xf numFmtId="3" fontId="23" fillId="0" borderId="14" xfId="57" applyNumberFormat="1" applyFont="1" applyBorder="1">
      <alignment/>
      <protection/>
    </xf>
    <xf numFmtId="1" fontId="23" fillId="0" borderId="17" xfId="57" applyNumberFormat="1" applyFont="1" applyBorder="1">
      <alignment/>
      <protection/>
    </xf>
    <xf numFmtId="0" fontId="32" fillId="0" borderId="0" xfId="57" applyFont="1">
      <alignment/>
      <protection/>
    </xf>
    <xf numFmtId="0" fontId="19" fillId="0" borderId="19" xfId="57" applyFont="1" applyBorder="1">
      <alignment/>
      <protection/>
    </xf>
    <xf numFmtId="0" fontId="20" fillId="0" borderId="20" xfId="57" applyFont="1" applyBorder="1">
      <alignment/>
      <protection/>
    </xf>
    <xf numFmtId="0" fontId="19" fillId="0" borderId="23" xfId="57" applyFont="1" applyBorder="1">
      <alignment/>
      <protection/>
    </xf>
    <xf numFmtId="3" fontId="19" fillId="0" borderId="10" xfId="57" applyNumberFormat="1" applyFont="1" applyFill="1" applyBorder="1">
      <alignment/>
      <protection/>
    </xf>
    <xf numFmtId="3" fontId="19" fillId="0" borderId="10" xfId="57" applyNumberFormat="1" applyFont="1" applyBorder="1">
      <alignment/>
      <protection/>
    </xf>
    <xf numFmtId="0" fontId="23" fillId="0" borderId="23" xfId="57" applyFont="1" applyBorder="1">
      <alignment/>
      <protection/>
    </xf>
    <xf numFmtId="3" fontId="23" fillId="0" borderId="16" xfId="57" applyNumberFormat="1" applyFont="1" applyBorder="1">
      <alignment/>
      <protection/>
    </xf>
    <xf numFmtId="3" fontId="23" fillId="0" borderId="10" xfId="57" applyNumberFormat="1" applyFont="1" applyFill="1" applyBorder="1">
      <alignment/>
      <protection/>
    </xf>
    <xf numFmtId="3" fontId="23" fillId="0" borderId="19" xfId="57" applyNumberFormat="1" applyFont="1" applyBorder="1">
      <alignment/>
      <protection/>
    </xf>
    <xf numFmtId="3" fontId="23" fillId="0" borderId="11" xfId="57" applyNumberFormat="1" applyFont="1" applyBorder="1">
      <alignment/>
      <protection/>
    </xf>
    <xf numFmtId="3" fontId="23" fillId="0" borderId="10" xfId="57" applyNumberFormat="1" applyFont="1" applyBorder="1">
      <alignment/>
      <protection/>
    </xf>
    <xf numFmtId="0" fontId="23" fillId="0" borderId="13" xfId="57" applyFont="1" applyBorder="1">
      <alignment/>
      <protection/>
    </xf>
    <xf numFmtId="3" fontId="23" fillId="0" borderId="11" xfId="57" applyNumberFormat="1" applyFont="1" applyFill="1" applyBorder="1">
      <alignment/>
      <protection/>
    </xf>
    <xf numFmtId="3" fontId="23" fillId="0" borderId="21" xfId="57" applyNumberFormat="1" applyFont="1" applyBorder="1">
      <alignment/>
      <protection/>
    </xf>
    <xf numFmtId="3" fontId="20" fillId="0" borderId="20" xfId="57" applyNumberFormat="1" applyFont="1" applyBorder="1">
      <alignment/>
      <protection/>
    </xf>
    <xf numFmtId="3" fontId="19" fillId="0" borderId="24" xfId="57" applyNumberFormat="1" applyFont="1" applyBorder="1">
      <alignment/>
      <protection/>
    </xf>
    <xf numFmtId="3" fontId="19" fillId="0" borderId="23" xfId="57" applyNumberFormat="1" applyFont="1" applyBorder="1">
      <alignment/>
      <protection/>
    </xf>
    <xf numFmtId="3" fontId="20" fillId="0" borderId="23" xfId="57" applyNumberFormat="1" applyFont="1" applyBorder="1">
      <alignment/>
      <protection/>
    </xf>
    <xf numFmtId="3" fontId="19" fillId="0" borderId="15" xfId="57" applyNumberFormat="1" applyFont="1" applyBorder="1">
      <alignment/>
      <protection/>
    </xf>
    <xf numFmtId="3" fontId="19" fillId="0" borderId="14" xfId="57" applyNumberFormat="1" applyFont="1" applyBorder="1">
      <alignment/>
      <protection/>
    </xf>
    <xf numFmtId="3" fontId="19" fillId="0" borderId="11" xfId="57" applyNumberFormat="1" applyFont="1" applyFill="1" applyBorder="1">
      <alignment/>
      <protection/>
    </xf>
    <xf numFmtId="3" fontId="19" fillId="0" borderId="13" xfId="57" applyNumberFormat="1" applyFont="1" applyBorder="1">
      <alignment/>
      <protection/>
    </xf>
    <xf numFmtId="3" fontId="19" fillId="0" borderId="11" xfId="57" applyNumberFormat="1" applyFont="1" applyBorder="1">
      <alignment/>
      <protection/>
    </xf>
    <xf numFmtId="0" fontId="23" fillId="0" borderId="20" xfId="57" applyFont="1" applyBorder="1">
      <alignment/>
      <protection/>
    </xf>
    <xf numFmtId="0" fontId="23" fillId="0" borderId="15" xfId="57" applyFont="1" applyBorder="1">
      <alignment/>
      <protection/>
    </xf>
    <xf numFmtId="1" fontId="23" fillId="0" borderId="15" xfId="57" applyNumberFormat="1" applyFont="1" applyBorder="1">
      <alignment/>
      <protection/>
    </xf>
    <xf numFmtId="3" fontId="23" fillId="0" borderId="23" xfId="57" applyNumberFormat="1" applyFont="1" applyBorder="1">
      <alignment/>
      <protection/>
    </xf>
    <xf numFmtId="0" fontId="24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 vertical="top"/>
      <protection/>
    </xf>
    <xf numFmtId="0" fontId="25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>
      <alignment/>
      <protection/>
    </xf>
    <xf numFmtId="0" fontId="22" fillId="0" borderId="0" xfId="57" applyFont="1" applyAlignment="1">
      <alignment horizontal="right"/>
      <protection/>
    </xf>
    <xf numFmtId="0" fontId="0" fillId="0" borderId="0" xfId="57" applyFont="1" applyAlignment="1">
      <alignment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right"/>
      <protection/>
    </xf>
    <xf numFmtId="0" fontId="0" fillId="0" borderId="0" xfId="63" applyBorder="1" applyAlignment="1">
      <alignment horizontal="right"/>
      <protection/>
    </xf>
    <xf numFmtId="0" fontId="25" fillId="0" borderId="11" xfId="57" applyFont="1" applyBorder="1" applyAlignment="1">
      <alignment horizontal="center" vertical="center" wrapText="1"/>
      <protection/>
    </xf>
    <xf numFmtId="3" fontId="0" fillId="0" borderId="11" xfId="57" applyNumberFormat="1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5" fillId="0" borderId="0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/>
      <protection/>
    </xf>
    <xf numFmtId="0" fontId="25" fillId="0" borderId="0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6" fillId="0" borderId="0" xfId="57" applyFont="1" applyBorder="1" applyAlignment="1">
      <alignment/>
      <protection/>
    </xf>
    <xf numFmtId="0" fontId="26" fillId="0" borderId="0" xfId="57" applyFont="1" applyBorder="1" applyAlignment="1">
      <alignment vertical="top" wrapText="1"/>
      <protection/>
    </xf>
    <xf numFmtId="0" fontId="26" fillId="0" borderId="0" xfId="57" applyFont="1">
      <alignment/>
      <protection/>
    </xf>
    <xf numFmtId="3" fontId="0" fillId="0" borderId="0" xfId="57" applyNumberFormat="1" applyFont="1" applyAlignment="1">
      <alignment horizontal="center" vertical="center"/>
      <protection/>
    </xf>
    <xf numFmtId="3" fontId="25" fillId="0" borderId="0" xfId="57" applyNumberFormat="1" applyFont="1" applyAlignment="1">
      <alignment horizontal="center" vertical="center" wrapText="1"/>
      <protection/>
    </xf>
    <xf numFmtId="0" fontId="25" fillId="0" borderId="0" xfId="63" applyFont="1" applyBorder="1" applyAlignment="1">
      <alignment horizontal="center" vertical="center" wrapText="1"/>
      <protection/>
    </xf>
    <xf numFmtId="0" fontId="26" fillId="0" borderId="0" xfId="63" applyFont="1" applyBorder="1" applyAlignment="1">
      <alignment horizontal="center" vertical="center" wrapText="1"/>
      <protection/>
    </xf>
    <xf numFmtId="3" fontId="26" fillId="0" borderId="0" xfId="63" applyNumberFormat="1" applyFont="1" applyBorder="1" applyAlignment="1">
      <alignment horizontal="center" vertical="center" wrapText="1"/>
      <protection/>
    </xf>
    <xf numFmtId="3" fontId="25" fillId="0" borderId="0" xfId="63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right" vertical="center" wrapText="1"/>
      <protection/>
    </xf>
    <xf numFmtId="3" fontId="24" fillId="0" borderId="0" xfId="57" applyNumberFormat="1" applyFont="1">
      <alignment/>
      <protection/>
    </xf>
    <xf numFmtId="0" fontId="24" fillId="0" borderId="0" xfId="57" applyFont="1" applyAlignment="1">
      <alignment horizontal="right"/>
      <protection/>
    </xf>
    <xf numFmtId="0" fontId="25" fillId="0" borderId="0" xfId="57" applyFont="1" applyAlignment="1">
      <alignment horizontal="center" vertical="top"/>
      <protection/>
    </xf>
    <xf numFmtId="0" fontId="25" fillId="0" borderId="0" xfId="57" applyFont="1" applyBorder="1" applyAlignment="1">
      <alignment vertical="top"/>
      <protection/>
    </xf>
    <xf numFmtId="3" fontId="25" fillId="0" borderId="0" xfId="57" applyNumberFormat="1" applyFont="1">
      <alignment/>
      <protection/>
    </xf>
    <xf numFmtId="0" fontId="26" fillId="0" borderId="11" xfId="57" applyFont="1" applyBorder="1" applyAlignment="1">
      <alignment horizontal="center"/>
      <protection/>
    </xf>
    <xf numFmtId="0" fontId="26" fillId="0" borderId="11" xfId="57" applyFont="1" applyBorder="1" applyAlignment="1">
      <alignment vertical="top"/>
      <protection/>
    </xf>
    <xf numFmtId="3" fontId="26" fillId="0" borderId="11" xfId="57" applyNumberFormat="1" applyFont="1" applyBorder="1" applyAlignment="1">
      <alignment vertical="center" wrapText="1"/>
      <protection/>
    </xf>
    <xf numFmtId="0" fontId="26" fillId="0" borderId="11" xfId="57" applyFont="1" applyBorder="1">
      <alignment/>
      <protection/>
    </xf>
    <xf numFmtId="3" fontId="26" fillId="0" borderId="11" xfId="57" applyNumberFormat="1" applyFont="1" applyBorder="1">
      <alignment/>
      <protection/>
    </xf>
    <xf numFmtId="3" fontId="24" fillId="0" borderId="11" xfId="57" applyNumberFormat="1" applyFont="1" applyBorder="1">
      <alignment/>
      <protection/>
    </xf>
    <xf numFmtId="0" fontId="24" fillId="0" borderId="11" xfId="57" applyFont="1" applyBorder="1" applyAlignment="1">
      <alignment horizontal="right"/>
      <protection/>
    </xf>
    <xf numFmtId="0" fontId="0" fillId="0" borderId="11" xfId="57" applyFont="1" applyBorder="1" applyAlignment="1">
      <alignment horizontal="right"/>
      <protection/>
    </xf>
    <xf numFmtId="0" fontId="26" fillId="0" borderId="10" xfId="57" applyFont="1" applyBorder="1" applyAlignment="1">
      <alignment horizontal="center"/>
      <protection/>
    </xf>
    <xf numFmtId="0" fontId="26" fillId="0" borderId="10" xfId="57" applyFont="1" applyBorder="1" applyAlignment="1">
      <alignment vertical="top"/>
      <protection/>
    </xf>
    <xf numFmtId="3" fontId="26" fillId="0" borderId="10" xfId="57" applyNumberFormat="1" applyFont="1" applyBorder="1" applyAlignment="1">
      <alignment vertical="center" wrapText="1"/>
      <protection/>
    </xf>
    <xf numFmtId="0" fontId="26" fillId="0" borderId="10" xfId="57" applyFont="1" applyBorder="1">
      <alignment/>
      <protection/>
    </xf>
    <xf numFmtId="0" fontId="26" fillId="0" borderId="0" xfId="57" applyFont="1" applyBorder="1" applyAlignment="1">
      <alignment vertical="top"/>
      <protection/>
    </xf>
    <xf numFmtId="3" fontId="26" fillId="0" borderId="0" xfId="57" applyNumberFormat="1" applyFont="1" applyBorder="1" applyAlignment="1">
      <alignment vertical="center" wrapText="1"/>
      <protection/>
    </xf>
    <xf numFmtId="3" fontId="26" fillId="0" borderId="12" xfId="57" applyNumberFormat="1" applyFont="1" applyBorder="1">
      <alignment/>
      <protection/>
    </xf>
    <xf numFmtId="0" fontId="25" fillId="0" borderId="0" xfId="57" applyFont="1" applyBorder="1">
      <alignment/>
      <protection/>
    </xf>
    <xf numFmtId="3" fontId="25" fillId="0" borderId="0" xfId="57" applyNumberFormat="1" applyFont="1" applyBorder="1">
      <alignment/>
      <protection/>
    </xf>
    <xf numFmtId="0" fontId="26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 vertical="top"/>
      <protection/>
    </xf>
    <xf numFmtId="3" fontId="25" fillId="0" borderId="0" xfId="57" applyNumberFormat="1" applyFont="1" applyBorder="1" applyAlignment="1">
      <alignment vertical="center"/>
      <protection/>
    </xf>
    <xf numFmtId="0" fontId="26" fillId="0" borderId="0" xfId="57" applyFont="1" applyBorder="1">
      <alignment/>
      <protection/>
    </xf>
    <xf numFmtId="0" fontId="22" fillId="0" borderId="0" xfId="57" applyFont="1" applyBorder="1" applyAlignment="1">
      <alignment vertical="top"/>
      <protection/>
    </xf>
    <xf numFmtId="3" fontId="26" fillId="0" borderId="0" xfId="57" applyNumberFormat="1" applyFont="1">
      <alignment/>
      <protection/>
    </xf>
    <xf numFmtId="3" fontId="0" fillId="0" borderId="0" xfId="57" applyNumberFormat="1" applyFont="1" applyFill="1">
      <alignment/>
      <protection/>
    </xf>
    <xf numFmtId="0" fontId="33" fillId="0" borderId="0" xfId="63" applyFont="1">
      <alignment/>
      <protection/>
    </xf>
    <xf numFmtId="3" fontId="26" fillId="0" borderId="11" xfId="57" applyNumberFormat="1" applyFont="1" applyBorder="1" applyAlignment="1">
      <alignment vertical="center"/>
      <protection/>
    </xf>
    <xf numFmtId="0" fontId="25" fillId="0" borderId="0" xfId="57" applyFont="1" applyAlignment="1">
      <alignment/>
      <protection/>
    </xf>
    <xf numFmtId="0" fontId="25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/>
      <protection/>
    </xf>
    <xf numFmtId="0" fontId="25" fillId="0" borderId="10" xfId="57" applyFont="1" applyBorder="1" applyAlignment="1">
      <alignment horizontal="center"/>
      <protection/>
    </xf>
    <xf numFmtId="0" fontId="25" fillId="0" borderId="10" xfId="57" applyFont="1" applyBorder="1" applyAlignment="1">
      <alignment vertical="top"/>
      <protection/>
    </xf>
    <xf numFmtId="0" fontId="25" fillId="0" borderId="10" xfId="57" applyFont="1" applyBorder="1" applyAlignment="1">
      <alignment/>
      <protection/>
    </xf>
    <xf numFmtId="0" fontId="25" fillId="0" borderId="10" xfId="57" applyFont="1" applyBorder="1">
      <alignment/>
      <protection/>
    </xf>
    <xf numFmtId="3" fontId="25" fillId="0" borderId="10" xfId="57" applyNumberFormat="1" applyFont="1" applyBorder="1">
      <alignment/>
      <protection/>
    </xf>
    <xf numFmtId="3" fontId="26" fillId="0" borderId="0" xfId="57" applyNumberFormat="1" applyFont="1" applyBorder="1">
      <alignment/>
      <protection/>
    </xf>
    <xf numFmtId="0" fontId="24" fillId="0" borderId="12" xfId="57" applyFont="1" applyBorder="1" applyAlignment="1">
      <alignment horizontal="right"/>
      <protection/>
    </xf>
    <xf numFmtId="0" fontId="26" fillId="0" borderId="11" xfId="57" applyFont="1" applyBorder="1" applyAlignment="1">
      <alignment/>
      <protection/>
    </xf>
    <xf numFmtId="164" fontId="25" fillId="0" borderId="10" xfId="57" applyNumberFormat="1" applyFont="1" applyBorder="1" applyAlignment="1">
      <alignment vertical="top"/>
      <protection/>
    </xf>
    <xf numFmtId="3" fontId="26" fillId="0" borderId="10" xfId="57" applyNumberFormat="1" applyFont="1" applyBorder="1">
      <alignment/>
      <protection/>
    </xf>
    <xf numFmtId="3" fontId="0" fillId="0" borderId="11" xfId="57" applyNumberFormat="1" applyFont="1" applyBorder="1">
      <alignment/>
      <protection/>
    </xf>
    <xf numFmtId="0" fontId="0" fillId="0" borderId="0" xfId="57" applyFont="1" applyAlignment="1">
      <alignment vertical="top"/>
      <protection/>
    </xf>
    <xf numFmtId="0" fontId="21" fillId="0" borderId="0" xfId="57" applyFont="1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24" fillId="0" borderId="0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/>
      <protection/>
    </xf>
    <xf numFmtId="0" fontId="0" fillId="0" borderId="0" xfId="60" applyFont="1" applyAlignment="1">
      <alignment/>
      <protection/>
    </xf>
    <xf numFmtId="3" fontId="0" fillId="0" borderId="0" xfId="57" applyNumberFormat="1" applyFont="1" applyBorder="1" applyAlignment="1">
      <alignment horizontal="center" vertical="top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3" fontId="0" fillId="0" borderId="0" xfId="57" applyNumberFormat="1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/>
      <protection/>
    </xf>
    <xf numFmtId="0" fontId="24" fillId="0" borderId="13" xfId="57" applyFont="1" applyBorder="1">
      <alignment/>
      <protection/>
    </xf>
    <xf numFmtId="0" fontId="24" fillId="0" borderId="11" xfId="57" applyFont="1" applyBorder="1">
      <alignment/>
      <protection/>
    </xf>
    <xf numFmtId="0" fontId="24" fillId="0" borderId="14" xfId="57" applyFont="1" applyBorder="1">
      <alignment/>
      <protection/>
    </xf>
    <xf numFmtId="0" fontId="24" fillId="0" borderId="15" xfId="57" applyFont="1" applyBorder="1" applyAlignment="1">
      <alignment horizontal="center" vertical="center" wrapText="1"/>
      <protection/>
    </xf>
    <xf numFmtId="0" fontId="24" fillId="0" borderId="15" xfId="57" applyFont="1" applyBorder="1">
      <alignment/>
      <protection/>
    </xf>
    <xf numFmtId="0" fontId="24" fillId="0" borderId="20" xfId="57" applyFont="1" applyBorder="1" applyAlignment="1">
      <alignment horizontal="center"/>
      <protection/>
    </xf>
    <xf numFmtId="0" fontId="24" fillId="0" borderId="0" xfId="57" applyFont="1" applyBorder="1" applyAlignment="1">
      <alignment vertical="top" wrapText="1"/>
      <protection/>
    </xf>
    <xf numFmtId="0" fontId="24" fillId="0" borderId="0" xfId="57" applyFont="1" applyBorder="1">
      <alignment/>
      <protection/>
    </xf>
    <xf numFmtId="0" fontId="24" fillId="0" borderId="22" xfId="57" applyFont="1" applyBorder="1">
      <alignment/>
      <protection/>
    </xf>
    <xf numFmtId="0" fontId="24" fillId="0" borderId="21" xfId="57" applyFont="1" applyBorder="1" applyAlignment="1">
      <alignment horizontal="center" vertical="center"/>
      <protection/>
    </xf>
    <xf numFmtId="3" fontId="24" fillId="0" borderId="17" xfId="57" applyNumberFormat="1" applyFont="1" applyBorder="1" applyAlignment="1">
      <alignment horizontal="center" vertical="center" wrapText="1"/>
      <protection/>
    </xf>
    <xf numFmtId="3" fontId="24" fillId="0" borderId="17" xfId="57" applyNumberFormat="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/>
      <protection/>
    </xf>
    <xf numFmtId="3" fontId="0" fillId="0" borderId="13" xfId="57" applyNumberFormat="1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3" fontId="0" fillId="0" borderId="13" xfId="57" applyNumberFormat="1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3" fontId="0" fillId="0" borderId="11" xfId="57" applyNumberFormat="1" applyFont="1" applyBorder="1" applyAlignment="1">
      <alignment horizontal="center" vertical="center" wrapText="1"/>
      <protection/>
    </xf>
    <xf numFmtId="3" fontId="0" fillId="0" borderId="15" xfId="57" applyNumberFormat="1" applyFont="1" applyBorder="1" applyAlignment="1">
      <alignment horizontal="center" vertical="center" wrapText="1"/>
      <protection/>
    </xf>
    <xf numFmtId="3" fontId="0" fillId="0" borderId="11" xfId="57" applyNumberFormat="1" applyFont="1" applyBorder="1" applyAlignment="1">
      <alignment horizontal="center" vertical="center"/>
      <protection/>
    </xf>
    <xf numFmtId="3" fontId="0" fillId="0" borderId="15" xfId="57" applyNumberFormat="1" applyFont="1" applyBorder="1" applyAlignment="1">
      <alignment horizontal="center" vertical="center"/>
      <protection/>
    </xf>
    <xf numFmtId="0" fontId="21" fillId="0" borderId="0" xfId="57" applyFont="1" applyBorder="1" applyAlignment="1">
      <alignment horizontal="left"/>
      <protection/>
    </xf>
    <xf numFmtId="3" fontId="24" fillId="0" borderId="20" xfId="57" applyNumberFormat="1" applyFont="1" applyBorder="1" applyAlignment="1">
      <alignment horizontal="center" vertical="center" wrapText="1"/>
      <protection/>
    </xf>
    <xf numFmtId="0" fontId="24" fillId="0" borderId="20" xfId="57" applyFont="1" applyBorder="1" applyAlignment="1">
      <alignment horizontal="right" vertical="center" wrapText="1"/>
      <protection/>
    </xf>
    <xf numFmtId="3" fontId="24" fillId="0" borderId="20" xfId="57" applyNumberFormat="1" applyFont="1" applyBorder="1" applyAlignment="1">
      <alignment horizontal="center" vertical="center"/>
      <protection/>
    </xf>
    <xf numFmtId="3" fontId="24" fillId="0" borderId="21" xfId="57" applyNumberFormat="1" applyFont="1" applyBorder="1">
      <alignment/>
      <protection/>
    </xf>
    <xf numFmtId="3" fontId="24" fillId="0" borderId="20" xfId="57" applyNumberFormat="1" applyFont="1" applyBorder="1">
      <alignment/>
      <protection/>
    </xf>
    <xf numFmtId="0" fontId="24" fillId="0" borderId="21" xfId="57" applyFont="1" applyBorder="1">
      <alignment/>
      <protection/>
    </xf>
    <xf numFmtId="3" fontId="24" fillId="0" borderId="20" xfId="57" applyNumberFormat="1" applyFont="1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0" xfId="57" applyFont="1" applyBorder="1" applyAlignment="1">
      <alignment vertical="top"/>
      <protection/>
    </xf>
    <xf numFmtId="0" fontId="0" fillId="0" borderId="22" xfId="57" applyFont="1" applyBorder="1">
      <alignment/>
      <protection/>
    </xf>
    <xf numFmtId="3" fontId="0" fillId="0" borderId="20" xfId="57" applyNumberFormat="1" applyFont="1" applyBorder="1">
      <alignment/>
      <protection/>
    </xf>
    <xf numFmtId="3" fontId="0" fillId="0" borderId="21" xfId="57" applyNumberFormat="1" applyFont="1" applyBorder="1">
      <alignment/>
      <protection/>
    </xf>
    <xf numFmtId="3" fontId="0" fillId="0" borderId="0" xfId="57" applyNumberFormat="1" applyFont="1" applyBorder="1">
      <alignment/>
      <protection/>
    </xf>
    <xf numFmtId="0" fontId="0" fillId="0" borderId="21" xfId="57" applyFont="1" applyBorder="1" applyAlignment="1">
      <alignment horizontal="right"/>
      <protection/>
    </xf>
    <xf numFmtId="3" fontId="0" fillId="0" borderId="16" xfId="57" applyNumberFormat="1" applyFont="1" applyBorder="1">
      <alignment/>
      <protection/>
    </xf>
    <xf numFmtId="3" fontId="24" fillId="0" borderId="16" xfId="57" applyNumberFormat="1" applyFont="1" applyBorder="1">
      <alignment/>
      <protection/>
    </xf>
    <xf numFmtId="0" fontId="0" fillId="0" borderId="16" xfId="57" applyFont="1" applyBorder="1" applyAlignment="1">
      <alignment horizontal="right"/>
      <protection/>
    </xf>
    <xf numFmtId="0" fontId="24" fillId="0" borderId="13" xfId="57" applyFont="1" applyBorder="1" applyAlignment="1">
      <alignment horizontal="center"/>
      <protection/>
    </xf>
    <xf numFmtId="0" fontId="24" fillId="0" borderId="11" xfId="57" applyFont="1" applyBorder="1" applyAlignment="1">
      <alignment vertical="top"/>
      <protection/>
    </xf>
    <xf numFmtId="3" fontId="24" fillId="0" borderId="11" xfId="57" applyNumberFormat="1" applyFont="1" applyBorder="1" applyAlignment="1">
      <alignment vertical="center" wrapText="1"/>
      <protection/>
    </xf>
    <xf numFmtId="3" fontId="24" fillId="0" borderId="13" xfId="57" applyNumberFormat="1" applyFont="1" applyBorder="1">
      <alignment/>
      <protection/>
    </xf>
    <xf numFmtId="3" fontId="24" fillId="0" borderId="15" xfId="57" applyNumberFormat="1" applyFont="1" applyBorder="1">
      <alignment/>
      <protection/>
    </xf>
    <xf numFmtId="0" fontId="24" fillId="0" borderId="15" xfId="57" applyFont="1" applyBorder="1" applyAlignment="1">
      <alignment horizontal="right"/>
      <protection/>
    </xf>
    <xf numFmtId="0" fontId="0" fillId="0" borderId="15" xfId="57" applyFont="1" applyBorder="1" applyAlignment="1">
      <alignment horizontal="right"/>
      <protection/>
    </xf>
    <xf numFmtId="0" fontId="24" fillId="0" borderId="23" xfId="57" applyFont="1" applyBorder="1" applyAlignment="1">
      <alignment horizontal="center"/>
      <protection/>
    </xf>
    <xf numFmtId="0" fontId="24" fillId="0" borderId="10" xfId="57" applyFont="1" applyBorder="1" applyAlignment="1">
      <alignment vertical="top"/>
      <protection/>
    </xf>
    <xf numFmtId="3" fontId="24" fillId="0" borderId="10" xfId="57" applyNumberFormat="1" applyFont="1" applyBorder="1" applyAlignment="1">
      <alignment vertical="center" wrapText="1"/>
      <protection/>
    </xf>
    <xf numFmtId="0" fontId="24" fillId="0" borderId="10" xfId="57" applyFont="1" applyBorder="1">
      <alignment/>
      <protection/>
    </xf>
    <xf numFmtId="0" fontId="24" fillId="0" borderId="24" xfId="57" applyFont="1" applyBorder="1">
      <alignment/>
      <protection/>
    </xf>
    <xf numFmtId="3" fontId="24" fillId="0" borderId="23" xfId="57" applyNumberFormat="1" applyFont="1" applyBorder="1">
      <alignment/>
      <protection/>
    </xf>
    <xf numFmtId="0" fontId="24" fillId="0" borderId="0" xfId="57" applyFont="1" applyBorder="1" applyAlignment="1">
      <alignment vertical="top"/>
      <protection/>
    </xf>
    <xf numFmtId="3" fontId="24" fillId="0" borderId="0" xfId="57" applyNumberFormat="1" applyFont="1" applyBorder="1" applyAlignment="1">
      <alignment vertical="center" wrapText="1"/>
      <protection/>
    </xf>
    <xf numFmtId="3" fontId="24" fillId="0" borderId="19" xfId="57" applyNumberFormat="1" applyFont="1" applyBorder="1">
      <alignment/>
      <protection/>
    </xf>
    <xf numFmtId="3" fontId="24" fillId="0" borderId="0" xfId="57" applyNumberFormat="1" applyFont="1" applyBorder="1">
      <alignment/>
      <protection/>
    </xf>
    <xf numFmtId="0" fontId="24" fillId="0" borderId="21" xfId="57" applyFont="1" applyBorder="1" applyAlignment="1">
      <alignment horizontal="right"/>
      <protection/>
    </xf>
    <xf numFmtId="0" fontId="0" fillId="0" borderId="0" xfId="57" applyFont="1" applyFill="1" applyBorder="1">
      <alignment/>
      <protection/>
    </xf>
    <xf numFmtId="3" fontId="0" fillId="0" borderId="0" xfId="57" applyNumberFormat="1" applyFont="1" applyBorder="1" applyAlignment="1">
      <alignment vertical="center"/>
      <protection/>
    </xf>
    <xf numFmtId="0" fontId="21" fillId="0" borderId="0" xfId="57" applyFont="1" applyBorder="1" applyAlignment="1">
      <alignment vertical="top"/>
      <protection/>
    </xf>
    <xf numFmtId="0" fontId="1" fillId="0" borderId="0" xfId="60" applyFont="1" applyBorder="1">
      <alignment/>
      <protection/>
    </xf>
    <xf numFmtId="3" fontId="24" fillId="0" borderId="11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/>
      <protection/>
    </xf>
    <xf numFmtId="3" fontId="0" fillId="0" borderId="17" xfId="57" applyNumberFormat="1" applyFont="1" applyBorder="1">
      <alignment/>
      <protection/>
    </xf>
    <xf numFmtId="0" fontId="24" fillId="0" borderId="20" xfId="57" applyFont="1" applyBorder="1">
      <alignment/>
      <protection/>
    </xf>
    <xf numFmtId="0" fontId="0" fillId="0" borderId="23" xfId="57" applyFont="1" applyBorder="1" applyAlignment="1">
      <alignment horizontal="center"/>
      <protection/>
    </xf>
    <xf numFmtId="0" fontId="0" fillId="0" borderId="10" xfId="57" applyFont="1" applyBorder="1" applyAlignment="1">
      <alignment vertical="top"/>
      <protection/>
    </xf>
    <xf numFmtId="0" fontId="0" fillId="0" borderId="10" xfId="57" applyFont="1" applyBorder="1" applyAlignment="1">
      <alignment/>
      <protection/>
    </xf>
    <xf numFmtId="0" fontId="0" fillId="0" borderId="10" xfId="57" applyFont="1" applyBorder="1">
      <alignment/>
      <protection/>
    </xf>
    <xf numFmtId="0" fontId="0" fillId="0" borderId="24" xfId="57" applyFont="1" applyBorder="1">
      <alignment/>
      <protection/>
    </xf>
    <xf numFmtId="3" fontId="0" fillId="0" borderId="23" xfId="57" applyNumberFormat="1" applyFont="1" applyBorder="1">
      <alignment/>
      <protection/>
    </xf>
    <xf numFmtId="0" fontId="24" fillId="0" borderId="11" xfId="57" applyFont="1" applyBorder="1" applyAlignment="1">
      <alignment/>
      <protection/>
    </xf>
    <xf numFmtId="164" fontId="0" fillId="0" borderId="10" xfId="57" applyNumberFormat="1" applyFont="1" applyBorder="1" applyAlignment="1">
      <alignment vertical="top"/>
      <protection/>
    </xf>
    <xf numFmtId="0" fontId="26" fillId="0" borderId="0" xfId="57" applyFont="1" applyAlignment="1">
      <alignment horizontal="center" vertical="center" wrapText="1"/>
      <protection/>
    </xf>
    <xf numFmtId="3" fontId="0" fillId="0" borderId="10" xfId="57" applyNumberFormat="1" applyFont="1" applyBorder="1">
      <alignment/>
      <protection/>
    </xf>
    <xf numFmtId="0" fontId="0" fillId="0" borderId="0" xfId="57">
      <alignment/>
      <protection/>
    </xf>
    <xf numFmtId="0" fontId="23" fillId="0" borderId="0" xfId="57" applyFont="1" applyBorder="1" applyAlignment="1">
      <alignment horizontal="center"/>
      <protection/>
    </xf>
    <xf numFmtId="3" fontId="24" fillId="0" borderId="15" xfId="57" applyNumberFormat="1" applyFont="1" applyBorder="1" applyAlignment="1">
      <alignment horizontal="center" vertical="center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19" fillId="0" borderId="15" xfId="57" applyFont="1" applyBorder="1" applyAlignment="1">
      <alignment horizontal="center" vertical="center" wrapText="1"/>
      <protection/>
    </xf>
    <xf numFmtId="3" fontId="0" fillId="0" borderId="15" xfId="57" applyNumberFormat="1" applyFont="1" applyBorder="1" applyAlignment="1">
      <alignment horizontal="center"/>
      <protection/>
    </xf>
    <xf numFmtId="0" fontId="26" fillId="0" borderId="21" xfId="57" applyFont="1" applyBorder="1">
      <alignment/>
      <protection/>
    </xf>
    <xf numFmtId="0" fontId="26" fillId="0" borderId="22" xfId="57" applyFont="1" applyBorder="1">
      <alignment/>
      <protection/>
    </xf>
    <xf numFmtId="0" fontId="24" fillId="0" borderId="17" xfId="57" applyFont="1" applyBorder="1">
      <alignment/>
      <protection/>
    </xf>
    <xf numFmtId="0" fontId="24" fillId="0" borderId="19" xfId="57" applyFont="1" applyBorder="1">
      <alignment/>
      <protection/>
    </xf>
    <xf numFmtId="0" fontId="23" fillId="0" borderId="15" xfId="57" applyFont="1" applyBorder="1" applyAlignment="1">
      <alignment horizontal="left" vertical="center" wrapText="1"/>
      <protection/>
    </xf>
    <xf numFmtId="0" fontId="26" fillId="0" borderId="15" xfId="57" applyFont="1" applyBorder="1" applyAlignment="1">
      <alignment horizontal="right" vertical="center"/>
      <protection/>
    </xf>
    <xf numFmtId="0" fontId="26" fillId="0" borderId="15" xfId="57" applyFont="1" applyBorder="1">
      <alignment/>
      <protection/>
    </xf>
    <xf numFmtId="0" fontId="26" fillId="0" borderId="14" xfId="57" applyFont="1" applyBorder="1">
      <alignment/>
      <protection/>
    </xf>
    <xf numFmtId="0" fontId="23" fillId="0" borderId="11" xfId="57" applyFont="1" applyBorder="1" applyAlignment="1">
      <alignment horizontal="left" vertical="center" wrapText="1"/>
      <protection/>
    </xf>
    <xf numFmtId="0" fontId="23" fillId="0" borderId="14" xfId="57" applyFont="1" applyBorder="1" applyAlignment="1">
      <alignment horizontal="left" vertical="center" wrapText="1"/>
      <protection/>
    </xf>
    <xf numFmtId="0" fontId="0" fillId="0" borderId="13" xfId="57" applyBorder="1">
      <alignment/>
      <protection/>
    </xf>
    <xf numFmtId="0" fontId="0" fillId="0" borderId="15" xfId="57" applyBorder="1">
      <alignment/>
      <protection/>
    </xf>
    <xf numFmtId="0" fontId="0" fillId="0" borderId="11" xfId="57" applyBorder="1">
      <alignment/>
      <protection/>
    </xf>
    <xf numFmtId="0" fontId="23" fillId="0" borderId="16" xfId="57" applyFont="1" applyBorder="1" applyAlignment="1">
      <alignment horizontal="left" vertical="center" wrapText="1"/>
      <protection/>
    </xf>
    <xf numFmtId="0" fontId="19" fillId="0" borderId="16" xfId="57" applyFont="1" applyBorder="1">
      <alignment/>
      <protection/>
    </xf>
    <xf numFmtId="0" fontId="0" fillId="0" borderId="16" xfId="57" applyBorder="1">
      <alignment/>
      <protection/>
    </xf>
    <xf numFmtId="0" fontId="26" fillId="0" borderId="16" xfId="57" applyFont="1" applyBorder="1">
      <alignment/>
      <protection/>
    </xf>
    <xf numFmtId="0" fontId="26" fillId="0" borderId="16" xfId="57" applyFont="1" applyBorder="1" applyAlignment="1">
      <alignment horizontal="right" vertical="center"/>
      <protection/>
    </xf>
    <xf numFmtId="0" fontId="25" fillId="0" borderId="16" xfId="57" applyFont="1" applyBorder="1">
      <alignment/>
      <protection/>
    </xf>
    <xf numFmtId="0" fontId="24" fillId="0" borderId="16" xfId="57" applyFont="1" applyBorder="1">
      <alignment/>
      <protection/>
    </xf>
    <xf numFmtId="0" fontId="19" fillId="0" borderId="15" xfId="57" applyFont="1" applyBorder="1">
      <alignment/>
      <protection/>
    </xf>
    <xf numFmtId="0" fontId="25" fillId="0" borderId="15" xfId="57" applyFont="1" applyBorder="1">
      <alignment/>
      <protection/>
    </xf>
    <xf numFmtId="0" fontId="19" fillId="0" borderId="15" xfId="57" applyFont="1" applyBorder="1" applyAlignment="1">
      <alignment horizontal="left" vertical="center" wrapText="1"/>
      <protection/>
    </xf>
    <xf numFmtId="0" fontId="19" fillId="0" borderId="15" xfId="57" applyFont="1" applyBorder="1" applyAlignment="1">
      <alignment horizontal="right" vertical="center" wrapText="1"/>
      <protection/>
    </xf>
    <xf numFmtId="0" fontId="19" fillId="0" borderId="17" xfId="57" applyFont="1" applyBorder="1" applyAlignment="1">
      <alignment horizontal="center" vertical="center" wrapText="1"/>
      <protection/>
    </xf>
    <xf numFmtId="0" fontId="19" fillId="0" borderId="17" xfId="57" applyFont="1" applyBorder="1" applyAlignment="1">
      <alignment horizontal="left" vertical="center" wrapText="1"/>
      <protection/>
    </xf>
    <xf numFmtId="0" fontId="19" fillId="0" borderId="17" xfId="57" applyFont="1" applyBorder="1" applyAlignment="1">
      <alignment horizontal="right" vertical="center" wrapText="1"/>
      <protection/>
    </xf>
    <xf numFmtId="0" fontId="26" fillId="0" borderId="17" xfId="57" applyFont="1" applyBorder="1">
      <alignment/>
      <protection/>
    </xf>
    <xf numFmtId="0" fontId="26" fillId="0" borderId="17" xfId="57" applyFont="1" applyBorder="1" applyAlignment="1">
      <alignment horizontal="right" vertical="center"/>
      <protection/>
    </xf>
    <xf numFmtId="0" fontId="25" fillId="0" borderId="17" xfId="57" applyFont="1" applyBorder="1">
      <alignment/>
      <protection/>
    </xf>
    <xf numFmtId="0" fontId="0" fillId="0" borderId="17" xfId="57" applyBorder="1">
      <alignment/>
      <protection/>
    </xf>
    <xf numFmtId="0" fontId="23" fillId="0" borderId="15" xfId="57" applyFont="1" applyBorder="1" applyAlignment="1">
      <alignment horizontal="left" vertical="center"/>
      <protection/>
    </xf>
    <xf numFmtId="0" fontId="19" fillId="0" borderId="15" xfId="57" applyFont="1" applyBorder="1" applyAlignment="1">
      <alignment vertical="center"/>
      <protection/>
    </xf>
    <xf numFmtId="0" fontId="23" fillId="0" borderId="15" xfId="57" applyFont="1" applyBorder="1" applyAlignment="1">
      <alignment vertical="center"/>
      <protection/>
    </xf>
    <xf numFmtId="0" fontId="19" fillId="0" borderId="17" xfId="57" applyFont="1" applyBorder="1">
      <alignment/>
      <protection/>
    </xf>
    <xf numFmtId="0" fontId="19" fillId="0" borderId="16" xfId="57" applyFont="1" applyBorder="1" applyAlignment="1">
      <alignment vertical="center"/>
      <protection/>
    </xf>
    <xf numFmtId="0" fontId="19" fillId="0" borderId="17" xfId="57" applyFont="1" applyBorder="1" applyAlignment="1">
      <alignment vertical="center"/>
      <protection/>
    </xf>
    <xf numFmtId="0" fontId="19" fillId="0" borderId="21" xfId="57" applyFont="1" applyBorder="1" applyAlignment="1">
      <alignment vertical="center"/>
      <protection/>
    </xf>
    <xf numFmtId="0" fontId="0" fillId="0" borderId="21" xfId="57" applyBorder="1">
      <alignment/>
      <protection/>
    </xf>
    <xf numFmtId="0" fontId="0" fillId="0" borderId="15" xfId="57" applyFont="1" applyBorder="1">
      <alignment/>
      <protection/>
    </xf>
    <xf numFmtId="0" fontId="34" fillId="0" borderId="0" xfId="57" applyFont="1">
      <alignment/>
      <protection/>
    </xf>
    <xf numFmtId="0" fontId="35" fillId="0" borderId="0" xfId="57" applyFont="1">
      <alignment/>
      <protection/>
    </xf>
    <xf numFmtId="0" fontId="36" fillId="0" borderId="0" xfId="57" applyFont="1" applyAlignment="1">
      <alignment/>
      <protection/>
    </xf>
    <xf numFmtId="0" fontId="35" fillId="0" borderId="0" xfId="57" applyFont="1" applyAlignment="1">
      <alignment/>
      <protection/>
    </xf>
    <xf numFmtId="0" fontId="36" fillId="0" borderId="0" xfId="57" applyFont="1" applyAlignment="1">
      <alignment horizontal="right"/>
      <protection/>
    </xf>
    <xf numFmtId="0" fontId="35" fillId="0" borderId="15" xfId="57" applyFont="1" applyBorder="1" applyAlignment="1">
      <alignment horizontal="center" wrapText="1"/>
      <protection/>
    </xf>
    <xf numFmtId="0" fontId="35" fillId="0" borderId="15" xfId="57" applyFont="1" applyBorder="1" applyAlignment="1">
      <alignment horizontal="center" vertical="center" wrapText="1"/>
      <protection/>
    </xf>
    <xf numFmtId="0" fontId="35" fillId="0" borderId="15" xfId="57" applyFont="1" applyBorder="1" applyAlignment="1">
      <alignment vertical="center" wrapText="1"/>
      <protection/>
    </xf>
    <xf numFmtId="0" fontId="35" fillId="0" borderId="15" xfId="57" applyFont="1" applyBorder="1" applyAlignment="1">
      <alignment wrapText="1"/>
      <protection/>
    </xf>
    <xf numFmtId="0" fontId="34" fillId="0" borderId="15" xfId="57" applyFont="1" applyBorder="1">
      <alignment/>
      <protection/>
    </xf>
    <xf numFmtId="3" fontId="34" fillId="0" borderId="15" xfId="57" applyNumberFormat="1" applyFont="1" applyBorder="1">
      <alignment/>
      <protection/>
    </xf>
    <xf numFmtId="3" fontId="35" fillId="0" borderId="15" xfId="57" applyNumberFormat="1" applyFont="1" applyBorder="1">
      <alignment/>
      <protection/>
    </xf>
    <xf numFmtId="3" fontId="34" fillId="0" borderId="15" xfId="57" applyNumberFormat="1" applyFont="1" applyFill="1" applyBorder="1">
      <alignment/>
      <protection/>
    </xf>
    <xf numFmtId="0" fontId="34" fillId="0" borderId="17" xfId="57" applyFont="1" applyBorder="1">
      <alignment/>
      <protection/>
    </xf>
    <xf numFmtId="3" fontId="34" fillId="0" borderId="17" xfId="57" applyNumberFormat="1" applyFont="1" applyFill="1" applyBorder="1">
      <alignment/>
      <protection/>
    </xf>
    <xf numFmtId="3" fontId="34" fillId="0" borderId="17" xfId="57" applyNumberFormat="1" applyFont="1" applyBorder="1">
      <alignment/>
      <protection/>
    </xf>
    <xf numFmtId="0" fontId="35" fillId="0" borderId="16" xfId="57" applyFont="1" applyBorder="1">
      <alignment/>
      <protection/>
    </xf>
    <xf numFmtId="3" fontId="35" fillId="0" borderId="16" xfId="57" applyNumberFormat="1" applyFont="1" applyBorder="1">
      <alignment/>
      <protection/>
    </xf>
    <xf numFmtId="0" fontId="34" fillId="0" borderId="16" xfId="57" applyFont="1" applyBorder="1">
      <alignment/>
      <protection/>
    </xf>
    <xf numFmtId="3" fontId="34" fillId="0" borderId="16" xfId="57" applyNumberFormat="1" applyFont="1" applyBorder="1">
      <alignment/>
      <protection/>
    </xf>
    <xf numFmtId="3" fontId="34" fillId="0" borderId="21" xfId="57" applyNumberFormat="1" applyFont="1" applyBorder="1">
      <alignment/>
      <protection/>
    </xf>
    <xf numFmtId="3" fontId="34" fillId="0" borderId="14" xfId="57" applyNumberFormat="1" applyFont="1" applyBorder="1">
      <alignment/>
      <protection/>
    </xf>
    <xf numFmtId="3" fontId="34" fillId="0" borderId="13" xfId="57" applyNumberFormat="1" applyFont="1" applyBorder="1">
      <alignment/>
      <protection/>
    </xf>
    <xf numFmtId="0" fontId="35" fillId="0" borderId="15" xfId="57" applyFont="1" applyBorder="1">
      <alignment/>
      <protection/>
    </xf>
    <xf numFmtId="0" fontId="34" fillId="0" borderId="0" xfId="57" applyFont="1" applyFill="1">
      <alignment/>
      <protection/>
    </xf>
    <xf numFmtId="0" fontId="35" fillId="0" borderId="0" xfId="57" applyFont="1" applyBorder="1">
      <alignment/>
      <protection/>
    </xf>
    <xf numFmtId="0" fontId="34" fillId="0" borderId="0" xfId="57" applyFont="1" applyBorder="1">
      <alignment/>
      <protection/>
    </xf>
    <xf numFmtId="9" fontId="34" fillId="0" borderId="15" xfId="57" applyNumberFormat="1" applyFont="1" applyBorder="1">
      <alignment/>
      <protection/>
    </xf>
    <xf numFmtId="0" fontId="37" fillId="0" borderId="0" xfId="57" applyFont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/>
      <protection/>
    </xf>
    <xf numFmtId="0" fontId="38" fillId="0" borderId="0" xfId="57" applyFont="1" applyAlignment="1">
      <alignment/>
      <protection/>
    </xf>
    <xf numFmtId="0" fontId="40" fillId="0" borderId="17" xfId="57" applyFont="1" applyBorder="1" applyAlignment="1">
      <alignment horizontal="center" vertical="center" wrapText="1"/>
      <protection/>
    </xf>
    <xf numFmtId="0" fontId="40" fillId="7" borderId="17" xfId="57" applyFont="1" applyFill="1" applyBorder="1" applyAlignment="1">
      <alignment horizontal="center" vertical="center" wrapText="1"/>
      <protection/>
    </xf>
    <xf numFmtId="0" fontId="38" fillId="0" borderId="17" xfId="57" applyFont="1" applyBorder="1" applyAlignment="1">
      <alignment horizontal="center" vertical="center" wrapText="1"/>
      <protection/>
    </xf>
    <xf numFmtId="0" fontId="38" fillId="7" borderId="17" xfId="57" applyFont="1" applyFill="1" applyBorder="1" applyAlignment="1">
      <alignment horizontal="center" vertical="center" wrapText="1"/>
      <protection/>
    </xf>
    <xf numFmtId="0" fontId="38" fillId="0" borderId="21" xfId="57" applyFont="1" applyBorder="1" applyAlignment="1">
      <alignment vertical="center" wrapText="1"/>
      <protection/>
    </xf>
    <xf numFmtId="0" fontId="38" fillId="7" borderId="21" xfId="57" applyFont="1" applyFill="1" applyBorder="1" applyAlignment="1">
      <alignment vertical="center" wrapText="1"/>
      <protection/>
    </xf>
    <xf numFmtId="0" fontId="38" fillId="0" borderId="16" xfId="57" applyFont="1" applyBorder="1" applyAlignment="1">
      <alignment horizontal="center" vertical="center" wrapText="1"/>
      <protection/>
    </xf>
    <xf numFmtId="0" fontId="38" fillId="7" borderId="16" xfId="57" applyFont="1" applyFill="1" applyBorder="1" applyAlignment="1">
      <alignment horizontal="center" vertical="center" wrapText="1"/>
      <protection/>
    </xf>
    <xf numFmtId="0" fontId="37" fillId="0" borderId="15" xfId="57" applyFont="1" applyBorder="1">
      <alignment/>
      <protection/>
    </xf>
    <xf numFmtId="3" fontId="37" fillId="0" borderId="15" xfId="57" applyNumberFormat="1" applyFont="1" applyBorder="1">
      <alignment/>
      <protection/>
    </xf>
    <xf numFmtId="3" fontId="37" fillId="7" borderId="15" xfId="57" applyNumberFormat="1" applyFont="1" applyFill="1" applyBorder="1">
      <alignment/>
      <protection/>
    </xf>
    <xf numFmtId="3" fontId="38" fillId="0" borderId="15" xfId="57" applyNumberFormat="1" applyFont="1" applyBorder="1" applyAlignment="1">
      <alignment wrapText="1"/>
      <protection/>
    </xf>
    <xf numFmtId="3" fontId="38" fillId="7" borderId="15" xfId="57" applyNumberFormat="1" applyFont="1" applyFill="1" applyBorder="1">
      <alignment/>
      <protection/>
    </xf>
    <xf numFmtId="0" fontId="37" fillId="0" borderId="17" xfId="57" applyFont="1" applyBorder="1">
      <alignment/>
      <protection/>
    </xf>
    <xf numFmtId="3" fontId="37" fillId="0" borderId="17" xfId="57" applyNumberFormat="1" applyFont="1" applyBorder="1">
      <alignment/>
      <protection/>
    </xf>
    <xf numFmtId="3" fontId="37" fillId="7" borderId="17" xfId="57" applyNumberFormat="1" applyFont="1" applyFill="1" applyBorder="1">
      <alignment/>
      <protection/>
    </xf>
    <xf numFmtId="0" fontId="38" fillId="0" borderId="16" xfId="57" applyFont="1" applyBorder="1">
      <alignment/>
      <protection/>
    </xf>
    <xf numFmtId="3" fontId="38" fillId="7" borderId="16" xfId="57" applyNumberFormat="1" applyFont="1" applyFill="1" applyBorder="1">
      <alignment/>
      <protection/>
    </xf>
    <xf numFmtId="0" fontId="37" fillId="0" borderId="16" xfId="57" applyFont="1" applyBorder="1">
      <alignment/>
      <protection/>
    </xf>
    <xf numFmtId="3" fontId="37" fillId="0" borderId="16" xfId="57" applyNumberFormat="1" applyFont="1" applyBorder="1">
      <alignment/>
      <protection/>
    </xf>
    <xf numFmtId="3" fontId="37" fillId="7" borderId="16" xfId="57" applyNumberFormat="1" applyFont="1" applyFill="1" applyBorder="1">
      <alignment/>
      <protection/>
    </xf>
    <xf numFmtId="3" fontId="37" fillId="7" borderId="21" xfId="57" applyNumberFormat="1" applyFont="1" applyFill="1" applyBorder="1">
      <alignment/>
      <protection/>
    </xf>
    <xf numFmtId="3" fontId="37" fillId="0" borderId="21" xfId="57" applyNumberFormat="1" applyFont="1" applyBorder="1">
      <alignment/>
      <protection/>
    </xf>
    <xf numFmtId="3" fontId="37" fillId="7" borderId="13" xfId="57" applyNumberFormat="1" applyFont="1" applyFill="1" applyBorder="1">
      <alignment/>
      <protection/>
    </xf>
    <xf numFmtId="3" fontId="37" fillId="7" borderId="14" xfId="57" applyNumberFormat="1" applyFont="1" applyFill="1" applyBorder="1">
      <alignment/>
      <protection/>
    </xf>
    <xf numFmtId="3" fontId="37" fillId="0" borderId="14" xfId="57" applyNumberFormat="1" applyFont="1" applyBorder="1">
      <alignment/>
      <protection/>
    </xf>
    <xf numFmtId="0" fontId="38" fillId="0" borderId="15" xfId="57" applyFont="1" applyBorder="1">
      <alignment/>
      <protection/>
    </xf>
    <xf numFmtId="0" fontId="38" fillId="0" borderId="0" xfId="57" applyFont="1" applyBorder="1">
      <alignment/>
      <protection/>
    </xf>
    <xf numFmtId="0" fontId="37" fillId="7" borderId="16" xfId="57" applyFont="1" applyFill="1" applyBorder="1">
      <alignment/>
      <protection/>
    </xf>
    <xf numFmtId="0" fontId="37" fillId="0" borderId="0" xfId="57" applyFont="1" applyBorder="1">
      <alignment/>
      <protection/>
    </xf>
    <xf numFmtId="0" fontId="37" fillId="7" borderId="15" xfId="57" applyFont="1" applyFill="1" applyBorder="1">
      <alignment/>
      <protection/>
    </xf>
    <xf numFmtId="9" fontId="37" fillId="0" borderId="15" xfId="57" applyNumberFormat="1" applyFont="1" applyBorder="1">
      <alignment/>
      <protection/>
    </xf>
    <xf numFmtId="9" fontId="37" fillId="7" borderId="15" xfId="57" applyNumberFormat="1" applyFont="1" applyFill="1" applyBorder="1">
      <alignment/>
      <protection/>
    </xf>
    <xf numFmtId="0" fontId="41" fillId="0" borderId="0" xfId="56" applyFont="1">
      <alignment/>
      <protection/>
    </xf>
    <xf numFmtId="0" fontId="41" fillId="0" borderId="0" xfId="56" applyFont="1" applyBorder="1">
      <alignment/>
      <protection/>
    </xf>
    <xf numFmtId="3" fontId="41" fillId="0" borderId="0" xfId="56" applyNumberFormat="1" applyFont="1" applyBorder="1" applyAlignment="1">
      <alignment horizontal="right"/>
      <protection/>
    </xf>
    <xf numFmtId="3" fontId="41" fillId="0" borderId="0" xfId="56" applyNumberFormat="1" applyFont="1" applyFill="1">
      <alignment/>
      <protection/>
    </xf>
    <xf numFmtId="3" fontId="41" fillId="0" borderId="0" xfId="56" applyNumberFormat="1" applyFont="1">
      <alignment/>
      <protection/>
    </xf>
    <xf numFmtId="0" fontId="39" fillId="0" borderId="0" xfId="56" applyFont="1" applyBorder="1" applyAlignment="1">
      <alignment horizontal="center"/>
      <protection/>
    </xf>
    <xf numFmtId="0" fontId="41" fillId="0" borderId="0" xfId="56" applyFont="1" applyAlignment="1">
      <alignment horizontal="center"/>
      <protection/>
    </xf>
    <xf numFmtId="3" fontId="41" fillId="0" borderId="0" xfId="56" applyNumberFormat="1" applyFont="1" applyAlignment="1">
      <alignment horizontal="center"/>
      <protection/>
    </xf>
    <xf numFmtId="3" fontId="39" fillId="0" borderId="0" xfId="56" applyNumberFormat="1" applyFont="1" applyBorder="1" applyAlignment="1">
      <alignment horizontal="center"/>
      <protection/>
    </xf>
    <xf numFmtId="0" fontId="41" fillId="0" borderId="0" xfId="56" applyFont="1" applyBorder="1" applyAlignment="1">
      <alignment horizontal="center"/>
      <protection/>
    </xf>
    <xf numFmtId="3" fontId="41" fillId="0" borderId="0" xfId="56" applyNumberFormat="1" applyFont="1" applyFill="1" applyBorder="1" applyAlignment="1">
      <alignment horizontal="right"/>
      <protection/>
    </xf>
    <xf numFmtId="3" fontId="41" fillId="0" borderId="13" xfId="56" applyNumberFormat="1" applyFont="1" applyBorder="1" applyAlignment="1">
      <alignment horizontal="right"/>
      <protection/>
    </xf>
    <xf numFmtId="3" fontId="39" fillId="0" borderId="14" xfId="56" applyNumberFormat="1" applyFont="1" applyFill="1" applyBorder="1">
      <alignment/>
      <protection/>
    </xf>
    <xf numFmtId="0" fontId="43" fillId="0" borderId="0" xfId="56" applyFont="1">
      <alignment/>
      <protection/>
    </xf>
    <xf numFmtId="3" fontId="43" fillId="0" borderId="0" xfId="56" applyNumberFormat="1" applyFont="1">
      <alignment/>
      <protection/>
    </xf>
    <xf numFmtId="0" fontId="41" fillId="0" borderId="13" xfId="56" applyFont="1" applyBorder="1" applyAlignment="1">
      <alignment horizontal="left"/>
      <protection/>
    </xf>
    <xf numFmtId="0" fontId="41" fillId="0" borderId="11" xfId="56" applyFont="1" applyBorder="1" applyAlignment="1">
      <alignment horizontal="left"/>
      <protection/>
    </xf>
    <xf numFmtId="3" fontId="41" fillId="0" borderId="14" xfId="56" applyNumberFormat="1" applyFont="1" applyFill="1" applyBorder="1">
      <alignment/>
      <protection/>
    </xf>
    <xf numFmtId="0" fontId="41" fillId="0" borderId="23" xfId="56" applyFont="1" applyBorder="1">
      <alignment/>
      <protection/>
    </xf>
    <xf numFmtId="0" fontId="41" fillId="0" borderId="14" xfId="56" applyFont="1" applyFill="1" applyBorder="1">
      <alignment/>
      <protection/>
    </xf>
    <xf numFmtId="0" fontId="41" fillId="0" borderId="11" xfId="56" applyFont="1" applyBorder="1">
      <alignment/>
      <protection/>
    </xf>
    <xf numFmtId="3" fontId="41" fillId="0" borderId="13" xfId="56" applyNumberFormat="1" applyFont="1" applyFill="1" applyBorder="1">
      <alignment/>
      <protection/>
    </xf>
    <xf numFmtId="3" fontId="41" fillId="0" borderId="14" xfId="56" applyNumberFormat="1" applyFont="1" applyBorder="1">
      <alignment/>
      <protection/>
    </xf>
    <xf numFmtId="0" fontId="41" fillId="0" borderId="13" xfId="56" applyFont="1" applyFill="1" applyBorder="1" applyAlignment="1">
      <alignment horizontal="left"/>
      <protection/>
    </xf>
    <xf numFmtId="0" fontId="41" fillId="0" borderId="11" xfId="56" applyFont="1" applyFill="1" applyBorder="1" applyAlignment="1">
      <alignment horizontal="left"/>
      <protection/>
    </xf>
    <xf numFmtId="3" fontId="41" fillId="0" borderId="13" xfId="56" applyNumberFormat="1" applyFont="1" applyFill="1" applyBorder="1" applyAlignment="1">
      <alignment horizontal="left"/>
      <protection/>
    </xf>
    <xf numFmtId="0" fontId="41" fillId="0" borderId="0" xfId="56" applyFont="1" applyFill="1">
      <alignment/>
      <protection/>
    </xf>
    <xf numFmtId="0" fontId="41" fillId="0" borderId="23" xfId="56" applyFont="1" applyFill="1" applyBorder="1" applyAlignment="1">
      <alignment horizontal="left"/>
      <protection/>
    </xf>
    <xf numFmtId="0" fontId="41" fillId="0" borderId="11" xfId="56" applyFont="1" applyFill="1" applyBorder="1">
      <alignment/>
      <protection/>
    </xf>
    <xf numFmtId="3" fontId="41" fillId="0" borderId="22" xfId="56" applyNumberFormat="1" applyFont="1" applyBorder="1">
      <alignment/>
      <protection/>
    </xf>
    <xf numFmtId="0" fontId="41" fillId="0" borderId="10" xfId="56" applyFont="1" applyFill="1" applyBorder="1" applyAlignment="1">
      <alignment horizontal="left"/>
      <protection/>
    </xf>
    <xf numFmtId="0" fontId="41" fillId="0" borderId="10" xfId="56" applyFont="1" applyFill="1" applyBorder="1">
      <alignment/>
      <protection/>
    </xf>
    <xf numFmtId="3" fontId="41" fillId="0" borderId="23" xfId="56" applyNumberFormat="1" applyFont="1" applyFill="1" applyBorder="1">
      <alignment/>
      <protection/>
    </xf>
    <xf numFmtId="3" fontId="41" fillId="0" borderId="24" xfId="56" applyNumberFormat="1" applyFont="1" applyFill="1" applyBorder="1">
      <alignment/>
      <protection/>
    </xf>
    <xf numFmtId="3" fontId="41" fillId="0" borderId="13" xfId="56" applyNumberFormat="1" applyFont="1" applyFill="1" applyBorder="1" applyAlignment="1">
      <alignment horizontal="right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left" vertical="center" wrapText="1"/>
      <protection/>
    </xf>
    <xf numFmtId="3" fontId="0" fillId="0" borderId="17" xfId="57" applyNumberFormat="1" applyFont="1" applyBorder="1" applyAlignment="1">
      <alignment horizontal="right" vertical="center"/>
      <protection/>
    </xf>
    <xf numFmtId="3" fontId="0" fillId="0" borderId="15" xfId="57" applyNumberFormat="1" applyFont="1" applyBorder="1" applyAlignment="1">
      <alignment horizontal="right" vertical="center"/>
      <protection/>
    </xf>
    <xf numFmtId="0" fontId="41" fillId="0" borderId="15" xfId="62" applyFont="1" applyBorder="1" applyAlignment="1">
      <alignment horizontal="left" vertical="center" wrapText="1"/>
      <protection/>
    </xf>
    <xf numFmtId="0" fontId="41" fillId="0" borderId="15" xfId="62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0" borderId="13" xfId="57" applyFont="1" applyBorder="1">
      <alignment/>
      <protection/>
    </xf>
    <xf numFmtId="3" fontId="19" fillId="0" borderId="11" xfId="63" applyNumberFormat="1" applyFont="1" applyBorder="1" applyAlignment="1">
      <alignment horizontal="center" vertical="center" wrapText="1"/>
      <protection/>
    </xf>
    <xf numFmtId="3" fontId="23" fillId="0" borderId="11" xfId="63" applyNumberFormat="1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top" wrapText="1"/>
      <protection/>
    </xf>
    <xf numFmtId="0" fontId="31" fillId="0" borderId="0" xfId="57" applyFont="1" applyBorder="1">
      <alignment/>
      <protection/>
    </xf>
    <xf numFmtId="3" fontId="19" fillId="0" borderId="0" xfId="63" applyNumberFormat="1" applyFont="1" applyBorder="1" applyAlignment="1">
      <alignment horizontal="center" vertical="center" wrapText="1"/>
      <protection/>
    </xf>
    <xf numFmtId="3" fontId="25" fillId="0" borderId="11" xfId="63" applyNumberFormat="1" applyFont="1" applyBorder="1" applyAlignment="1">
      <alignment horizontal="center" vertical="top" wrapText="1"/>
      <protection/>
    </xf>
    <xf numFmtId="3" fontId="23" fillId="0" borderId="13" xfId="57" applyNumberFormat="1" applyFont="1" applyBorder="1" applyAlignment="1">
      <alignment horizontal="center" vertical="center"/>
      <protection/>
    </xf>
    <xf numFmtId="3" fontId="23" fillId="0" borderId="14" xfId="57" applyNumberFormat="1" applyFont="1" applyBorder="1" applyAlignment="1">
      <alignment horizontal="center" vertical="center"/>
      <protection/>
    </xf>
    <xf numFmtId="0" fontId="19" fillId="0" borderId="17" xfId="57" applyFont="1" applyBorder="1" applyAlignment="1">
      <alignment horizontal="center"/>
      <protection/>
    </xf>
    <xf numFmtId="3" fontId="19" fillId="0" borderId="17" xfId="57" applyNumberFormat="1" applyFont="1" applyBorder="1" applyAlignment="1">
      <alignment horizontal="center"/>
      <protection/>
    </xf>
    <xf numFmtId="3" fontId="19" fillId="0" borderId="25" xfId="63" applyNumberFormat="1" applyFont="1" applyBorder="1" applyAlignment="1">
      <alignment horizontal="center" vertical="center" wrapText="1"/>
      <protection/>
    </xf>
    <xf numFmtId="3" fontId="19" fillId="0" borderId="26" xfId="63" applyNumberFormat="1" applyFont="1" applyBorder="1" applyAlignment="1">
      <alignment horizontal="center" vertical="center" wrapText="1"/>
      <protection/>
    </xf>
    <xf numFmtId="3" fontId="19" fillId="0" borderId="27" xfId="57" applyNumberFormat="1" applyFont="1" applyBorder="1" applyAlignment="1">
      <alignment horizontal="center"/>
      <protection/>
    </xf>
    <xf numFmtId="3" fontId="19" fillId="0" borderId="28" xfId="57" applyNumberFormat="1" applyFont="1" applyBorder="1">
      <alignment/>
      <protection/>
    </xf>
    <xf numFmtId="3" fontId="19" fillId="0" borderId="29" xfId="57" applyNumberFormat="1" applyFont="1" applyBorder="1">
      <alignment/>
      <protection/>
    </xf>
    <xf numFmtId="3" fontId="23" fillId="0" borderId="29" xfId="57" applyNumberFormat="1" applyFont="1" applyBorder="1">
      <alignment/>
      <protection/>
    </xf>
    <xf numFmtId="3" fontId="23" fillId="0" borderId="30" xfId="57" applyNumberFormat="1" applyFont="1" applyBorder="1">
      <alignment/>
      <protection/>
    </xf>
    <xf numFmtId="3" fontId="23" fillId="0" borderId="28" xfId="57" applyNumberFormat="1" applyFont="1" applyBorder="1">
      <alignment/>
      <protection/>
    </xf>
    <xf numFmtId="3" fontId="25" fillId="0" borderId="10" xfId="0" applyNumberFormat="1" applyFont="1" applyFill="1" applyBorder="1" applyAlignment="1">
      <alignment/>
    </xf>
    <xf numFmtId="3" fontId="19" fillId="0" borderId="0" xfId="63" applyNumberFormat="1" applyFont="1" applyFill="1">
      <alignment/>
      <protection/>
    </xf>
    <xf numFmtId="3" fontId="19" fillId="0" borderId="20" xfId="57" applyNumberFormat="1" applyFont="1" applyFill="1" applyBorder="1">
      <alignment/>
      <protection/>
    </xf>
    <xf numFmtId="3" fontId="31" fillId="0" borderId="0" xfId="57" applyNumberFormat="1" applyFont="1" applyBorder="1">
      <alignment/>
      <protection/>
    </xf>
    <xf numFmtId="3" fontId="27" fillId="0" borderId="31" xfId="63" applyNumberFormat="1" applyFont="1" applyBorder="1">
      <alignment/>
      <protection/>
    </xf>
    <xf numFmtId="3" fontId="27" fillId="0" borderId="32" xfId="63" applyNumberFormat="1" applyFont="1" applyBorder="1">
      <alignment/>
      <protection/>
    </xf>
    <xf numFmtId="3" fontId="27" fillId="0" borderId="33" xfId="63" applyNumberFormat="1" applyFont="1" applyBorder="1">
      <alignment/>
      <protection/>
    </xf>
    <xf numFmtId="3" fontId="27" fillId="0" borderId="28" xfId="63" applyNumberFormat="1" applyFont="1" applyBorder="1">
      <alignment/>
      <protection/>
    </xf>
    <xf numFmtId="0" fontId="19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right"/>
      <protection/>
    </xf>
    <xf numFmtId="3" fontId="24" fillId="0" borderId="13" xfId="57" applyNumberFormat="1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right"/>
      <protection/>
    </xf>
    <xf numFmtId="0" fontId="25" fillId="0" borderId="11" xfId="57" applyFont="1" applyBorder="1" applyAlignment="1">
      <alignment horizontal="right"/>
      <protection/>
    </xf>
    <xf numFmtId="0" fontId="26" fillId="0" borderId="0" xfId="57" applyFont="1" applyAlignment="1">
      <alignment horizontal="right"/>
      <protection/>
    </xf>
    <xf numFmtId="0" fontId="26" fillId="0" borderId="12" xfId="57" applyFont="1" applyBorder="1" applyAlignment="1">
      <alignment horizontal="right"/>
      <protection/>
    </xf>
    <xf numFmtId="3" fontId="25" fillId="0" borderId="34" xfId="57" applyNumberFormat="1" applyFont="1" applyBorder="1">
      <alignment/>
      <protection/>
    </xf>
    <xf numFmtId="3" fontId="26" fillId="0" borderId="35" xfId="57" applyNumberFormat="1" applyFont="1" applyBorder="1">
      <alignment/>
      <protection/>
    </xf>
    <xf numFmtId="0" fontId="23" fillId="0" borderId="23" xfId="57" applyFont="1" applyBorder="1">
      <alignment/>
      <protection/>
    </xf>
    <xf numFmtId="3" fontId="23" fillId="0" borderId="23" xfId="57" applyNumberFormat="1" applyFont="1" applyBorder="1">
      <alignment/>
      <protection/>
    </xf>
    <xf numFmtId="3" fontId="35" fillId="0" borderId="36" xfId="57" applyNumberFormat="1" applyFont="1" applyBorder="1">
      <alignment/>
      <protection/>
    </xf>
    <xf numFmtId="0" fontId="35" fillId="0" borderId="37" xfId="57" applyFont="1" applyBorder="1">
      <alignment/>
      <protection/>
    </xf>
    <xf numFmtId="3" fontId="35" fillId="0" borderId="37" xfId="57" applyNumberFormat="1" applyFont="1" applyBorder="1">
      <alignment/>
      <protection/>
    </xf>
    <xf numFmtId="0" fontId="34" fillId="0" borderId="36" xfId="57" applyFont="1" applyBorder="1">
      <alignment/>
      <protection/>
    </xf>
    <xf numFmtId="3" fontId="34" fillId="0" borderId="36" xfId="57" applyNumberFormat="1" applyFont="1" applyBorder="1">
      <alignment/>
      <protection/>
    </xf>
    <xf numFmtId="0" fontId="35" fillId="0" borderId="38" xfId="57" applyFont="1" applyBorder="1">
      <alignment/>
      <protection/>
    </xf>
    <xf numFmtId="3" fontId="35" fillId="0" borderId="38" xfId="57" applyNumberFormat="1" applyFont="1" applyBorder="1">
      <alignment/>
      <protection/>
    </xf>
    <xf numFmtId="0" fontId="34" fillId="0" borderId="36" xfId="57" applyFont="1" applyFill="1" applyBorder="1">
      <alignment/>
      <protection/>
    </xf>
    <xf numFmtId="3" fontId="34" fillId="0" borderId="36" xfId="57" applyNumberFormat="1" applyFont="1" applyFill="1" applyBorder="1">
      <alignment/>
      <protection/>
    </xf>
    <xf numFmtId="0" fontId="37" fillId="0" borderId="36" xfId="57" applyFont="1" applyBorder="1">
      <alignment/>
      <protection/>
    </xf>
    <xf numFmtId="3" fontId="37" fillId="0" borderId="36" xfId="57" applyNumberFormat="1" applyFont="1" applyBorder="1">
      <alignment/>
      <protection/>
    </xf>
    <xf numFmtId="3" fontId="37" fillId="7" borderId="36" xfId="57" applyNumberFormat="1" applyFont="1" applyFill="1" applyBorder="1">
      <alignment/>
      <protection/>
    </xf>
    <xf numFmtId="3" fontId="38" fillId="0" borderId="36" xfId="57" applyNumberFormat="1" applyFont="1" applyBorder="1" applyAlignment="1">
      <alignment wrapText="1"/>
      <protection/>
    </xf>
    <xf numFmtId="3" fontId="38" fillId="7" borderId="36" xfId="57" applyNumberFormat="1" applyFont="1" applyFill="1" applyBorder="1">
      <alignment/>
      <protection/>
    </xf>
    <xf numFmtId="3" fontId="38" fillId="0" borderId="16" xfId="57" applyNumberFormat="1" applyFont="1" applyBorder="1" applyAlignment="1">
      <alignment wrapText="1"/>
      <protection/>
    </xf>
    <xf numFmtId="0" fontId="38" fillId="0" borderId="38" xfId="57" applyFont="1" applyBorder="1">
      <alignment/>
      <protection/>
    </xf>
    <xf numFmtId="3" fontId="38" fillId="0" borderId="38" xfId="57" applyNumberFormat="1" applyFont="1" applyBorder="1">
      <alignment/>
      <protection/>
    </xf>
    <xf numFmtId="3" fontId="38" fillId="7" borderId="38" xfId="57" applyNumberFormat="1" applyFont="1" applyFill="1" applyBorder="1">
      <alignment/>
      <protection/>
    </xf>
    <xf numFmtId="3" fontId="37" fillId="0" borderId="38" xfId="57" applyNumberFormat="1" applyFont="1" applyBorder="1">
      <alignment/>
      <protection/>
    </xf>
    <xf numFmtId="3" fontId="37" fillId="7" borderId="38" xfId="57" applyNumberFormat="1" applyFont="1" applyFill="1" applyBorder="1">
      <alignment/>
      <protection/>
    </xf>
    <xf numFmtId="0" fontId="1" fillId="0" borderId="0" xfId="61">
      <alignment/>
      <protection/>
    </xf>
    <xf numFmtId="0" fontId="45" fillId="0" borderId="0" xfId="61" applyFont="1" applyAlignment="1">
      <alignment horizontal="center"/>
      <protection/>
    </xf>
    <xf numFmtId="0" fontId="45" fillId="0" borderId="25" xfId="61" applyFont="1" applyBorder="1" applyAlignment="1">
      <alignment horizontal="center" vertical="center" wrapText="1"/>
      <protection/>
    </xf>
    <xf numFmtId="0" fontId="1" fillId="0" borderId="0" xfId="61" applyAlignment="1">
      <alignment vertical="center" wrapText="1"/>
      <protection/>
    </xf>
    <xf numFmtId="0" fontId="46" fillId="0" borderId="25" xfId="61" applyFont="1" applyBorder="1" applyAlignment="1">
      <alignment vertical="center" wrapText="1"/>
      <protection/>
    </xf>
    <xf numFmtId="166" fontId="46" fillId="0" borderId="25" xfId="61" applyNumberFormat="1" applyFont="1" applyBorder="1" applyAlignment="1">
      <alignment horizontal="right"/>
      <protection/>
    </xf>
    <xf numFmtId="166" fontId="1" fillId="0" borderId="0" xfId="61" applyNumberFormat="1">
      <alignment/>
      <protection/>
    </xf>
    <xf numFmtId="166" fontId="1" fillId="0" borderId="0" xfId="61" applyNumberFormat="1" applyAlignment="1">
      <alignment horizontal="right"/>
      <protection/>
    </xf>
    <xf numFmtId="0" fontId="44" fillId="0" borderId="0" xfId="61" applyFont="1" applyAlignment="1">
      <alignment horizontal="right"/>
      <protection/>
    </xf>
    <xf numFmtId="0" fontId="0" fillId="0" borderId="0" xfId="58">
      <alignment/>
      <protection/>
    </xf>
    <xf numFmtId="3" fontId="0" fillId="0" borderId="0" xfId="58" applyNumberFormat="1">
      <alignment/>
      <protection/>
    </xf>
    <xf numFmtId="0" fontId="0" fillId="0" borderId="25" xfId="58" applyBorder="1" applyAlignment="1">
      <alignment horizontal="center"/>
      <protection/>
    </xf>
    <xf numFmtId="3" fontId="0" fillId="0" borderId="25" xfId="58" applyNumberFormat="1" applyBorder="1" applyAlignment="1">
      <alignment horizontal="center"/>
      <protection/>
    </xf>
    <xf numFmtId="0" fontId="24" fillId="0" borderId="25" xfId="58" applyFont="1" applyBorder="1" applyAlignment="1">
      <alignment horizontal="center"/>
      <protection/>
    </xf>
    <xf numFmtId="0" fontId="24" fillId="0" borderId="25" xfId="58" applyFont="1" applyBorder="1">
      <alignment/>
      <protection/>
    </xf>
    <xf numFmtId="0" fontId="0" fillId="0" borderId="25" xfId="58" applyBorder="1">
      <alignment/>
      <protection/>
    </xf>
    <xf numFmtId="3" fontId="0" fillId="0" borderId="25" xfId="58" applyNumberFormat="1" applyBorder="1">
      <alignment/>
      <protection/>
    </xf>
    <xf numFmtId="0" fontId="24" fillId="0" borderId="25" xfId="58" applyFont="1" applyBorder="1">
      <alignment/>
      <protection/>
    </xf>
    <xf numFmtId="3" fontId="0" fillId="0" borderId="25" xfId="58" applyNumberFormat="1" applyFont="1" applyBorder="1">
      <alignment/>
      <protection/>
    </xf>
    <xf numFmtId="3" fontId="24" fillId="0" borderId="25" xfId="58" applyNumberFormat="1" applyFont="1" applyBorder="1">
      <alignment/>
      <protection/>
    </xf>
    <xf numFmtId="0" fontId="24" fillId="0" borderId="0" xfId="58" applyFont="1">
      <alignment/>
      <protection/>
    </xf>
    <xf numFmtId="3" fontId="0" fillId="0" borderId="28" xfId="58" applyNumberFormat="1" applyFill="1" applyBorder="1">
      <alignment/>
      <protection/>
    </xf>
    <xf numFmtId="0" fontId="0" fillId="0" borderId="25" xfId="58" applyFont="1" applyBorder="1">
      <alignment/>
      <protection/>
    </xf>
    <xf numFmtId="0" fontId="0" fillId="0" borderId="25" xfId="58" applyFont="1" applyBorder="1">
      <alignment/>
      <protection/>
    </xf>
    <xf numFmtId="3" fontId="25" fillId="0" borderId="34" xfId="0" applyNumberFormat="1" applyFont="1" applyBorder="1" applyAlignment="1">
      <alignment/>
    </xf>
    <xf numFmtId="0" fontId="23" fillId="0" borderId="11" xfId="63" applyFont="1" applyBorder="1" applyAlignment="1">
      <alignment horizontal="right"/>
      <protection/>
    </xf>
    <xf numFmtId="0" fontId="0" fillId="0" borderId="0" xfId="57" applyFont="1" applyBorder="1" applyAlignment="1">
      <alignment horizontal="center" vertical="top" wrapText="1"/>
      <protection/>
    </xf>
    <xf numFmtId="0" fontId="24" fillId="0" borderId="15" xfId="57" applyFont="1" applyBorder="1" applyAlignment="1">
      <alignment horizontal="center" vertical="center" wrapText="1"/>
      <protection/>
    </xf>
    <xf numFmtId="3" fontId="24" fillId="0" borderId="15" xfId="57" applyNumberFormat="1" applyFont="1" applyBorder="1" applyAlignment="1">
      <alignment horizontal="center" vertical="center" wrapText="1"/>
      <protection/>
    </xf>
    <xf numFmtId="3" fontId="24" fillId="0" borderId="17" xfId="57" applyNumberFormat="1" applyFont="1" applyBorder="1" applyAlignment="1">
      <alignment horizontal="center" vertical="center"/>
      <protection/>
    </xf>
    <xf numFmtId="3" fontId="24" fillId="0" borderId="21" xfId="57" applyNumberFormat="1" applyFont="1" applyBorder="1" applyAlignment="1">
      <alignment horizontal="center" vertical="center" wrapText="1"/>
      <protection/>
    </xf>
    <xf numFmtId="0" fontId="24" fillId="0" borderId="16" xfId="57" applyFont="1" applyBorder="1" applyAlignment="1">
      <alignment horizontal="center" vertical="center" wrapText="1"/>
      <protection/>
    </xf>
    <xf numFmtId="0" fontId="24" fillId="0" borderId="15" xfId="57" applyFont="1" applyBorder="1" applyAlignment="1">
      <alignment horizontal="center" vertical="center"/>
      <protection/>
    </xf>
    <xf numFmtId="3" fontId="24" fillId="0" borderId="16" xfId="57" applyNumberFormat="1" applyFont="1" applyBorder="1" applyAlignment="1">
      <alignment horizontal="center" vertical="center" wrapText="1"/>
      <protection/>
    </xf>
    <xf numFmtId="3" fontId="24" fillId="0" borderId="21" xfId="57" applyNumberFormat="1" applyFont="1" applyBorder="1" applyAlignment="1">
      <alignment horizontal="center" vertical="center"/>
      <protection/>
    </xf>
    <xf numFmtId="0" fontId="24" fillId="0" borderId="21" xfId="57" applyFont="1" applyBorder="1" applyAlignment="1">
      <alignment horizontal="center" vertical="center"/>
      <protection/>
    </xf>
    <xf numFmtId="0" fontId="21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3" fontId="23" fillId="0" borderId="10" xfId="57" applyNumberFormat="1" applyFont="1" applyBorder="1" applyAlignment="1">
      <alignment horizontal="right"/>
      <protection/>
    </xf>
    <xf numFmtId="3" fontId="23" fillId="0" borderId="0" xfId="57" applyNumberFormat="1" applyFont="1" applyBorder="1" applyAlignment="1">
      <alignment horizontal="right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top" wrapText="1"/>
      <protection/>
    </xf>
    <xf numFmtId="0" fontId="0" fillId="0" borderId="15" xfId="57" applyFont="1" applyBorder="1" applyAlignment="1">
      <alignment horizontal="center"/>
      <protection/>
    </xf>
    <xf numFmtId="3" fontId="0" fillId="0" borderId="15" xfId="57" applyNumberFormat="1" applyFont="1" applyBorder="1" applyAlignment="1">
      <alignment horizontal="center" vertical="center" wrapText="1"/>
      <protection/>
    </xf>
    <xf numFmtId="3" fontId="24" fillId="0" borderId="17" xfId="57" applyNumberFormat="1" applyFont="1" applyBorder="1" applyAlignment="1">
      <alignment horizontal="center" vertical="center" wrapText="1"/>
      <protection/>
    </xf>
    <xf numFmtId="1" fontId="20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right"/>
    </xf>
    <xf numFmtId="0" fontId="26" fillId="0" borderId="11" xfId="0" applyFont="1" applyBorder="1" applyAlignment="1">
      <alignment horizontal="center" vertical="center"/>
    </xf>
    <xf numFmtId="0" fontId="23" fillId="0" borderId="0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24" fillId="0" borderId="15" xfId="59" applyFont="1" applyBorder="1" applyAlignment="1">
      <alignment horizontal="left"/>
      <protection/>
    </xf>
    <xf numFmtId="0" fontId="0" fillId="0" borderId="15" xfId="59" applyFont="1" applyBorder="1" applyAlignment="1">
      <alignment horizontal="left"/>
      <protection/>
    </xf>
    <xf numFmtId="0" fontId="0" fillId="0" borderId="15" xfId="59" applyBorder="1" applyAlignment="1">
      <alignment horizontal="center"/>
      <protection/>
    </xf>
    <xf numFmtId="0" fontId="24" fillId="0" borderId="15" xfId="59" applyFont="1" applyFill="1" applyBorder="1" applyAlignment="1">
      <alignment horizontal="left" vertical="center" wrapText="1"/>
      <protection/>
    </xf>
    <xf numFmtId="0" fontId="0" fillId="0" borderId="15" xfId="59" applyFont="1" applyBorder="1" applyAlignment="1">
      <alignment horizontal="left" vertical="top" wrapText="1"/>
      <protection/>
    </xf>
    <xf numFmtId="0" fontId="24" fillId="0" borderId="0" xfId="59" applyFont="1" applyBorder="1" applyAlignment="1">
      <alignment horizontal="center"/>
      <protection/>
    </xf>
    <xf numFmtId="165" fontId="0" fillId="0" borderId="15" xfId="59" applyNumberFormat="1" applyFont="1" applyBorder="1" applyAlignment="1">
      <alignment horizontal="left"/>
      <protection/>
    </xf>
    <xf numFmtId="0" fontId="24" fillId="0" borderId="13" xfId="59" applyFont="1" applyBorder="1" applyAlignment="1">
      <alignment horizontal="left"/>
      <protection/>
    </xf>
    <xf numFmtId="0" fontId="0" fillId="0" borderId="15" xfId="59" applyFont="1" applyFill="1" applyBorder="1" applyAlignment="1">
      <alignment horizontal="left" vertical="center" wrapText="1"/>
      <protection/>
    </xf>
    <xf numFmtId="3" fontId="0" fillId="0" borderId="15" xfId="59" applyNumberFormat="1" applyFont="1" applyBorder="1" applyAlignment="1">
      <alignment horizontal="center" vertical="center"/>
      <protection/>
    </xf>
    <xf numFmtId="0" fontId="24" fillId="0" borderId="0" xfId="59" applyFont="1" applyFill="1" applyBorder="1" applyAlignment="1">
      <alignment horizontal="left" vertical="center" wrapText="1"/>
      <protection/>
    </xf>
    <xf numFmtId="0" fontId="24" fillId="0" borderId="15" xfId="59" applyFont="1" applyBorder="1" applyAlignment="1">
      <alignment horizontal="center" vertical="top" wrapText="1"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1" fillId="0" borderId="0" xfId="59" applyFont="1" applyBorder="1" applyAlignment="1">
      <alignment horizontal="right"/>
      <protection/>
    </xf>
    <xf numFmtId="0" fontId="20" fillId="0" borderId="0" xfId="59" applyFont="1" applyBorder="1" applyAlignment="1">
      <alignment horizontal="center" vertical="top"/>
      <protection/>
    </xf>
    <xf numFmtId="0" fontId="23" fillId="0" borderId="0" xfId="59" applyFont="1" applyBorder="1" applyAlignment="1">
      <alignment horizontal="center" vertical="top"/>
      <protection/>
    </xf>
    <xf numFmtId="0" fontId="24" fillId="0" borderId="0" xfId="59" applyFont="1" applyBorder="1" applyAlignment="1">
      <alignment horizontal="center" vertical="top"/>
      <protection/>
    </xf>
    <xf numFmtId="0" fontId="20" fillId="0" borderId="0" xfId="57" applyFont="1" applyBorder="1" applyAlignment="1">
      <alignment horizontal="right"/>
      <protection/>
    </xf>
    <xf numFmtId="3" fontId="24" fillId="0" borderId="14" xfId="57" applyNumberFormat="1" applyFont="1" applyBorder="1" applyAlignment="1">
      <alignment horizontal="center" vertical="center" wrapText="1"/>
      <protection/>
    </xf>
    <xf numFmtId="0" fontId="25" fillId="0" borderId="15" xfId="57" applyFont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left" vertical="center"/>
      <protection/>
    </xf>
    <xf numFmtId="0" fontId="23" fillId="0" borderId="15" xfId="57" applyFont="1" applyBorder="1" applyAlignment="1">
      <alignment horizontal="left"/>
      <protection/>
    </xf>
    <xf numFmtId="0" fontId="26" fillId="0" borderId="17" xfId="57" applyFont="1" applyBorder="1" applyAlignment="1">
      <alignment horizontal="center" vertical="center"/>
      <protection/>
    </xf>
    <xf numFmtId="0" fontId="23" fillId="0" borderId="15" xfId="57" applyFont="1" applyBorder="1" applyAlignment="1">
      <alignment horizontal="left" vertical="center" wrapText="1"/>
      <protection/>
    </xf>
    <xf numFmtId="0" fontId="25" fillId="0" borderId="15" xfId="57" applyFont="1" applyBorder="1" applyAlignment="1">
      <alignment horizontal="center"/>
      <protection/>
    </xf>
    <xf numFmtId="0" fontId="23" fillId="0" borderId="17" xfId="57" applyFont="1" applyBorder="1" applyAlignment="1">
      <alignment horizontal="center" vertical="center" wrapText="1"/>
      <protection/>
    </xf>
    <xf numFmtId="0" fontId="24" fillId="0" borderId="17" xfId="57" applyFont="1" applyBorder="1" applyAlignment="1">
      <alignment horizontal="center" vertical="center" wrapText="1"/>
      <protection/>
    </xf>
    <xf numFmtId="0" fontId="24" fillId="0" borderId="13" xfId="57" applyFont="1" applyBorder="1" applyAlignment="1">
      <alignment horizontal="center"/>
      <protection/>
    </xf>
    <xf numFmtId="0" fontId="24" fillId="0" borderId="18" xfId="57" applyFont="1" applyBorder="1" applyAlignment="1">
      <alignment horizontal="center" vertical="center" wrapText="1"/>
      <protection/>
    </xf>
    <xf numFmtId="0" fontId="0" fillId="0" borderId="14" xfId="60" applyBorder="1" applyAlignment="1">
      <alignment/>
      <protection/>
    </xf>
    <xf numFmtId="0" fontId="25" fillId="0" borderId="14" xfId="57" applyFont="1" applyBorder="1" applyAlignment="1">
      <alignment horizontal="center" vertical="center"/>
      <protection/>
    </xf>
    <xf numFmtId="0" fontId="19" fillId="0" borderId="14" xfId="57" applyFont="1" applyBorder="1" applyAlignment="1">
      <alignment horizontal="center" vertical="center" wrapText="1"/>
      <protection/>
    </xf>
    <xf numFmtId="0" fontId="19" fillId="0" borderId="15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right"/>
      <protection/>
    </xf>
    <xf numFmtId="0" fontId="23" fillId="0" borderId="0" xfId="57" applyFont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6" fillId="0" borderId="14" xfId="57" applyFont="1" applyBorder="1" applyAlignment="1">
      <alignment horizontal="center" vertical="center"/>
      <protection/>
    </xf>
    <xf numFmtId="0" fontId="26" fillId="0" borderId="15" xfId="57" applyFont="1" applyBorder="1" applyAlignment="1">
      <alignment horizontal="center" vertical="center"/>
      <protection/>
    </xf>
    <xf numFmtId="0" fontId="21" fillId="0" borderId="0" xfId="58" applyFont="1" applyAlignment="1">
      <alignment horizontal="center"/>
      <protection/>
    </xf>
    <xf numFmtId="0" fontId="21" fillId="0" borderId="0" xfId="58" applyFont="1" applyAlignment="1">
      <alignment horizontal="right"/>
      <protection/>
    </xf>
    <xf numFmtId="0" fontId="24" fillId="0" borderId="34" xfId="58" applyFont="1" applyBorder="1" applyAlignment="1">
      <alignment horizontal="right"/>
      <protection/>
    </xf>
    <xf numFmtId="0" fontId="36" fillId="0" borderId="0" xfId="57" applyFont="1" applyBorder="1" applyAlignment="1">
      <alignment horizontal="right"/>
      <protection/>
    </xf>
    <xf numFmtId="0" fontId="35" fillId="0" borderId="0" xfId="57" applyFont="1" applyBorder="1" applyAlignment="1">
      <alignment horizontal="center"/>
      <protection/>
    </xf>
    <xf numFmtId="0" fontId="35" fillId="0" borderId="10" xfId="57" applyFont="1" applyBorder="1" applyAlignment="1">
      <alignment horizontal="right"/>
      <protection/>
    </xf>
    <xf numFmtId="0" fontId="35" fillId="0" borderId="15" xfId="57" applyFont="1" applyBorder="1" applyAlignment="1">
      <alignment horizontal="center" wrapText="1"/>
      <protection/>
    </xf>
    <xf numFmtId="0" fontId="35" fillId="0" borderId="15" xfId="57" applyFont="1" applyBorder="1" applyAlignment="1">
      <alignment horizontal="center" vertical="center" wrapText="1"/>
      <protection/>
    </xf>
    <xf numFmtId="0" fontId="35" fillId="0" borderId="17" xfId="57" applyFont="1" applyBorder="1" applyAlignment="1">
      <alignment horizontal="center" vertical="center" wrapText="1"/>
      <protection/>
    </xf>
    <xf numFmtId="0" fontId="35" fillId="0" borderId="17" xfId="57" applyFont="1" applyBorder="1" applyAlignment="1">
      <alignment horizontal="center" wrapText="1"/>
      <protection/>
    </xf>
    <xf numFmtId="0" fontId="35" fillId="0" borderId="15" xfId="57" applyFont="1" applyBorder="1" applyAlignment="1">
      <alignment horizontal="center" vertical="center"/>
      <protection/>
    </xf>
    <xf numFmtId="0" fontId="38" fillId="0" borderId="15" xfId="57" applyFont="1" applyBorder="1" applyAlignment="1">
      <alignment horizontal="center" vertical="center" wrapText="1"/>
      <protection/>
    </xf>
    <xf numFmtId="0" fontId="38" fillId="7" borderId="15" xfId="57" applyFont="1" applyFill="1" applyBorder="1" applyAlignment="1">
      <alignment horizontal="center" vertical="center" wrapText="1"/>
      <protection/>
    </xf>
    <xf numFmtId="0" fontId="38" fillId="7" borderId="15" xfId="57" applyFont="1" applyFill="1" applyBorder="1" applyAlignment="1">
      <alignment horizontal="center" wrapText="1"/>
      <protection/>
    </xf>
    <xf numFmtId="0" fontId="39" fillId="0" borderId="0" xfId="57" applyFont="1" applyBorder="1" applyAlignment="1">
      <alignment horizontal="center"/>
      <protection/>
    </xf>
    <xf numFmtId="0" fontId="38" fillId="0" borderId="10" xfId="57" applyFont="1" applyBorder="1" applyAlignment="1">
      <alignment horizontal="right"/>
      <protection/>
    </xf>
    <xf numFmtId="0" fontId="38" fillId="0" borderId="15" xfId="57" applyFont="1" applyBorder="1" applyAlignment="1">
      <alignment horizontal="center" wrapText="1"/>
      <protection/>
    </xf>
    <xf numFmtId="0" fontId="42" fillId="0" borderId="0" xfId="56" applyFont="1" applyBorder="1" applyAlignment="1">
      <alignment horizontal="right"/>
      <protection/>
    </xf>
    <xf numFmtId="0" fontId="39" fillId="0" borderId="0" xfId="56" applyFont="1" applyBorder="1" applyAlignment="1">
      <alignment horizontal="center"/>
      <protection/>
    </xf>
    <xf numFmtId="0" fontId="39" fillId="0" borderId="13" xfId="56" applyFont="1" applyBorder="1" applyAlignment="1">
      <alignment horizontal="left"/>
      <protection/>
    </xf>
    <xf numFmtId="0" fontId="45" fillId="0" borderId="0" xfId="61" applyFont="1" applyAlignment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 I. névi rendmód" xfId="56"/>
    <cellStyle name="Normál_2012 évi kv. II. forduló" xfId="57"/>
    <cellStyle name="Normál_2012 évi kv. II. forduló_2014 évi II. forduló" xfId="58"/>
    <cellStyle name="Normál_2013 hitel tábla" xfId="59"/>
    <cellStyle name="Normál_2014 évi I. forduló" xfId="60"/>
    <cellStyle name="Normál_EU támogatással megval. proj.2015. évben" xfId="61"/>
    <cellStyle name="Normál_mellékletek (uniós,közvetett)" xfId="62"/>
    <cellStyle name="Normál_RENDELET TÁBLA 2014. IV. névi rend.módosítás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2</xdr:col>
      <xdr:colOff>133350</xdr:colOff>
      <xdr:row>38</xdr:row>
      <xdr:rowOff>19050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57200" y="2609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133350</xdr:colOff>
      <xdr:row>38</xdr:row>
      <xdr:rowOff>19050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457200" y="2609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133350</xdr:colOff>
      <xdr:row>11</xdr:row>
      <xdr:rowOff>28575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457200" y="1847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HIVATAL\4PENZUGY\Kozos_penzugy\Eszter\Rendeletm&#243;dos&#237;t&#225;sok\2014\2014.%20IV.%20n&#233;v\RENDELET%20T&#193;BLA%202014.%20IV.%20n&#233;vi%20rend.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szeln&#233;\Documents\kv.besz&#225;molo\2013\k&#246;lts&#233;gvet&#233;s\2013%20&#233;vi%20kv.%20I.%20fordul&#24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--=%20KISZELN&#201;%20=--\Users\Kiszeln&#233;\Documents\kv_besz&#225;mol&#243;\2014\K&#246;lts&#233;gvet&#233;s\2014%20&#233;vi%20I.%20fordu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bevétel"/>
      <sheetName val="címrendes kiadás"/>
      <sheetName val="Önkorm.bevétel"/>
      <sheetName val="Hivatal bevétel"/>
      <sheetName val="Önkorm.kiadás"/>
      <sheetName val="Hivatal kiad."/>
      <sheetName val="hitel 3.sz."/>
      <sheetName val="4.sz.mell. (2)"/>
      <sheetName val="5.mell. (2)"/>
      <sheetName val="7.mell (2)"/>
      <sheetName val="10.mell "/>
      <sheetName val="11a melléklet"/>
      <sheetName val="11b melléklet"/>
    </sheetNames>
    <sheetDataSet>
      <sheetData sheetId="0">
        <row r="123">
          <cell r="M123">
            <v>0</v>
          </cell>
        </row>
        <row r="124">
          <cell r="M124">
            <v>500</v>
          </cell>
        </row>
        <row r="129">
          <cell r="M129">
            <v>3100</v>
          </cell>
        </row>
        <row r="136">
          <cell r="M136">
            <v>0</v>
          </cell>
        </row>
      </sheetData>
      <sheetData sheetId="1">
        <row r="169">
          <cell r="M169">
            <v>0</v>
          </cell>
        </row>
        <row r="170">
          <cell r="M1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bevétel"/>
      <sheetName val="címrendes kiadás"/>
      <sheetName val="Önkorm.bevétel"/>
      <sheetName val="Hivatal bevétel"/>
      <sheetName val="Önkorm.kiadás"/>
      <sheetName val="Hivatal kiad."/>
      <sheetName val="hitel 3.sz."/>
      <sheetName val="4.sz.mell. (2)"/>
      <sheetName val="5.mell. (2)"/>
      <sheetName val="6.mell.(2)"/>
      <sheetName val="7.mell (2)"/>
      <sheetName val="9.m.II.f."/>
      <sheetName val="10.mell "/>
      <sheetName val="10.mell  összehasonlító"/>
      <sheetName val="11a melléklet"/>
      <sheetName val="11b melléklet"/>
      <sheetName val="12. melléklet"/>
      <sheetName val="13.mell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bevétel"/>
      <sheetName val="címrendes kiadás"/>
      <sheetName val="Önkorm.bevétel"/>
      <sheetName val="Hivatal bevétel"/>
      <sheetName val="Önkorm.kiadás"/>
      <sheetName val="Hivatal kiad."/>
      <sheetName val="hitel 3.sz."/>
      <sheetName val="4.sz.mell. (2)"/>
      <sheetName val="5.mell. (2)"/>
      <sheetName val="kötelező-nem kötelező"/>
      <sheetName val="6.mell.(2)"/>
      <sheetName val="7.mell (2)"/>
      <sheetName val="9.m.II.f."/>
      <sheetName val="10.mell "/>
      <sheetName val="10.mell  összehasonlító"/>
      <sheetName val="11a melléklet"/>
      <sheetName val="11b melléklet"/>
      <sheetName val="13.mell."/>
    </sheetNames>
    <sheetDataSet>
      <sheetData sheetId="0">
        <row r="122">
          <cell r="M122">
            <v>0</v>
          </cell>
        </row>
        <row r="135">
          <cell r="M135">
            <v>0</v>
          </cell>
        </row>
        <row r="136">
          <cell r="M136">
            <v>52276</v>
          </cell>
        </row>
        <row r="137">
          <cell r="M137">
            <v>0</v>
          </cell>
        </row>
      </sheetData>
      <sheetData sheetId="1">
        <row r="46">
          <cell r="M46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ivatal bevétel"/>
  <dimension ref="A1:BC18"/>
  <sheetViews>
    <sheetView view="pageBreakPreview" zoomScale="75" zoomScaleNormal="75" zoomScaleSheetLayoutView="75" workbookViewId="0" topLeftCell="A1">
      <selection activeCell="Y3" sqref="Y3"/>
    </sheetView>
  </sheetViews>
  <sheetFormatPr defaultColWidth="9.00390625" defaultRowHeight="12.75"/>
  <cols>
    <col min="1" max="1" width="54.375" style="0" customWidth="1"/>
    <col min="2" max="2" width="0" style="1" hidden="1" customWidth="1"/>
    <col min="3" max="3" width="0" style="2" hidden="1" customWidth="1"/>
    <col min="4" max="4" width="0" style="3" hidden="1" customWidth="1"/>
    <col min="5" max="5" width="0" style="4" hidden="1" customWidth="1"/>
    <col min="6" max="6" width="0" style="3" hidden="1" customWidth="1"/>
    <col min="7" max="7" width="0" style="0" hidden="1" customWidth="1"/>
    <col min="8" max="11" width="0" style="3" hidden="1" customWidth="1"/>
    <col min="12" max="20" width="0" style="1" hidden="1" customWidth="1"/>
    <col min="21" max="21" width="11.125" style="1" customWidth="1"/>
    <col min="22" max="22" width="12.875" style="1" customWidth="1"/>
    <col min="23" max="23" width="12.125" style="1" customWidth="1"/>
    <col min="24" max="24" width="12.375" style="1" customWidth="1"/>
    <col min="25" max="55" width="8.875" style="1" customWidth="1"/>
  </cols>
  <sheetData>
    <row r="1" spans="1:24" ht="15.75">
      <c r="A1" s="770"/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5"/>
      <c r="W1" s="5"/>
      <c r="X1" s="5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Y2" s="7" t="s">
        <v>625</v>
      </c>
    </row>
    <row r="4" spans="1:25" ht="15.75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</row>
    <row r="5" spans="1:15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ht="15.75">
      <c r="A6" s="8"/>
    </row>
    <row r="7" spans="25:45" ht="15.75">
      <c r="Y7" s="9" t="s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55" s="2" customFormat="1" ht="40.5" customHeight="1">
      <c r="A8" s="11" t="s">
        <v>2</v>
      </c>
      <c r="B8" s="12" t="s">
        <v>3</v>
      </c>
      <c r="C8" s="11" t="s">
        <v>4</v>
      </c>
      <c r="D8" s="11" t="s">
        <v>5</v>
      </c>
      <c r="E8" s="13" t="s">
        <v>6</v>
      </c>
      <c r="F8" s="14" t="s">
        <v>3</v>
      </c>
      <c r="G8" s="15" t="s">
        <v>7</v>
      </c>
      <c r="H8" s="15" t="s">
        <v>7</v>
      </c>
      <c r="I8" s="15" t="s">
        <v>7</v>
      </c>
      <c r="J8" s="14" t="s">
        <v>3</v>
      </c>
      <c r="K8" s="12" t="s">
        <v>8</v>
      </c>
      <c r="L8" s="12" t="s">
        <v>9</v>
      </c>
      <c r="M8" s="12" t="s">
        <v>4</v>
      </c>
      <c r="N8" s="12" t="s">
        <v>4</v>
      </c>
      <c r="O8" s="12" t="s">
        <v>4</v>
      </c>
      <c r="P8" s="12" t="s">
        <v>9</v>
      </c>
      <c r="Q8" s="12" t="s">
        <v>7</v>
      </c>
      <c r="R8" s="12" t="s">
        <v>7</v>
      </c>
      <c r="S8" s="12" t="s">
        <v>7</v>
      </c>
      <c r="T8" s="12" t="s">
        <v>9</v>
      </c>
      <c r="U8" s="12" t="s">
        <v>10</v>
      </c>
      <c r="V8" s="669" t="s">
        <v>550</v>
      </c>
      <c r="W8" s="669" t="s">
        <v>551</v>
      </c>
      <c r="X8" s="669" t="s">
        <v>552</v>
      </c>
      <c r="Y8" s="16" t="s">
        <v>11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s="2" customFormat="1" ht="15" customHeight="1">
      <c r="A9" s="17" t="s">
        <v>12</v>
      </c>
      <c r="B9" s="18"/>
      <c r="C9" s="17"/>
      <c r="D9" s="17"/>
      <c r="E9" s="19"/>
      <c r="F9" s="20"/>
      <c r="G9" s="21"/>
      <c r="H9" s="21"/>
      <c r="I9" s="21"/>
      <c r="J9" s="20"/>
      <c r="K9" s="18"/>
      <c r="L9" s="18"/>
      <c r="M9" s="18"/>
      <c r="N9" s="18"/>
      <c r="O9" s="18"/>
      <c r="P9" s="18"/>
      <c r="Q9" s="18"/>
      <c r="R9" s="18"/>
      <c r="S9" s="18"/>
      <c r="T9" s="18"/>
      <c r="U9" s="18" t="s">
        <v>13</v>
      </c>
      <c r="V9" s="670" t="s">
        <v>151</v>
      </c>
      <c r="W9" s="670" t="s">
        <v>152</v>
      </c>
      <c r="X9" s="670" t="s">
        <v>153</v>
      </c>
      <c r="Y9" s="22" t="s">
        <v>14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25" ht="15">
      <c r="A10" s="2" t="s">
        <v>15</v>
      </c>
      <c r="B10" s="1">
        <v>0</v>
      </c>
      <c r="C10" s="1" t="e">
        <f>#REF!+B10</f>
        <v>#REF!</v>
      </c>
      <c r="D10" s="1">
        <v>43</v>
      </c>
      <c r="E10" s="23" t="e">
        <f>D10/C10*100</f>
        <v>#REF!</v>
      </c>
      <c r="F10" s="1">
        <v>0</v>
      </c>
      <c r="G10" s="1" t="e">
        <f>C10+F10</f>
        <v>#REF!</v>
      </c>
      <c r="H10" s="1">
        <v>299</v>
      </c>
      <c r="I10" s="1" t="e">
        <f>H10/G10*100</f>
        <v>#REF!</v>
      </c>
      <c r="J10" s="1">
        <v>0</v>
      </c>
      <c r="K10" s="1">
        <v>1000</v>
      </c>
      <c r="L10" s="1">
        <v>0</v>
      </c>
      <c r="M10" s="1">
        <f>L10+K10</f>
        <v>1000</v>
      </c>
      <c r="N10" s="1">
        <v>1</v>
      </c>
      <c r="O10" s="1">
        <f>N10/M10*100</f>
        <v>0.1</v>
      </c>
      <c r="P10" s="1">
        <v>0</v>
      </c>
      <c r="Q10" s="1">
        <f>P10+M10</f>
        <v>1000</v>
      </c>
      <c r="R10" s="1">
        <v>416</v>
      </c>
      <c r="S10" s="1">
        <f>R10/Q10*100</f>
        <v>41.6</v>
      </c>
      <c r="T10" s="1">
        <v>227</v>
      </c>
      <c r="U10" s="1">
        <v>1000</v>
      </c>
      <c r="V10" s="1">
        <v>0</v>
      </c>
      <c r="W10" s="1">
        <v>0</v>
      </c>
      <c r="X10" s="1">
        <v>1000</v>
      </c>
      <c r="Y10" s="24" t="s">
        <v>16</v>
      </c>
    </row>
    <row r="11" spans="1:55" s="28" customFormat="1" ht="15">
      <c r="A11" s="25" t="s">
        <v>17</v>
      </c>
      <c r="B11" s="26">
        <f aca="true" t="shared" si="0" ref="B11:G11">SUM(B12:B14)</f>
        <v>2000</v>
      </c>
      <c r="C11" s="26" t="e">
        <f t="shared" si="0"/>
        <v>#REF!</v>
      </c>
      <c r="D11" s="26">
        <f t="shared" si="0"/>
        <v>3114</v>
      </c>
      <c r="E11" s="26" t="e">
        <f t="shared" si="0"/>
        <v>#REF!</v>
      </c>
      <c r="F11" s="26">
        <f t="shared" si="0"/>
        <v>2000</v>
      </c>
      <c r="G11" s="26" t="e">
        <f t="shared" si="0"/>
        <v>#REF!</v>
      </c>
      <c r="H11" s="26" t="e">
        <f>H12+H13+#REF!+H14</f>
        <v>#REF!</v>
      </c>
      <c r="I11" s="26" t="e">
        <f>H11/G11*100</f>
        <v>#REF!</v>
      </c>
      <c r="J11" s="26">
        <v>7123</v>
      </c>
      <c r="K11" s="26">
        <f>SUM(K12:K14)</f>
        <v>10090</v>
      </c>
      <c r="L11" s="26">
        <v>0</v>
      </c>
      <c r="M11" s="26">
        <f>L11+K11</f>
        <v>10090</v>
      </c>
      <c r="N11" s="26">
        <v>33749</v>
      </c>
      <c r="O11" s="26">
        <f>N11/M11*100</f>
        <v>334.4796828543112</v>
      </c>
      <c r="P11" s="26" t="e">
        <f>P12+P13+#REF!+P14</f>
        <v>#REF!</v>
      </c>
      <c r="Q11" s="26" t="e">
        <f>P11+M11</f>
        <v>#REF!</v>
      </c>
      <c r="R11" s="26" t="e">
        <f>R12+R13+#REF!+R14</f>
        <v>#REF!</v>
      </c>
      <c r="S11" s="26" t="e">
        <f>R11/Q11*100</f>
        <v>#REF!</v>
      </c>
      <c r="T11" s="26" t="e">
        <f>T12+T13+#REF!+T14</f>
        <v>#REF!</v>
      </c>
      <c r="U11" s="26">
        <f>SUM(U12:U14)</f>
        <v>10090</v>
      </c>
      <c r="V11" s="26">
        <f>SUM(V12:V14)</f>
        <v>0</v>
      </c>
      <c r="W11" s="26">
        <f>SUM(W12:W14)</f>
        <v>0</v>
      </c>
      <c r="X11" s="26">
        <f>SUM(X12:X14)</f>
        <v>10090</v>
      </c>
      <c r="Y11" s="27" t="s">
        <v>16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25" ht="15">
      <c r="A12" s="2" t="s">
        <v>18</v>
      </c>
      <c r="B12" s="1">
        <v>0</v>
      </c>
      <c r="C12" s="1" t="e">
        <f>#REF!+B12</f>
        <v>#REF!</v>
      </c>
      <c r="D12" s="1">
        <v>1114</v>
      </c>
      <c r="E12" s="23" t="e">
        <f>D12/C12*100</f>
        <v>#REF!</v>
      </c>
      <c r="F12" s="1">
        <v>0</v>
      </c>
      <c r="G12" s="1" t="e">
        <f>C12+F12</f>
        <v>#REF!</v>
      </c>
      <c r="H12" s="1">
        <v>2413</v>
      </c>
      <c r="I12" s="1" t="e">
        <f>H12/G12*100</f>
        <v>#REF!</v>
      </c>
      <c r="J12" s="1">
        <v>0</v>
      </c>
      <c r="K12" s="1">
        <v>1000</v>
      </c>
      <c r="L12" s="1">
        <v>0</v>
      </c>
      <c r="M12" s="1">
        <f>L12+K12</f>
        <v>1000</v>
      </c>
      <c r="N12" s="1">
        <v>1270</v>
      </c>
      <c r="O12" s="1">
        <f>N12/M12*100</f>
        <v>127</v>
      </c>
      <c r="P12" s="1">
        <v>0</v>
      </c>
      <c r="Q12" s="1">
        <f>P12+M12</f>
        <v>1000</v>
      </c>
      <c r="R12" s="1">
        <v>2987</v>
      </c>
      <c r="S12" s="1">
        <f>R12/Q12*100</f>
        <v>298.7</v>
      </c>
      <c r="T12" s="1">
        <v>2000</v>
      </c>
      <c r="U12" s="1">
        <v>1000</v>
      </c>
      <c r="V12" s="1">
        <v>0</v>
      </c>
      <c r="W12" s="1">
        <v>0</v>
      </c>
      <c r="X12" s="1">
        <v>1000</v>
      </c>
      <c r="Y12" s="24" t="s">
        <v>16</v>
      </c>
    </row>
    <row r="13" spans="1:25" ht="15">
      <c r="A13" s="2" t="s">
        <v>19</v>
      </c>
      <c r="B13" s="1">
        <v>1000</v>
      </c>
      <c r="C13" s="1">
        <v>1000</v>
      </c>
      <c r="D13" s="1">
        <v>1000</v>
      </c>
      <c r="E13" s="1">
        <v>1000</v>
      </c>
      <c r="F13" s="1">
        <v>1000</v>
      </c>
      <c r="G13" s="1">
        <v>1000</v>
      </c>
      <c r="H13" s="1">
        <v>1000</v>
      </c>
      <c r="I13" s="1">
        <v>1000</v>
      </c>
      <c r="J13" s="1">
        <v>1000</v>
      </c>
      <c r="K13" s="1">
        <v>7090</v>
      </c>
      <c r="L13" s="1">
        <v>0</v>
      </c>
      <c r="M13" s="1">
        <f>L13+K13</f>
        <v>7090</v>
      </c>
      <c r="N13" s="1">
        <v>203</v>
      </c>
      <c r="O13" s="1">
        <f>N13/M13*100</f>
        <v>2.863187588152327</v>
      </c>
      <c r="P13" s="1">
        <v>0</v>
      </c>
      <c r="Q13" s="1">
        <f>P13+M13</f>
        <v>7090</v>
      </c>
      <c r="R13" s="1">
        <v>517</v>
      </c>
      <c r="S13" s="1">
        <f>R13/Q13*100</f>
        <v>7.291960507757405</v>
      </c>
      <c r="U13" s="1">
        <f>T13+Q13</f>
        <v>7090</v>
      </c>
      <c r="V13" s="1">
        <v>0</v>
      </c>
      <c r="W13" s="1">
        <v>0</v>
      </c>
      <c r="X13" s="1">
        <v>7090</v>
      </c>
      <c r="Y13" s="24" t="s">
        <v>16</v>
      </c>
    </row>
    <row r="14" spans="1:25" ht="15">
      <c r="A14" s="2" t="s">
        <v>20</v>
      </c>
      <c r="B14" s="29">
        <v>1000</v>
      </c>
      <c r="C14" s="29">
        <v>1000</v>
      </c>
      <c r="D14" s="29">
        <v>1000</v>
      </c>
      <c r="E14" s="29">
        <v>1000</v>
      </c>
      <c r="F14" s="29">
        <v>1000</v>
      </c>
      <c r="G14" s="29">
        <v>1000</v>
      </c>
      <c r="H14" s="29">
        <v>1000</v>
      </c>
      <c r="I14" s="29">
        <v>1000</v>
      </c>
      <c r="J14" s="29">
        <v>1000</v>
      </c>
      <c r="K14" s="29">
        <v>2000</v>
      </c>
      <c r="L14" s="1">
        <v>0</v>
      </c>
      <c r="M14" s="1">
        <f>L14+K14</f>
        <v>2000</v>
      </c>
      <c r="N14" s="1">
        <v>732</v>
      </c>
      <c r="O14" s="26">
        <f>N14/M14*100</f>
        <v>36.6</v>
      </c>
      <c r="P14" s="1">
        <v>7</v>
      </c>
      <c r="Q14" s="26">
        <f>P14+M14</f>
        <v>2007</v>
      </c>
      <c r="R14" s="1">
        <v>982</v>
      </c>
      <c r="S14" s="26">
        <f>R14/Q14*100</f>
        <v>48.92874937717987</v>
      </c>
      <c r="T14" s="1">
        <v>5308</v>
      </c>
      <c r="U14" s="26">
        <v>2000</v>
      </c>
      <c r="V14" s="29">
        <v>0</v>
      </c>
      <c r="W14" s="29">
        <v>0</v>
      </c>
      <c r="X14" s="29">
        <v>2000</v>
      </c>
      <c r="Y14" s="24" t="s">
        <v>16</v>
      </c>
    </row>
    <row r="15" spans="1:55" s="33" customFormat="1" ht="15.75">
      <c r="A15" s="30" t="s">
        <v>21</v>
      </c>
      <c r="B15" s="31" t="e">
        <f>SUM(#REF!+#REF!+#REF!+#REF!+B10+#REF!+B11+#REF!+#REF!)</f>
        <v>#REF!</v>
      </c>
      <c r="C15" s="31" t="e">
        <f>SUM(#REF!+#REF!+#REF!+#REF!+C10+#REF!+C11+#REF!+#REF!)</f>
        <v>#REF!</v>
      </c>
      <c r="D15" s="31" t="e">
        <f>SUM(#REF!+#REF!+#REF!+#REF!+D10+#REF!+D11+#REF!+#REF!)</f>
        <v>#REF!</v>
      </c>
      <c r="E15" s="31" t="e">
        <f>SUM(#REF!+#REF!+#REF!+#REF!+E10+#REF!+E11+#REF!+#REF!)</f>
        <v>#REF!</v>
      </c>
      <c r="F15" s="31" t="e">
        <f>SUM(#REF!+#REF!+#REF!+#REF!+F10+#REF!+F11+#REF!+#REF!)</f>
        <v>#REF!</v>
      </c>
      <c r="G15" s="31" t="e">
        <f>SUM(#REF!+#REF!+#REF!+#REF!+G10+#REF!+G11+#REF!+#REF!)</f>
        <v>#REF!</v>
      </c>
      <c r="H15" s="31" t="e">
        <f>SUM(#REF!+#REF!+#REF!+#REF!+H10+#REF!+H11+#REF!+#REF!)</f>
        <v>#REF!</v>
      </c>
      <c r="I15" s="31" t="e">
        <f>SUM(#REF!+#REF!+#REF!+#REF!+I10+#REF!+I11+#REF!+#REF!)</f>
        <v>#REF!</v>
      </c>
      <c r="J15" s="31" t="e">
        <f>SUM(#REF!+#REF!+#REF!+#REF!+J10+#REF!+J11+#REF!+#REF!)</f>
        <v>#REF!</v>
      </c>
      <c r="K15" s="31">
        <f>K10+K11</f>
        <v>11090</v>
      </c>
      <c r="L15" s="31">
        <f aca="true" t="shared" si="1" ref="L15:X15">L10+L11</f>
        <v>0</v>
      </c>
      <c r="M15" s="31">
        <f t="shared" si="1"/>
        <v>11090</v>
      </c>
      <c r="N15" s="31">
        <f t="shared" si="1"/>
        <v>33750</v>
      </c>
      <c r="O15" s="31">
        <f t="shared" si="1"/>
        <v>334.5796828543112</v>
      </c>
      <c r="P15" s="31" t="e">
        <f t="shared" si="1"/>
        <v>#REF!</v>
      </c>
      <c r="Q15" s="31" t="e">
        <f t="shared" si="1"/>
        <v>#REF!</v>
      </c>
      <c r="R15" s="31" t="e">
        <f t="shared" si="1"/>
        <v>#REF!</v>
      </c>
      <c r="S15" s="31" t="e">
        <f t="shared" si="1"/>
        <v>#REF!</v>
      </c>
      <c r="T15" s="31" t="e">
        <f t="shared" si="1"/>
        <v>#REF!</v>
      </c>
      <c r="U15" s="31">
        <f t="shared" si="1"/>
        <v>11090</v>
      </c>
      <c r="V15" s="31">
        <f t="shared" si="1"/>
        <v>0</v>
      </c>
      <c r="W15" s="31">
        <f t="shared" si="1"/>
        <v>0</v>
      </c>
      <c r="X15" s="31">
        <f t="shared" si="1"/>
        <v>11090</v>
      </c>
      <c r="Y15" s="32" t="s">
        <v>16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s="33" customFormat="1" ht="15.75">
      <c r="A16" s="34" t="s">
        <v>22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>
        <v>12067</v>
      </c>
      <c r="V16" s="35">
        <v>0</v>
      </c>
      <c r="W16" s="35">
        <v>12067</v>
      </c>
      <c r="X16" s="35">
        <v>0</v>
      </c>
      <c r="Y16" s="36" t="s">
        <v>23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1:55" s="33" customFormat="1" ht="15.75">
      <c r="A17" s="30" t="s">
        <v>24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>
        <f>SUM(U16)</f>
        <v>12067</v>
      </c>
      <c r="V17" s="31">
        <f>SUM(V16)</f>
        <v>0</v>
      </c>
      <c r="W17" s="31">
        <f>SUM(W16)</f>
        <v>12067</v>
      </c>
      <c r="X17" s="31">
        <f>SUM(X16)</f>
        <v>0</v>
      </c>
      <c r="Y17" s="32" t="s">
        <v>23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1:55" s="33" customFormat="1" ht="15.75">
      <c r="A18" s="30" t="s">
        <v>25</v>
      </c>
      <c r="B18" s="31" t="e">
        <f>B15+#REF!+#REF!+#REF!+#REF!</f>
        <v>#REF!</v>
      </c>
      <c r="C18" s="31" t="e">
        <f>C15+#REF!+#REF!+#REF!+#REF!</f>
        <v>#REF!</v>
      </c>
      <c r="D18" s="31" t="e">
        <f>D15+#REF!+#REF!+#REF!+#REF!</f>
        <v>#REF!</v>
      </c>
      <c r="E18" s="31" t="e">
        <f>E15+#REF!+#REF!+#REF!+#REF!</f>
        <v>#REF!</v>
      </c>
      <c r="F18" s="31" t="e">
        <f>F15+#REF!+#REF!+#REF!+#REF!</f>
        <v>#REF!</v>
      </c>
      <c r="G18" s="31" t="e">
        <f>G15+#REF!+#REF!+#REF!+#REF!</f>
        <v>#REF!</v>
      </c>
      <c r="H18" s="31" t="e">
        <f>H15+#REF!+#REF!+#REF!+#REF!</f>
        <v>#REF!</v>
      </c>
      <c r="I18" s="31" t="e">
        <f>I15+#REF!+#REF!+#REF!+#REF!</f>
        <v>#REF!</v>
      </c>
      <c r="J18" s="31" t="e">
        <f>J15+#REF!+#REF!+#REF!+#REF!</f>
        <v>#REF!</v>
      </c>
      <c r="K18" s="31">
        <f>K15</f>
        <v>11090</v>
      </c>
      <c r="L18" s="31" t="e">
        <f>L15+#REF!+#REF!+#REF!+#REF!</f>
        <v>#REF!</v>
      </c>
      <c r="M18" s="31" t="e">
        <f>L18+K18</f>
        <v>#REF!</v>
      </c>
      <c r="N18" s="31" t="e">
        <f>N15+#REF!+#REF!+#REF!+#REF!+#REF!+#REF!</f>
        <v>#REF!</v>
      </c>
      <c r="O18" s="31" t="e">
        <f>N18/M18*100</f>
        <v>#REF!</v>
      </c>
      <c r="P18" s="31" t="e">
        <f>P15+#REF!+#REF!+#REF!+#REF!+#REF!+#REF!</f>
        <v>#REF!</v>
      </c>
      <c r="Q18" s="31" t="e">
        <f>P18+M18</f>
        <v>#REF!</v>
      </c>
      <c r="R18" s="31" t="e">
        <f>R15+#REF!+#REF!+#REF!+#REF!+#REF!+#REF!</f>
        <v>#REF!</v>
      </c>
      <c r="S18" s="31" t="e">
        <f>R18/Q18*100</f>
        <v>#REF!</v>
      </c>
      <c r="T18" s="31" t="e">
        <f>T15+#REF!+#REF!+#REF!+#REF!+#REF!+#REF!</f>
        <v>#REF!</v>
      </c>
      <c r="U18" s="31">
        <f>U15+U17</f>
        <v>23157</v>
      </c>
      <c r="V18" s="31">
        <f>V15+V17</f>
        <v>0</v>
      </c>
      <c r="W18" s="31">
        <f>W15+W17</f>
        <v>12067</v>
      </c>
      <c r="X18" s="31">
        <f>X15+X17</f>
        <v>11090</v>
      </c>
      <c r="Y18" s="32" t="s">
        <v>16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</sheetData>
  <sheetProtection selectLockedCells="1" selectUnlockedCells="1"/>
  <mergeCells count="2">
    <mergeCell ref="A1:U1"/>
    <mergeCell ref="A4:Y4"/>
  </mergeCells>
  <printOptions horizontalCentered="1"/>
  <pageMargins left="0.4097222222222222" right="0.22013888888888888" top="0.5902777777777778" bottom="0.2902777777777778" header="0.5118055555555555" footer="0.5118055555555555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4"/>
  <dimension ref="A1:AR65"/>
  <sheetViews>
    <sheetView view="pageBreakPreview" zoomScale="60" workbookViewId="0" topLeftCell="A1">
      <selection activeCell="Z2" sqref="Z2"/>
    </sheetView>
  </sheetViews>
  <sheetFormatPr defaultColWidth="9.00390625" defaultRowHeight="12.75"/>
  <cols>
    <col min="1" max="1" width="4.75390625" style="369" customWidth="1"/>
    <col min="2" max="2" width="5.625" style="426" customWidth="1"/>
    <col min="3" max="3" width="18.375" style="357" customWidth="1"/>
    <col min="4" max="4" width="9.125" style="357" customWidth="1"/>
    <col min="5" max="5" width="12.875" style="357" customWidth="1"/>
    <col min="6" max="6" width="0" style="355" hidden="1" customWidth="1"/>
    <col min="7" max="7" width="0" style="357" hidden="1" customWidth="1"/>
    <col min="8" max="8" width="0" style="355" hidden="1" customWidth="1"/>
    <col min="9" max="9" width="0" style="351" hidden="1" customWidth="1"/>
    <col min="10" max="12" width="0" style="355" hidden="1" customWidth="1"/>
    <col min="13" max="13" width="0" style="381" hidden="1" customWidth="1"/>
    <col min="14" max="16" width="0" style="355" hidden="1" customWidth="1"/>
    <col min="17" max="17" width="0" style="381" hidden="1" customWidth="1"/>
    <col min="18" max="18" width="12.00390625" style="355" customWidth="1"/>
    <col min="19" max="19" width="11.375" style="355" customWidth="1"/>
    <col min="20" max="20" width="12.25390625" style="355" customWidth="1"/>
    <col min="21" max="21" width="10.875" style="381" customWidth="1"/>
    <col min="22" max="25" width="0" style="355" hidden="1" customWidth="1"/>
    <col min="26" max="26" width="6.875" style="357" customWidth="1"/>
    <col min="27" max="16384" width="9.125" style="357" customWidth="1"/>
  </cols>
  <sheetData>
    <row r="1" spans="2:42" ht="12.75">
      <c r="B1" s="426" t="s">
        <v>208</v>
      </c>
      <c r="Z1" s="427" t="s">
        <v>634</v>
      </c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</row>
    <row r="3" spans="1:26" ht="26.25" customHeight="1">
      <c r="A3" s="761" t="s">
        <v>437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</row>
    <row r="4" spans="1:26" ht="12.75">
      <c r="A4" s="761" t="s">
        <v>438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</row>
    <row r="6" spans="3:44" ht="12.75">
      <c r="C6" s="429"/>
      <c r="AA6" s="430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</row>
    <row r="7" spans="1:26" ht="12.75">
      <c r="A7" s="751"/>
      <c r="B7" s="751"/>
      <c r="C7" s="751"/>
      <c r="D7" s="751"/>
      <c r="E7" s="751"/>
      <c r="F7" s="432"/>
      <c r="G7" s="433"/>
      <c r="H7" s="434"/>
      <c r="I7" s="435"/>
      <c r="Z7" s="361" t="s">
        <v>123</v>
      </c>
    </row>
    <row r="8" spans="1:26" s="351" customFormat="1" ht="12.75" customHeight="1">
      <c r="A8" s="436"/>
      <c r="B8" s="437"/>
      <c r="C8" s="437"/>
      <c r="D8" s="437"/>
      <c r="E8" s="438"/>
      <c r="F8" s="752" t="s">
        <v>7</v>
      </c>
      <c r="G8" s="752"/>
      <c r="H8" s="752"/>
      <c r="I8" s="752"/>
      <c r="J8" s="752" t="s">
        <v>439</v>
      </c>
      <c r="K8" s="752"/>
      <c r="L8" s="752"/>
      <c r="M8" s="752"/>
      <c r="N8" s="696" t="s">
        <v>9</v>
      </c>
      <c r="O8" s="696"/>
      <c r="P8" s="696"/>
      <c r="Q8" s="696"/>
      <c r="R8" s="753" t="s">
        <v>440</v>
      </c>
      <c r="S8" s="753"/>
      <c r="T8" s="753"/>
      <c r="U8" s="753"/>
      <c r="V8" s="794" t="s">
        <v>441</v>
      </c>
      <c r="W8" s="794"/>
      <c r="X8" s="794"/>
      <c r="Y8" s="794"/>
      <c r="Z8" s="440"/>
    </row>
    <row r="9" spans="1:26" s="351" customFormat="1" ht="30" customHeight="1">
      <c r="A9" s="441"/>
      <c r="B9" s="430"/>
      <c r="C9" s="442"/>
      <c r="D9" s="443"/>
      <c r="E9" s="444"/>
      <c r="F9" s="755" t="s">
        <v>442</v>
      </c>
      <c r="G9" s="756" t="s">
        <v>443</v>
      </c>
      <c r="H9" s="756"/>
      <c r="I9" s="760" t="s">
        <v>347</v>
      </c>
      <c r="J9" s="769" t="s">
        <v>442</v>
      </c>
      <c r="K9" s="753" t="s">
        <v>443</v>
      </c>
      <c r="L9" s="753"/>
      <c r="M9" s="754" t="s">
        <v>347</v>
      </c>
      <c r="N9" s="769" t="s">
        <v>442</v>
      </c>
      <c r="O9" s="753" t="s">
        <v>443</v>
      </c>
      <c r="P9" s="753"/>
      <c r="Q9" s="754" t="s">
        <v>347</v>
      </c>
      <c r="R9" s="755" t="s">
        <v>444</v>
      </c>
      <c r="S9" s="758" t="s">
        <v>443</v>
      </c>
      <c r="T9" s="758"/>
      <c r="U9" s="759" t="s">
        <v>347</v>
      </c>
      <c r="V9" s="769" t="s">
        <v>442</v>
      </c>
      <c r="W9" s="753" t="s">
        <v>443</v>
      </c>
      <c r="X9" s="753"/>
      <c r="Y9" s="754" t="s">
        <v>347</v>
      </c>
      <c r="Z9" s="757" t="s">
        <v>11</v>
      </c>
    </row>
    <row r="10" spans="1:26" s="351" customFormat="1" ht="20.25" customHeight="1">
      <c r="A10" s="441"/>
      <c r="B10" s="430"/>
      <c r="C10" s="442"/>
      <c r="D10" s="443"/>
      <c r="E10" s="444"/>
      <c r="F10" s="755"/>
      <c r="G10" s="448" t="s">
        <v>417</v>
      </c>
      <c r="H10" s="447" t="s">
        <v>445</v>
      </c>
      <c r="I10" s="760"/>
      <c r="J10" s="769"/>
      <c r="K10" s="446" t="s">
        <v>417</v>
      </c>
      <c r="L10" s="447" t="s">
        <v>445</v>
      </c>
      <c r="M10" s="754"/>
      <c r="N10" s="769"/>
      <c r="O10" s="446" t="s">
        <v>417</v>
      </c>
      <c r="P10" s="447" t="s">
        <v>445</v>
      </c>
      <c r="Q10" s="754"/>
      <c r="R10" s="755"/>
      <c r="S10" s="446" t="s">
        <v>417</v>
      </c>
      <c r="T10" s="447" t="s">
        <v>445</v>
      </c>
      <c r="U10" s="759"/>
      <c r="V10" s="769"/>
      <c r="W10" s="446" t="s">
        <v>417</v>
      </c>
      <c r="X10" s="447" t="s">
        <v>445</v>
      </c>
      <c r="Y10" s="754"/>
      <c r="Z10" s="757"/>
    </row>
    <row r="11" spans="1:26" s="351" customFormat="1" ht="12.75" customHeight="1">
      <c r="A11" s="767" t="s">
        <v>12</v>
      </c>
      <c r="B11" s="767"/>
      <c r="C11" s="767"/>
      <c r="D11" s="767"/>
      <c r="E11" s="767"/>
      <c r="F11" s="450"/>
      <c r="G11" s="451"/>
      <c r="H11" s="452"/>
      <c r="I11" s="453"/>
      <c r="J11" s="454"/>
      <c r="K11" s="455"/>
      <c r="L11" s="456"/>
      <c r="M11" s="457"/>
      <c r="N11" s="455"/>
      <c r="O11" s="455"/>
      <c r="P11" s="457"/>
      <c r="Q11" s="457"/>
      <c r="R11" s="768" t="s">
        <v>13</v>
      </c>
      <c r="S11" s="768"/>
      <c r="T11" s="768"/>
      <c r="U11" s="768"/>
      <c r="V11" s="455"/>
      <c r="W11" s="455"/>
      <c r="X11" s="457"/>
      <c r="Y11" s="452"/>
      <c r="Z11" s="449" t="s">
        <v>14</v>
      </c>
    </row>
    <row r="12" spans="1:26" s="351" customFormat="1" ht="20.25" customHeight="1">
      <c r="A12" s="441"/>
      <c r="B12" s="458" t="s">
        <v>410</v>
      </c>
      <c r="C12" s="442"/>
      <c r="D12" s="443"/>
      <c r="E12" s="444"/>
      <c r="F12" s="459"/>
      <c r="G12" s="460"/>
      <c r="H12" s="461"/>
      <c r="I12" s="445"/>
      <c r="J12" s="381"/>
      <c r="K12" s="462"/>
      <c r="L12" s="381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3"/>
      <c r="Z12" s="464"/>
    </row>
    <row r="13" spans="1:26" s="351" customFormat="1" ht="26.25" customHeight="1">
      <c r="A13" s="441" t="s">
        <v>411</v>
      </c>
      <c r="B13" s="430" t="s">
        <v>412</v>
      </c>
      <c r="C13" s="442"/>
      <c r="D13" s="443"/>
      <c r="E13" s="444"/>
      <c r="F13" s="465"/>
      <c r="G13" s="460"/>
      <c r="H13" s="461"/>
      <c r="I13" s="445"/>
      <c r="J13" s="381"/>
      <c r="K13" s="462"/>
      <c r="L13" s="381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3"/>
      <c r="Z13" s="464"/>
    </row>
    <row r="14" spans="1:26" ht="12.75" customHeight="1">
      <c r="A14" s="466"/>
      <c r="B14" s="467" t="s">
        <v>328</v>
      </c>
      <c r="C14" s="468" t="s">
        <v>247</v>
      </c>
      <c r="D14" s="365"/>
      <c r="E14" s="469"/>
      <c r="F14" s="470">
        <v>1000</v>
      </c>
      <c r="G14" s="470">
        <f>51322+36388</f>
        <v>87710</v>
      </c>
      <c r="H14" s="470">
        <f>104000+37507</f>
        <v>141507</v>
      </c>
      <c r="I14" s="463">
        <f>SUM(F14:H14)</f>
        <v>230217</v>
      </c>
      <c r="J14" s="471">
        <v>0</v>
      </c>
      <c r="K14" s="472">
        <v>61502</v>
      </c>
      <c r="L14" s="471">
        <v>156088</v>
      </c>
      <c r="M14" s="462">
        <f>SUM(J14:L14)</f>
        <v>217590</v>
      </c>
      <c r="N14" s="471">
        <v>0</v>
      </c>
      <c r="O14" s="471">
        <v>56464</v>
      </c>
      <c r="P14" s="471">
        <v>118103</v>
      </c>
      <c r="Q14" s="462">
        <f>N14+O14+P14</f>
        <v>174567</v>
      </c>
      <c r="R14" s="471">
        <v>0</v>
      </c>
      <c r="S14" s="471">
        <f>22522+4684+1500</f>
        <v>28706</v>
      </c>
      <c r="T14" s="471">
        <f>82000+11090+3700</f>
        <v>96790</v>
      </c>
      <c r="U14" s="462">
        <v>125496</v>
      </c>
      <c r="V14" s="471">
        <v>0</v>
      </c>
      <c r="W14" s="471">
        <v>287831</v>
      </c>
      <c r="X14" s="471">
        <v>200322</v>
      </c>
      <c r="Y14" s="463">
        <v>488153</v>
      </c>
      <c r="Z14" s="473" t="s">
        <v>16</v>
      </c>
    </row>
    <row r="15" spans="1:26" ht="12.75">
      <c r="A15" s="466"/>
      <c r="B15" s="467" t="s">
        <v>418</v>
      </c>
      <c r="C15" s="468" t="s">
        <v>419</v>
      </c>
      <c r="D15" s="365"/>
      <c r="E15" s="469"/>
      <c r="F15" s="470">
        <v>0</v>
      </c>
      <c r="G15" s="470">
        <v>81000</v>
      </c>
      <c r="H15" s="470">
        <v>604000</v>
      </c>
      <c r="I15" s="463">
        <f>SUM(F15:H15)</f>
        <v>685000</v>
      </c>
      <c r="J15" s="471">
        <v>0</v>
      </c>
      <c r="K15" s="472">
        <v>39422</v>
      </c>
      <c r="L15" s="471">
        <v>350677</v>
      </c>
      <c r="M15" s="462">
        <f>SUM(J15:L15)</f>
        <v>390099</v>
      </c>
      <c r="N15" s="474">
        <v>0</v>
      </c>
      <c r="O15" s="474">
        <v>0</v>
      </c>
      <c r="P15" s="474">
        <v>190</v>
      </c>
      <c r="Q15" s="475">
        <f>N15+O15+P15</f>
        <v>190</v>
      </c>
      <c r="R15" s="471">
        <v>0</v>
      </c>
      <c r="S15" s="471">
        <v>775876</v>
      </c>
      <c r="T15" s="471">
        <v>0</v>
      </c>
      <c r="U15" s="462">
        <v>775876</v>
      </c>
      <c r="V15" s="471">
        <v>0</v>
      </c>
      <c r="W15" s="471">
        <v>61789</v>
      </c>
      <c r="X15" s="471">
        <f>Y15-W15-V15</f>
        <v>614638</v>
      </c>
      <c r="Y15" s="463">
        <v>676427</v>
      </c>
      <c r="Z15" s="476" t="s">
        <v>170</v>
      </c>
    </row>
    <row r="16" spans="1:26" s="351" customFormat="1" ht="12.75">
      <c r="A16" s="477" t="s">
        <v>158</v>
      </c>
      <c r="B16" s="478" t="s">
        <v>420</v>
      </c>
      <c r="C16" s="479"/>
      <c r="D16" s="437"/>
      <c r="E16" s="438"/>
      <c r="F16" s="480">
        <f aca="true" t="shared" si="0" ref="F16:L16">SUM(F14:F15)</f>
        <v>1000</v>
      </c>
      <c r="G16" s="480">
        <f t="shared" si="0"/>
        <v>168710</v>
      </c>
      <c r="H16" s="480">
        <f t="shared" si="0"/>
        <v>745507</v>
      </c>
      <c r="I16" s="480">
        <f t="shared" si="0"/>
        <v>915217</v>
      </c>
      <c r="J16" s="481">
        <f t="shared" si="0"/>
        <v>0</v>
      </c>
      <c r="K16" s="481">
        <f t="shared" si="0"/>
        <v>100924</v>
      </c>
      <c r="L16" s="481">
        <f t="shared" si="0"/>
        <v>506765</v>
      </c>
      <c r="M16" s="481">
        <f>SUM(J16:L16)</f>
        <v>607689</v>
      </c>
      <c r="N16" s="462">
        <v>0</v>
      </c>
      <c r="O16" s="462">
        <f>SUM(O14:O15)</f>
        <v>56464</v>
      </c>
      <c r="P16" s="462">
        <f>SUM(P14:P15)</f>
        <v>118293</v>
      </c>
      <c r="Q16" s="462">
        <f>N16+O16+P16</f>
        <v>174757</v>
      </c>
      <c r="R16" s="481">
        <f aca="true" t="shared" si="1" ref="R16:W16">SUM(R14:R15)</f>
        <v>0</v>
      </c>
      <c r="S16" s="481">
        <f t="shared" si="1"/>
        <v>804582</v>
      </c>
      <c r="T16" s="481">
        <f t="shared" si="1"/>
        <v>96790</v>
      </c>
      <c r="U16" s="481">
        <f t="shared" si="1"/>
        <v>901372</v>
      </c>
      <c r="V16" s="481">
        <f t="shared" si="1"/>
        <v>0</v>
      </c>
      <c r="W16" s="481">
        <f t="shared" si="1"/>
        <v>349620</v>
      </c>
      <c r="X16" s="481">
        <f>Y16-W16-V16</f>
        <v>814960</v>
      </c>
      <c r="Y16" s="480">
        <f>SUM(Y14:Y15)</f>
        <v>1164580</v>
      </c>
      <c r="Z16" s="482"/>
    </row>
    <row r="17" spans="1:26" s="351" customFormat="1" ht="12.75">
      <c r="A17" s="477" t="s">
        <v>191</v>
      </c>
      <c r="B17" s="478" t="s">
        <v>192</v>
      </c>
      <c r="C17" s="479"/>
      <c r="D17" s="437"/>
      <c r="E17" s="438"/>
      <c r="F17" s="480">
        <f>18602+215</f>
        <v>18817</v>
      </c>
      <c r="G17" s="480">
        <f>401992+4156+43559</f>
        <v>449707</v>
      </c>
      <c r="H17" s="480" t="e">
        <f>SUM('[2]címrendes bevétel'!V113)</f>
        <v>#REF!</v>
      </c>
      <c r="I17" s="480" t="e">
        <f>SUM(F17:H17)</f>
        <v>#REF!</v>
      </c>
      <c r="J17" s="481">
        <v>0</v>
      </c>
      <c r="K17" s="481">
        <v>291150</v>
      </c>
      <c r="L17" s="481">
        <v>81962</v>
      </c>
      <c r="M17" s="481">
        <f>SUM(J17:L17)</f>
        <v>373112</v>
      </c>
      <c r="N17" s="481">
        <v>107</v>
      </c>
      <c r="O17" s="481">
        <v>142939</v>
      </c>
      <c r="P17" s="481">
        <v>4930</v>
      </c>
      <c r="Q17" s="481">
        <f>N17+O17+P17</f>
        <v>147976</v>
      </c>
      <c r="R17" s="462"/>
      <c r="S17" s="462">
        <v>593748</v>
      </c>
      <c r="T17" s="462">
        <v>12700</v>
      </c>
      <c r="U17" s="462">
        <v>606448</v>
      </c>
      <c r="V17" s="462">
        <v>18817</v>
      </c>
      <c r="W17" s="462">
        <v>432832</v>
      </c>
      <c r="X17" s="462">
        <f>Y17-W17-V17</f>
        <v>81962</v>
      </c>
      <c r="Y17" s="463">
        <v>533611</v>
      </c>
      <c r="Z17" s="483" t="s">
        <v>261</v>
      </c>
    </row>
    <row r="18" spans="1:26" s="351" customFormat="1" ht="12.75">
      <c r="A18" s="484" t="s">
        <v>421</v>
      </c>
      <c r="B18" s="485" t="s">
        <v>226</v>
      </c>
      <c r="C18" s="486"/>
      <c r="D18" s="487"/>
      <c r="E18" s="488"/>
      <c r="F18" s="489">
        <v>0</v>
      </c>
      <c r="G18" s="480">
        <f>70530-30969</f>
        <v>39561</v>
      </c>
      <c r="H18" s="480">
        <v>17000</v>
      </c>
      <c r="I18" s="480">
        <f>SUM(F18:H18)</f>
        <v>56561</v>
      </c>
      <c r="J18" s="481">
        <v>0</v>
      </c>
      <c r="K18" s="481">
        <v>1800</v>
      </c>
      <c r="L18" s="481">
        <v>0</v>
      </c>
      <c r="M18" s="481">
        <f>SUM(J18:L18)</f>
        <v>1800</v>
      </c>
      <c r="N18" s="481">
        <v>0</v>
      </c>
      <c r="O18" s="481">
        <v>0</v>
      </c>
      <c r="P18" s="481">
        <v>235</v>
      </c>
      <c r="Q18" s="481">
        <f>N18+O18+P18</f>
        <v>235</v>
      </c>
      <c r="R18" s="481">
        <f>F18+N18</f>
        <v>0</v>
      </c>
      <c r="S18" s="481">
        <v>124128</v>
      </c>
      <c r="T18" s="481">
        <v>101700</v>
      </c>
      <c r="U18" s="481">
        <v>225828</v>
      </c>
      <c r="V18" s="481">
        <v>0</v>
      </c>
      <c r="W18" s="481">
        <v>2943</v>
      </c>
      <c r="X18" s="481">
        <f>Y18-W18-V18</f>
        <v>12402</v>
      </c>
      <c r="Y18" s="480">
        <v>15345</v>
      </c>
      <c r="Z18" s="483" t="s">
        <v>262</v>
      </c>
    </row>
    <row r="19" spans="1:26" s="351" customFormat="1" ht="12.75">
      <c r="A19" s="441" t="s">
        <v>232</v>
      </c>
      <c r="B19" s="490" t="s">
        <v>263</v>
      </c>
      <c r="C19" s="491"/>
      <c r="D19" s="443"/>
      <c r="E19" s="444"/>
      <c r="F19" s="463"/>
      <c r="G19" s="492"/>
      <c r="H19" s="463"/>
      <c r="I19" s="463"/>
      <c r="J19" s="462"/>
      <c r="K19" s="493"/>
      <c r="L19" s="462"/>
      <c r="M19" s="462"/>
      <c r="N19" s="462"/>
      <c r="O19" s="462"/>
      <c r="P19" s="462"/>
      <c r="Q19" s="462"/>
      <c r="R19" s="471"/>
      <c r="S19" s="471"/>
      <c r="T19" s="471"/>
      <c r="U19" s="462"/>
      <c r="V19" s="462"/>
      <c r="W19" s="462"/>
      <c r="X19" s="471"/>
      <c r="Y19" s="463"/>
      <c r="Z19" s="494"/>
    </row>
    <row r="20" spans="1:26" ht="12.75">
      <c r="A20" s="466"/>
      <c r="B20" s="467" t="s">
        <v>156</v>
      </c>
      <c r="C20" s="365" t="s">
        <v>105</v>
      </c>
      <c r="D20" s="365"/>
      <c r="E20" s="469"/>
      <c r="F20" s="470">
        <v>0</v>
      </c>
      <c r="G20" s="470">
        <f>11024+395329</f>
        <v>406353</v>
      </c>
      <c r="H20" s="470">
        <v>7260</v>
      </c>
      <c r="I20" s="463">
        <f>SUM(F20:H20)</f>
        <v>413613</v>
      </c>
      <c r="J20" s="471">
        <v>0</v>
      </c>
      <c r="K20" s="472">
        <v>249631</v>
      </c>
      <c r="L20" s="471">
        <v>2931</v>
      </c>
      <c r="M20" s="462">
        <f>SUM(J20:L20)</f>
        <v>252562</v>
      </c>
      <c r="N20" s="471">
        <v>0</v>
      </c>
      <c r="O20" s="471">
        <v>12026</v>
      </c>
      <c r="P20" s="471">
        <v>20473</v>
      </c>
      <c r="Q20" s="462">
        <f>N20+O20+P20</f>
        <v>32499</v>
      </c>
      <c r="R20" s="471">
        <f>F20+N20</f>
        <v>0</v>
      </c>
      <c r="S20" s="471">
        <f>9818+12067</f>
        <v>21885</v>
      </c>
      <c r="T20" s="471">
        <v>62875</v>
      </c>
      <c r="U20" s="462">
        <v>84760</v>
      </c>
      <c r="V20" s="471">
        <v>0</v>
      </c>
      <c r="W20" s="471">
        <v>343531</v>
      </c>
      <c r="X20" s="471">
        <f>Y20-W20-V20</f>
        <v>8082</v>
      </c>
      <c r="Y20" s="463">
        <v>351613</v>
      </c>
      <c r="Z20" s="473" t="s">
        <v>23</v>
      </c>
    </row>
    <row r="21" spans="1:26" ht="12.75">
      <c r="A21" s="466"/>
      <c r="B21" s="467" t="s">
        <v>161</v>
      </c>
      <c r="C21" s="495" t="s">
        <v>108</v>
      </c>
      <c r="D21" s="365"/>
      <c r="E21" s="469"/>
      <c r="F21" s="470">
        <v>0</v>
      </c>
      <c r="G21" s="470">
        <v>1960162</v>
      </c>
      <c r="H21" s="470">
        <v>264409</v>
      </c>
      <c r="I21" s="463">
        <f>SUM(F21:H21)</f>
        <v>2224571</v>
      </c>
      <c r="J21" s="471">
        <v>0</v>
      </c>
      <c r="K21" s="472">
        <v>492</v>
      </c>
      <c r="L21" s="471">
        <v>491811</v>
      </c>
      <c r="M21" s="462">
        <f>SUM(J21:L21)</f>
        <v>492303</v>
      </c>
      <c r="N21" s="471">
        <v>0</v>
      </c>
      <c r="O21" s="471">
        <v>11451</v>
      </c>
      <c r="P21" s="471">
        <v>29804</v>
      </c>
      <c r="Q21" s="462">
        <f>N21+O21+P21</f>
        <v>41255</v>
      </c>
      <c r="R21" s="471">
        <f>F21+N21</f>
        <v>0</v>
      </c>
      <c r="S21" s="471">
        <v>282582</v>
      </c>
      <c r="T21" s="471"/>
      <c r="U21" s="462">
        <v>282582</v>
      </c>
      <c r="V21" s="471">
        <v>0</v>
      </c>
      <c r="W21" s="471">
        <v>210221</v>
      </c>
      <c r="X21" s="471">
        <f>Y21-W21-V21</f>
        <v>593316</v>
      </c>
      <c r="Y21" s="463">
        <v>803537</v>
      </c>
      <c r="Z21" s="473" t="s">
        <v>107</v>
      </c>
    </row>
    <row r="22" spans="1:26" s="351" customFormat="1" ht="12.75">
      <c r="A22" s="477" t="s">
        <v>232</v>
      </c>
      <c r="B22" s="478" t="s">
        <v>422</v>
      </c>
      <c r="C22" s="479"/>
      <c r="D22" s="437"/>
      <c r="E22" s="438"/>
      <c r="F22" s="480">
        <f>SUM(F20:F21)</f>
        <v>0</v>
      </c>
      <c r="G22" s="480">
        <f>SUM(G20:G21)</f>
        <v>2366515</v>
      </c>
      <c r="H22" s="480">
        <f>SUM(H20:H21)</f>
        <v>271669</v>
      </c>
      <c r="I22" s="480">
        <f>SUM(F22:H22)</f>
        <v>2638184</v>
      </c>
      <c r="J22" s="481">
        <f>SUM(J20:J21)</f>
        <v>0</v>
      </c>
      <c r="K22" s="481">
        <f>SUM(K20:K21)</f>
        <v>250123</v>
      </c>
      <c r="L22" s="481">
        <f>SUM(L20:L21)</f>
        <v>494742</v>
      </c>
      <c r="M22" s="481">
        <f>SUM(J22:L22)</f>
        <v>744865</v>
      </c>
      <c r="N22" s="481">
        <v>0</v>
      </c>
      <c r="O22" s="481">
        <f>SUM(O20:O21)</f>
        <v>23477</v>
      </c>
      <c r="P22" s="481">
        <f>SUM(P20:P21)</f>
        <v>50277</v>
      </c>
      <c r="Q22" s="481">
        <f>N22+O22+P22</f>
        <v>73754</v>
      </c>
      <c r="R22" s="481">
        <f aca="true" t="shared" si="2" ref="R22:W22">SUM(R20:R21)</f>
        <v>0</v>
      </c>
      <c r="S22" s="481">
        <f t="shared" si="2"/>
        <v>304467</v>
      </c>
      <c r="T22" s="481">
        <f t="shared" si="2"/>
        <v>62875</v>
      </c>
      <c r="U22" s="481">
        <f t="shared" si="2"/>
        <v>367342</v>
      </c>
      <c r="V22" s="481">
        <f t="shared" si="2"/>
        <v>0</v>
      </c>
      <c r="W22" s="481">
        <f t="shared" si="2"/>
        <v>553752</v>
      </c>
      <c r="X22" s="481">
        <f>Y22-W22-V22</f>
        <v>601398</v>
      </c>
      <c r="Y22" s="480">
        <f>SUM(Y20:Y21)</f>
        <v>1155150</v>
      </c>
      <c r="Z22" s="482"/>
    </row>
    <row r="23" spans="1:26" ht="12.75">
      <c r="A23" s="441" t="s">
        <v>235</v>
      </c>
      <c r="B23" s="490" t="s">
        <v>236</v>
      </c>
      <c r="C23" s="491"/>
      <c r="D23" s="443"/>
      <c r="E23" s="444"/>
      <c r="F23" s="463"/>
      <c r="G23" s="492"/>
      <c r="H23" s="470"/>
      <c r="I23" s="463"/>
      <c r="J23" s="471"/>
      <c r="K23" s="472"/>
      <c r="L23" s="471"/>
      <c r="M23" s="462"/>
      <c r="N23" s="471"/>
      <c r="O23" s="471"/>
      <c r="P23" s="471"/>
      <c r="Q23" s="462"/>
      <c r="R23" s="471"/>
      <c r="S23" s="471"/>
      <c r="T23" s="471"/>
      <c r="U23" s="462"/>
      <c r="V23" s="471"/>
      <c r="W23" s="471"/>
      <c r="X23" s="471"/>
      <c r="Y23" s="463"/>
      <c r="Z23" s="473"/>
    </row>
    <row r="24" spans="1:26" ht="12.75">
      <c r="A24" s="466"/>
      <c r="B24" s="467" t="s">
        <v>156</v>
      </c>
      <c r="C24" s="468" t="s">
        <v>265</v>
      </c>
      <c r="D24" s="365"/>
      <c r="E24" s="469"/>
      <c r="F24" s="470">
        <v>0</v>
      </c>
      <c r="G24" s="470">
        <f>SUM('[3]címrendes bevétel'!M122)</f>
        <v>0</v>
      </c>
      <c r="H24" s="470">
        <v>8549</v>
      </c>
      <c r="I24" s="463">
        <f>SUM(F24:H24)</f>
        <v>8549</v>
      </c>
      <c r="J24" s="471">
        <v>0</v>
      </c>
      <c r="K24" s="472">
        <v>7468</v>
      </c>
      <c r="L24" s="471">
        <v>322</v>
      </c>
      <c r="M24" s="462">
        <f>SUM(J24:L24)</f>
        <v>7790</v>
      </c>
      <c r="N24" s="471">
        <v>0</v>
      </c>
      <c r="O24" s="471">
        <v>0</v>
      </c>
      <c r="P24" s="471">
        <v>0</v>
      </c>
      <c r="Q24" s="462">
        <f>N24+O24+P24</f>
        <v>0</v>
      </c>
      <c r="R24" s="471">
        <f>F24+N24</f>
        <v>0</v>
      </c>
      <c r="S24" s="471">
        <f>G24+O24</f>
        <v>0</v>
      </c>
      <c r="T24" s="471">
        <v>0</v>
      </c>
      <c r="U24" s="462">
        <v>0</v>
      </c>
      <c r="V24" s="471">
        <v>0</v>
      </c>
      <c r="W24" s="471">
        <v>7278</v>
      </c>
      <c r="X24" s="471">
        <f>Y24-W24-V24</f>
        <v>322</v>
      </c>
      <c r="Y24" s="463">
        <v>7600</v>
      </c>
      <c r="Z24" s="473" t="s">
        <v>238</v>
      </c>
    </row>
    <row r="25" spans="1:26" ht="12.75">
      <c r="A25" s="441"/>
      <c r="B25" s="467" t="s">
        <v>161</v>
      </c>
      <c r="C25" s="496" t="s">
        <v>117</v>
      </c>
      <c r="D25" s="365"/>
      <c r="E25" s="444"/>
      <c r="F25" s="463">
        <v>0</v>
      </c>
      <c r="G25" s="470">
        <v>500</v>
      </c>
      <c r="H25" s="470">
        <v>0</v>
      </c>
      <c r="I25" s="463">
        <f>SUM(F25:H25)</f>
        <v>500</v>
      </c>
      <c r="J25" s="471">
        <v>0</v>
      </c>
      <c r="K25" s="472">
        <v>3266</v>
      </c>
      <c r="L25" s="471">
        <v>0</v>
      </c>
      <c r="M25" s="462">
        <f>SUM(J25:L25)</f>
        <v>3266</v>
      </c>
      <c r="N25" s="471">
        <v>0</v>
      </c>
      <c r="O25" s="471">
        <v>0</v>
      </c>
      <c r="P25" s="471">
        <v>0</v>
      </c>
      <c r="Q25" s="462">
        <f>N25+O25+P25</f>
        <v>0</v>
      </c>
      <c r="R25" s="471">
        <f>F25+N25</f>
        <v>0</v>
      </c>
      <c r="S25" s="471">
        <f>G25+O25</f>
        <v>500</v>
      </c>
      <c r="T25" s="471">
        <f>H25+P25</f>
        <v>0</v>
      </c>
      <c r="U25" s="462">
        <f>I25+Q25</f>
        <v>500</v>
      </c>
      <c r="V25" s="471">
        <v>0</v>
      </c>
      <c r="W25" s="471">
        <v>358</v>
      </c>
      <c r="X25" s="471">
        <f>Y25-W25-V25</f>
        <v>0</v>
      </c>
      <c r="Y25" s="463">
        <v>358</v>
      </c>
      <c r="Z25" s="473" t="s">
        <v>116</v>
      </c>
    </row>
    <row r="26" spans="1:26" s="351" customFormat="1" ht="12.75">
      <c r="A26" s="477" t="s">
        <v>235</v>
      </c>
      <c r="B26" s="478" t="s">
        <v>239</v>
      </c>
      <c r="C26" s="479"/>
      <c r="D26" s="437"/>
      <c r="E26" s="438"/>
      <c r="F26" s="480">
        <f>SUM(F24:F25)</f>
        <v>0</v>
      </c>
      <c r="G26" s="480">
        <f>SUM(G24:G25)</f>
        <v>500</v>
      </c>
      <c r="H26" s="480">
        <f>SUM(H24:H25)</f>
        <v>8549</v>
      </c>
      <c r="I26" s="480">
        <f>SUM(F26:H26)</f>
        <v>9049</v>
      </c>
      <c r="J26" s="481">
        <f>SUM(J24:J25)</f>
        <v>0</v>
      </c>
      <c r="K26" s="481">
        <f>SUM(K24:K25)</f>
        <v>10734</v>
      </c>
      <c r="L26" s="481">
        <f>SUM(L24:L25)</f>
        <v>322</v>
      </c>
      <c r="M26" s="481">
        <f>SUM(J26:L26)</f>
        <v>11056</v>
      </c>
      <c r="N26" s="481">
        <f>SUM(N24:N25)</f>
        <v>0</v>
      </c>
      <c r="O26" s="481">
        <f>SUM(O24:O25)</f>
        <v>0</v>
      </c>
      <c r="P26" s="481">
        <f>SUM(P24:P25)</f>
        <v>0</v>
      </c>
      <c r="Q26" s="481">
        <f>N26+O26+P26</f>
        <v>0</v>
      </c>
      <c r="R26" s="481">
        <f aca="true" t="shared" si="3" ref="R26:W26">SUM(R24:R25)</f>
        <v>0</v>
      </c>
      <c r="S26" s="481">
        <f t="shared" si="3"/>
        <v>500</v>
      </c>
      <c r="T26" s="481">
        <f t="shared" si="3"/>
        <v>0</v>
      </c>
      <c r="U26" s="481">
        <f t="shared" si="3"/>
        <v>500</v>
      </c>
      <c r="V26" s="481">
        <f t="shared" si="3"/>
        <v>0</v>
      </c>
      <c r="W26" s="481">
        <f t="shared" si="3"/>
        <v>7636</v>
      </c>
      <c r="X26" s="481">
        <f>Y26-W26-V26</f>
        <v>322</v>
      </c>
      <c r="Y26" s="480">
        <f>SUM(Y24:Y25)</f>
        <v>7958</v>
      </c>
      <c r="Z26" s="482"/>
    </row>
    <row r="27" spans="1:26" s="351" customFormat="1" ht="12.75">
      <c r="A27" s="477" t="s">
        <v>240</v>
      </c>
      <c r="B27" s="478" t="s">
        <v>423</v>
      </c>
      <c r="C27" s="479"/>
      <c r="D27" s="437"/>
      <c r="E27" s="438"/>
      <c r="F27" s="480">
        <v>0</v>
      </c>
      <c r="G27" s="480">
        <v>3100</v>
      </c>
      <c r="H27" s="480">
        <v>0</v>
      </c>
      <c r="I27" s="463">
        <f>SUM(F27:H27)</f>
        <v>3100</v>
      </c>
      <c r="J27" s="481">
        <v>0</v>
      </c>
      <c r="K27" s="481">
        <v>3735</v>
      </c>
      <c r="L27" s="481">
        <v>0</v>
      </c>
      <c r="M27" s="481">
        <f>SUM(J27:L27)</f>
        <v>3735</v>
      </c>
      <c r="N27" s="462">
        <v>0</v>
      </c>
      <c r="O27" s="462">
        <v>0</v>
      </c>
      <c r="P27" s="462">
        <v>1946</v>
      </c>
      <c r="Q27" s="462">
        <f>N27+O27+P27</f>
        <v>1946</v>
      </c>
      <c r="R27" s="462">
        <f>F27+N27</f>
        <v>0</v>
      </c>
      <c r="S27" s="462">
        <f>G27+O27</f>
        <v>3100</v>
      </c>
      <c r="T27" s="462">
        <v>0</v>
      </c>
      <c r="U27" s="462">
        <v>3100</v>
      </c>
      <c r="V27" s="462">
        <v>0</v>
      </c>
      <c r="W27" s="462">
        <v>0</v>
      </c>
      <c r="X27" s="462">
        <f>Y27-W27-V27</f>
        <v>4629</v>
      </c>
      <c r="Y27" s="463">
        <v>4629</v>
      </c>
      <c r="Z27" s="483" t="s">
        <v>119</v>
      </c>
    </row>
    <row r="28" spans="1:26" s="351" customFormat="1" ht="12.75">
      <c r="A28" s="477" t="s">
        <v>208</v>
      </c>
      <c r="B28" s="478" t="s">
        <v>424</v>
      </c>
      <c r="C28" s="479"/>
      <c r="D28" s="437"/>
      <c r="E28" s="438"/>
      <c r="F28" s="480">
        <f>SUM(F16+F17+F18+F22+F26+F27)</f>
        <v>19817</v>
      </c>
      <c r="G28" s="480">
        <f>SUM(G16+G17+G18+G22+G26+G27)</f>
        <v>3028093</v>
      </c>
      <c r="H28" s="480" t="e">
        <f>H16+H17+H18+H22+H26+H27</f>
        <v>#REF!</v>
      </c>
      <c r="I28" s="480" t="e">
        <f>I16+I17+I18+I22+I26+I27</f>
        <v>#REF!</v>
      </c>
      <c r="J28" s="481">
        <v>0</v>
      </c>
      <c r="K28" s="481">
        <f aca="true" t="shared" si="4" ref="K28:P28">K16+K17+K18+K22+K26+K27</f>
        <v>658466</v>
      </c>
      <c r="L28" s="481">
        <f t="shared" si="4"/>
        <v>1083791</v>
      </c>
      <c r="M28" s="481">
        <f t="shared" si="4"/>
        <v>1742257</v>
      </c>
      <c r="N28" s="481">
        <f t="shared" si="4"/>
        <v>107</v>
      </c>
      <c r="O28" s="481">
        <f t="shared" si="4"/>
        <v>222880</v>
      </c>
      <c r="P28" s="481">
        <f t="shared" si="4"/>
        <v>175681</v>
      </c>
      <c r="Q28" s="481">
        <f>N28+O28+P28</f>
        <v>398668</v>
      </c>
      <c r="R28" s="481">
        <f aca="true" t="shared" si="5" ref="R28:W28">R16+R17+R18+R22+R26+R27</f>
        <v>0</v>
      </c>
      <c r="S28" s="481">
        <f t="shared" si="5"/>
        <v>1830525</v>
      </c>
      <c r="T28" s="481">
        <f t="shared" si="5"/>
        <v>274065</v>
      </c>
      <c r="U28" s="481">
        <f t="shared" si="5"/>
        <v>2104590</v>
      </c>
      <c r="V28" s="481">
        <f t="shared" si="5"/>
        <v>18817</v>
      </c>
      <c r="W28" s="481">
        <f t="shared" si="5"/>
        <v>1346783</v>
      </c>
      <c r="X28" s="481">
        <f>Y28-W28-V28</f>
        <v>1515673</v>
      </c>
      <c r="Y28" s="480">
        <f>Y16+Y17+Y18+Y22+Y26+Y27</f>
        <v>2881273</v>
      </c>
      <c r="Z28" s="482"/>
    </row>
    <row r="29" spans="1:26" ht="12.75">
      <c r="A29" s="466"/>
      <c r="B29" s="490"/>
      <c r="C29" s="491"/>
      <c r="D29" s="365"/>
      <c r="E29" s="469"/>
      <c r="F29" s="470"/>
      <c r="G29" s="470"/>
      <c r="H29" s="470"/>
      <c r="I29" s="463"/>
      <c r="J29" s="471"/>
      <c r="K29" s="472"/>
      <c r="L29" s="471"/>
      <c r="M29" s="462"/>
      <c r="N29" s="471"/>
      <c r="O29" s="471"/>
      <c r="P29" s="471"/>
      <c r="Q29" s="462"/>
      <c r="R29" s="471"/>
      <c r="S29" s="471"/>
      <c r="T29" s="471"/>
      <c r="U29" s="462"/>
      <c r="V29" s="471"/>
      <c r="W29" s="471"/>
      <c r="X29" s="471"/>
      <c r="Y29" s="463"/>
      <c r="Z29" s="473"/>
    </row>
    <row r="30" spans="1:26" ht="12.75">
      <c r="A30" s="466"/>
      <c r="B30" s="497" t="s">
        <v>425</v>
      </c>
      <c r="C30" s="491"/>
      <c r="D30" s="365"/>
      <c r="E30" s="469"/>
      <c r="F30" s="470"/>
      <c r="G30" s="470"/>
      <c r="H30" s="470"/>
      <c r="I30" s="463"/>
      <c r="J30" s="471"/>
      <c r="K30" s="472"/>
      <c r="L30" s="471"/>
      <c r="M30" s="462"/>
      <c r="N30" s="471"/>
      <c r="O30" s="471"/>
      <c r="P30" s="471"/>
      <c r="Q30" s="462"/>
      <c r="R30" s="471"/>
      <c r="S30" s="471"/>
      <c r="T30" s="471"/>
      <c r="U30" s="462"/>
      <c r="V30" s="471"/>
      <c r="W30" s="471"/>
      <c r="X30" s="471"/>
      <c r="Y30" s="463"/>
      <c r="Z30" s="473"/>
    </row>
    <row r="31" spans="1:26" s="351" customFormat="1" ht="12.75">
      <c r="A31" s="441" t="s">
        <v>156</v>
      </c>
      <c r="B31" s="490" t="s">
        <v>29</v>
      </c>
      <c r="C31" s="491"/>
      <c r="D31" s="443"/>
      <c r="E31" s="444"/>
      <c r="F31" s="463"/>
      <c r="G31" s="463"/>
      <c r="H31" s="463"/>
      <c r="I31" s="463"/>
      <c r="J31" s="462"/>
      <c r="K31" s="493"/>
      <c r="L31" s="462"/>
      <c r="M31" s="462"/>
      <c r="N31" s="462"/>
      <c r="O31" s="462"/>
      <c r="P31" s="462"/>
      <c r="Q31" s="462"/>
      <c r="R31" s="471"/>
      <c r="S31" s="471"/>
      <c r="T31" s="471"/>
      <c r="U31" s="462"/>
      <c r="V31" s="462"/>
      <c r="W31" s="462"/>
      <c r="X31" s="471"/>
      <c r="Y31" s="463"/>
      <c r="Z31" s="494"/>
    </row>
    <row r="32" spans="1:26" ht="12.75">
      <c r="A32" s="466"/>
      <c r="B32" s="468" t="s">
        <v>194</v>
      </c>
      <c r="C32" s="496" t="s">
        <v>33</v>
      </c>
      <c r="D32" s="365"/>
      <c r="E32" s="469"/>
      <c r="F32" s="470">
        <f>45876+169+51</f>
        <v>46096</v>
      </c>
      <c r="G32" s="470">
        <f>271324+291777</f>
        <v>563101</v>
      </c>
      <c r="H32" s="470">
        <f>27973+220+58+1306</f>
        <v>29557</v>
      </c>
      <c r="I32" s="463">
        <f aca="true" t="shared" si="6" ref="I32:I41">SUM(F32:H32)</f>
        <v>638754</v>
      </c>
      <c r="J32" s="471">
        <v>29147</v>
      </c>
      <c r="K32" s="472">
        <v>236896</v>
      </c>
      <c r="L32" s="471">
        <v>13224</v>
      </c>
      <c r="M32" s="462">
        <f aca="true" t="shared" si="7" ref="M32:M40">SUM(J32:L32)</f>
        <v>279267</v>
      </c>
      <c r="N32" s="471">
        <v>84</v>
      </c>
      <c r="O32" s="471">
        <v>6398</v>
      </c>
      <c r="P32" s="471">
        <v>5138</v>
      </c>
      <c r="Q32" s="462">
        <f aca="true" t="shared" si="8" ref="Q32:Q41">N32+O32+P32</f>
        <v>11620</v>
      </c>
      <c r="R32" s="471">
        <v>52610</v>
      </c>
      <c r="S32" s="471">
        <v>364345</v>
      </c>
      <c r="T32" s="471">
        <v>83255</v>
      </c>
      <c r="U32" s="462">
        <v>500210</v>
      </c>
      <c r="V32" s="471">
        <v>41877</v>
      </c>
      <c r="W32" s="471">
        <v>369569</v>
      </c>
      <c r="X32" s="471">
        <f aca="true" t="shared" si="9" ref="X32:X41">Y32-W32-V32</f>
        <v>20514</v>
      </c>
      <c r="Y32" s="463">
        <v>431960</v>
      </c>
      <c r="Z32" s="473" t="s">
        <v>34</v>
      </c>
    </row>
    <row r="33" spans="1:26" ht="12.75">
      <c r="A33" s="466"/>
      <c r="B33" s="468" t="s">
        <v>209</v>
      </c>
      <c r="C33" s="498" t="s">
        <v>286</v>
      </c>
      <c r="D33" s="365"/>
      <c r="E33" s="469"/>
      <c r="F33" s="470">
        <f>11991+46</f>
        <v>12037</v>
      </c>
      <c r="G33" s="470">
        <f>73582+425+41135</f>
        <v>115142</v>
      </c>
      <c r="H33" s="470">
        <f>7552+60+15+353</f>
        <v>7980</v>
      </c>
      <c r="I33" s="463">
        <f t="shared" si="6"/>
        <v>135159</v>
      </c>
      <c r="J33" s="471">
        <v>7193</v>
      </c>
      <c r="K33" s="472">
        <v>49174</v>
      </c>
      <c r="L33" s="471">
        <v>3824</v>
      </c>
      <c r="M33" s="462">
        <f t="shared" si="7"/>
        <v>60191</v>
      </c>
      <c r="N33" s="471">
        <v>23</v>
      </c>
      <c r="O33" s="471">
        <v>1683</v>
      </c>
      <c r="P33" s="471">
        <v>1291</v>
      </c>
      <c r="Q33" s="462">
        <f t="shared" si="8"/>
        <v>2997</v>
      </c>
      <c r="R33" s="471">
        <v>14594</v>
      </c>
      <c r="S33" s="471">
        <v>100557</v>
      </c>
      <c r="T33" s="471">
        <v>15776</v>
      </c>
      <c r="U33" s="462">
        <v>130927</v>
      </c>
      <c r="V33" s="471">
        <v>10875</v>
      </c>
      <c r="W33" s="471">
        <v>74921</v>
      </c>
      <c r="X33" s="471">
        <f t="shared" si="9"/>
        <v>5658</v>
      </c>
      <c r="Y33" s="463">
        <v>91454</v>
      </c>
      <c r="Z33" s="473" t="s">
        <v>36</v>
      </c>
    </row>
    <row r="34" spans="1:26" ht="12.75">
      <c r="A34" s="466"/>
      <c r="B34" s="468" t="s">
        <v>287</v>
      </c>
      <c r="C34" s="496" t="s">
        <v>37</v>
      </c>
      <c r="D34" s="365"/>
      <c r="E34" s="469"/>
      <c r="F34" s="470">
        <f>19155+103</f>
        <v>19258</v>
      </c>
      <c r="G34" s="470">
        <f>296412+144569</f>
        <v>440981</v>
      </c>
      <c r="H34" s="470">
        <f>51360+38493+7586+86889</f>
        <v>184328</v>
      </c>
      <c r="I34" s="463">
        <f t="shared" si="6"/>
        <v>644567</v>
      </c>
      <c r="J34" s="471">
        <v>3631</v>
      </c>
      <c r="K34" s="472">
        <v>233178</v>
      </c>
      <c r="L34" s="471">
        <v>67096</v>
      </c>
      <c r="M34" s="462">
        <f t="shared" si="7"/>
        <v>303905</v>
      </c>
      <c r="N34" s="471">
        <v>0</v>
      </c>
      <c r="O34" s="471">
        <v>11355</v>
      </c>
      <c r="P34" s="471">
        <v>131575</v>
      </c>
      <c r="Q34" s="462">
        <f t="shared" si="8"/>
        <v>142930</v>
      </c>
      <c r="R34" s="471">
        <v>26392</v>
      </c>
      <c r="S34" s="471">
        <v>338385</v>
      </c>
      <c r="T34" s="471">
        <v>45028</v>
      </c>
      <c r="U34" s="462">
        <v>409805</v>
      </c>
      <c r="V34" s="471">
        <v>5110</v>
      </c>
      <c r="W34" s="471">
        <v>603151</v>
      </c>
      <c r="X34" s="471">
        <f t="shared" si="9"/>
        <v>78140</v>
      </c>
      <c r="Y34" s="463">
        <v>686401</v>
      </c>
      <c r="Z34" s="473" t="s">
        <v>28</v>
      </c>
    </row>
    <row r="35" spans="1:26" ht="12.75">
      <c r="A35" s="466"/>
      <c r="B35" s="468" t="s">
        <v>426</v>
      </c>
      <c r="C35" s="496" t="s">
        <v>427</v>
      </c>
      <c r="D35" s="365"/>
      <c r="E35" s="469"/>
      <c r="F35" s="470">
        <v>0</v>
      </c>
      <c r="G35" s="470">
        <v>0</v>
      </c>
      <c r="H35" s="470">
        <v>0</v>
      </c>
      <c r="I35" s="463">
        <f t="shared" si="6"/>
        <v>0</v>
      </c>
      <c r="J35" s="471">
        <v>0</v>
      </c>
      <c r="K35" s="472">
        <v>0</v>
      </c>
      <c r="L35" s="471">
        <v>0</v>
      </c>
      <c r="M35" s="462">
        <f t="shared" si="7"/>
        <v>0</v>
      </c>
      <c r="N35" s="471">
        <v>0</v>
      </c>
      <c r="O35" s="471">
        <v>0</v>
      </c>
      <c r="P35" s="471">
        <v>0</v>
      </c>
      <c r="Q35" s="462">
        <f t="shared" si="8"/>
        <v>0</v>
      </c>
      <c r="R35" s="471">
        <f>F35+N35</f>
        <v>0</v>
      </c>
      <c r="S35" s="471">
        <f>G35+O35</f>
        <v>0</v>
      </c>
      <c r="T35" s="471">
        <f>H35+P35</f>
        <v>0</v>
      </c>
      <c r="U35" s="462">
        <f>I35+Q35</f>
        <v>0</v>
      </c>
      <c r="V35" s="471">
        <v>0</v>
      </c>
      <c r="W35" s="471">
        <v>0</v>
      </c>
      <c r="X35" s="471">
        <f t="shared" si="9"/>
        <v>0</v>
      </c>
      <c r="Y35" s="463">
        <v>0</v>
      </c>
      <c r="Z35" s="473"/>
    </row>
    <row r="36" spans="1:26" ht="12.75">
      <c r="A36" s="466"/>
      <c r="B36" s="468" t="s">
        <v>288</v>
      </c>
      <c r="C36" s="365" t="s">
        <v>289</v>
      </c>
      <c r="D36" s="365"/>
      <c r="E36" s="469"/>
      <c r="F36" s="470">
        <v>0</v>
      </c>
      <c r="G36" s="470">
        <f>30305+194</f>
        <v>30499</v>
      </c>
      <c r="H36" s="470">
        <f>15580+20463</f>
        <v>36043</v>
      </c>
      <c r="I36" s="463">
        <f t="shared" si="6"/>
        <v>66542</v>
      </c>
      <c r="J36" s="471">
        <v>0</v>
      </c>
      <c r="K36" s="472">
        <v>39329</v>
      </c>
      <c r="L36" s="471">
        <v>2442</v>
      </c>
      <c r="M36" s="462">
        <f t="shared" si="7"/>
        <v>41771</v>
      </c>
      <c r="N36" s="471">
        <v>0</v>
      </c>
      <c r="O36" s="471">
        <v>128379</v>
      </c>
      <c r="P36" s="471">
        <v>379</v>
      </c>
      <c r="Q36" s="462">
        <f t="shared" si="8"/>
        <v>128758</v>
      </c>
      <c r="R36" s="471">
        <v>0</v>
      </c>
      <c r="S36" s="471">
        <v>246381</v>
      </c>
      <c r="T36" s="471">
        <v>4574</v>
      </c>
      <c r="U36" s="462">
        <v>250955</v>
      </c>
      <c r="V36" s="471">
        <v>0</v>
      </c>
      <c r="W36" s="471">
        <v>98432</v>
      </c>
      <c r="X36" s="471">
        <f t="shared" si="9"/>
        <v>3729</v>
      </c>
      <c r="Y36" s="463">
        <v>102161</v>
      </c>
      <c r="Z36" s="473" t="s">
        <v>84</v>
      </c>
    </row>
    <row r="37" spans="1:26" ht="12.75">
      <c r="A37" s="466"/>
      <c r="B37" s="468" t="s">
        <v>290</v>
      </c>
      <c r="C37" s="496" t="s">
        <v>428</v>
      </c>
      <c r="D37" s="365"/>
      <c r="E37" s="469"/>
      <c r="F37" s="470">
        <v>0</v>
      </c>
      <c r="G37" s="470">
        <f>95803+14742</f>
        <v>110545</v>
      </c>
      <c r="H37" s="470">
        <f>93679+9306</f>
        <v>102985</v>
      </c>
      <c r="I37" s="463">
        <f t="shared" si="6"/>
        <v>213530</v>
      </c>
      <c r="J37" s="471">
        <v>0</v>
      </c>
      <c r="K37" s="472">
        <v>31575</v>
      </c>
      <c r="L37" s="471">
        <v>46402</v>
      </c>
      <c r="M37" s="462">
        <f t="shared" si="7"/>
        <v>77977</v>
      </c>
      <c r="N37" s="471">
        <v>0</v>
      </c>
      <c r="O37" s="471">
        <v>9</v>
      </c>
      <c r="P37" s="471">
        <v>1085</v>
      </c>
      <c r="Q37" s="462">
        <f t="shared" si="8"/>
        <v>1094</v>
      </c>
      <c r="R37" s="471">
        <v>0</v>
      </c>
      <c r="S37" s="471">
        <v>141223</v>
      </c>
      <c r="T37" s="471">
        <v>134715</v>
      </c>
      <c r="U37" s="462">
        <v>275938</v>
      </c>
      <c r="V37" s="471">
        <v>0</v>
      </c>
      <c r="W37" s="471">
        <v>60174</v>
      </c>
      <c r="X37" s="471">
        <f t="shared" si="9"/>
        <v>86754</v>
      </c>
      <c r="Y37" s="463">
        <v>146928</v>
      </c>
      <c r="Z37" s="473" t="s">
        <v>67</v>
      </c>
    </row>
    <row r="38" spans="1:26" ht="12.75">
      <c r="A38" s="466"/>
      <c r="B38" s="468" t="s">
        <v>291</v>
      </c>
      <c r="C38" s="496" t="s">
        <v>292</v>
      </c>
      <c r="D38" s="365"/>
      <c r="E38" s="469"/>
      <c r="F38" s="470">
        <v>0</v>
      </c>
      <c r="G38" s="470">
        <v>56428</v>
      </c>
      <c r="H38" s="470">
        <f>41430+1039</f>
        <v>42469</v>
      </c>
      <c r="I38" s="463">
        <f t="shared" si="6"/>
        <v>98897</v>
      </c>
      <c r="J38" s="471">
        <v>0</v>
      </c>
      <c r="K38" s="472">
        <v>44979</v>
      </c>
      <c r="L38" s="471">
        <v>17092</v>
      </c>
      <c r="M38" s="462">
        <f t="shared" si="7"/>
        <v>62071</v>
      </c>
      <c r="N38" s="471">
        <v>0</v>
      </c>
      <c r="O38" s="471">
        <v>14651</v>
      </c>
      <c r="P38" s="471">
        <v>4296</v>
      </c>
      <c r="Q38" s="462">
        <f t="shared" si="8"/>
        <v>18947</v>
      </c>
      <c r="R38" s="471">
        <v>0</v>
      </c>
      <c r="S38" s="471">
        <v>2121</v>
      </c>
      <c r="T38" s="471">
        <v>62486</v>
      </c>
      <c r="U38" s="462">
        <v>64607</v>
      </c>
      <c r="V38" s="471">
        <v>0</v>
      </c>
      <c r="W38" s="471">
        <v>62853</v>
      </c>
      <c r="X38" s="471">
        <f t="shared" si="9"/>
        <v>26240</v>
      </c>
      <c r="Y38" s="463">
        <v>89093</v>
      </c>
      <c r="Z38" s="473" t="s">
        <v>31</v>
      </c>
    </row>
    <row r="39" spans="1:26" ht="12.75">
      <c r="A39" s="466"/>
      <c r="B39" s="468" t="s">
        <v>293</v>
      </c>
      <c r="C39" s="496" t="s">
        <v>294</v>
      </c>
      <c r="D39" s="365"/>
      <c r="E39" s="469"/>
      <c r="F39" s="470">
        <v>0</v>
      </c>
      <c r="G39" s="470">
        <f>SUM('[3]címrendes kiadás'!M46)</f>
        <v>10000</v>
      </c>
      <c r="H39" s="470">
        <v>0</v>
      </c>
      <c r="I39" s="463">
        <f t="shared" si="6"/>
        <v>10000</v>
      </c>
      <c r="J39" s="471">
        <v>0</v>
      </c>
      <c r="K39" s="472">
        <v>17185</v>
      </c>
      <c r="L39" s="471">
        <v>0</v>
      </c>
      <c r="M39" s="462">
        <f t="shared" si="7"/>
        <v>17185</v>
      </c>
      <c r="N39" s="471">
        <v>0</v>
      </c>
      <c r="O39" s="471">
        <v>0</v>
      </c>
      <c r="P39" s="471">
        <v>0</v>
      </c>
      <c r="Q39" s="462">
        <f t="shared" si="8"/>
        <v>0</v>
      </c>
      <c r="R39" s="471">
        <v>0</v>
      </c>
      <c r="S39" s="471">
        <v>0</v>
      </c>
      <c r="T39" s="471">
        <v>5000</v>
      </c>
      <c r="U39" s="462">
        <v>5000</v>
      </c>
      <c r="V39" s="471">
        <v>0</v>
      </c>
      <c r="W39" s="471">
        <v>0</v>
      </c>
      <c r="X39" s="471">
        <f t="shared" si="9"/>
        <v>20511</v>
      </c>
      <c r="Y39" s="463">
        <v>20511</v>
      </c>
      <c r="Z39" s="473" t="s">
        <v>91</v>
      </c>
    </row>
    <row r="40" spans="1:26" ht="12" customHeight="1">
      <c r="A40" s="466"/>
      <c r="B40" s="468" t="s">
        <v>295</v>
      </c>
      <c r="C40" s="365" t="s">
        <v>296</v>
      </c>
      <c r="D40" s="365"/>
      <c r="E40" s="469"/>
      <c r="F40" s="470">
        <v>0</v>
      </c>
      <c r="G40" s="470">
        <f>362+13267</f>
        <v>13629</v>
      </c>
      <c r="H40" s="470">
        <v>21238</v>
      </c>
      <c r="I40" s="463">
        <f t="shared" si="6"/>
        <v>34867</v>
      </c>
      <c r="J40" s="471">
        <v>0</v>
      </c>
      <c r="K40" s="472">
        <v>0</v>
      </c>
      <c r="L40" s="471">
        <v>0</v>
      </c>
      <c r="M40" s="462">
        <f t="shared" si="7"/>
        <v>0</v>
      </c>
      <c r="N40" s="471">
        <v>0</v>
      </c>
      <c r="O40" s="471">
        <v>0</v>
      </c>
      <c r="P40" s="471">
        <v>-4017</v>
      </c>
      <c r="Q40" s="462">
        <f t="shared" si="8"/>
        <v>-4017</v>
      </c>
      <c r="R40" s="471">
        <v>0</v>
      </c>
      <c r="S40" s="471">
        <v>0</v>
      </c>
      <c r="T40" s="471">
        <v>0</v>
      </c>
      <c r="U40" s="462">
        <v>0</v>
      </c>
      <c r="V40" s="471">
        <v>0</v>
      </c>
      <c r="W40" s="471">
        <v>0</v>
      </c>
      <c r="X40" s="471">
        <f t="shared" si="9"/>
        <v>0</v>
      </c>
      <c r="Y40" s="463">
        <v>0</v>
      </c>
      <c r="Z40" s="473" t="s">
        <v>297</v>
      </c>
    </row>
    <row r="41" spans="1:26" s="351" customFormat="1" ht="12.75">
      <c r="A41" s="477" t="s">
        <v>156</v>
      </c>
      <c r="B41" s="478" t="s">
        <v>299</v>
      </c>
      <c r="C41" s="499"/>
      <c r="D41" s="437"/>
      <c r="E41" s="438"/>
      <c r="F41" s="480">
        <f>SUM(F32:F40)</f>
        <v>77391</v>
      </c>
      <c r="G41" s="480">
        <f>SUM(G32:G40)</f>
        <v>1340325</v>
      </c>
      <c r="H41" s="480">
        <f>SUM(H32:H40)</f>
        <v>424600</v>
      </c>
      <c r="I41" s="480">
        <f t="shared" si="6"/>
        <v>1842316</v>
      </c>
      <c r="J41" s="481">
        <f aca="true" t="shared" si="10" ref="J41:P41">SUM(J32:J40)</f>
        <v>39971</v>
      </c>
      <c r="K41" s="481">
        <f t="shared" si="10"/>
        <v>652316</v>
      </c>
      <c r="L41" s="481">
        <f t="shared" si="10"/>
        <v>150080</v>
      </c>
      <c r="M41" s="481">
        <f t="shared" si="10"/>
        <v>842367</v>
      </c>
      <c r="N41" s="481">
        <f t="shared" si="10"/>
        <v>107</v>
      </c>
      <c r="O41" s="481">
        <f t="shared" si="10"/>
        <v>162475</v>
      </c>
      <c r="P41" s="481">
        <f t="shared" si="10"/>
        <v>139747</v>
      </c>
      <c r="Q41" s="481">
        <f t="shared" si="8"/>
        <v>302329</v>
      </c>
      <c r="R41" s="481">
        <f aca="true" t="shared" si="11" ref="R41:W41">SUM(R32:R40)</f>
        <v>93596</v>
      </c>
      <c r="S41" s="481">
        <f t="shared" si="11"/>
        <v>1193012</v>
      </c>
      <c r="T41" s="481">
        <f t="shared" si="11"/>
        <v>350834</v>
      </c>
      <c r="U41" s="481">
        <f t="shared" si="11"/>
        <v>1637442</v>
      </c>
      <c r="V41" s="481">
        <f t="shared" si="11"/>
        <v>57862</v>
      </c>
      <c r="W41" s="481">
        <f t="shared" si="11"/>
        <v>1269100</v>
      </c>
      <c r="X41" s="481">
        <f t="shared" si="9"/>
        <v>241546</v>
      </c>
      <c r="Y41" s="480">
        <f>SUM(Y32:Y40)</f>
        <v>1568508</v>
      </c>
      <c r="Z41" s="482"/>
    </row>
    <row r="42" spans="1:26" ht="12.75">
      <c r="A42" s="441" t="s">
        <v>161</v>
      </c>
      <c r="B42" s="490" t="s">
        <v>302</v>
      </c>
      <c r="C42" s="496"/>
      <c r="D42" s="365"/>
      <c r="E42" s="469"/>
      <c r="F42" s="470"/>
      <c r="G42" s="470"/>
      <c r="H42" s="470"/>
      <c r="I42" s="463"/>
      <c r="J42" s="471"/>
      <c r="K42" s="472"/>
      <c r="L42" s="471"/>
      <c r="M42" s="462"/>
      <c r="N42" s="471"/>
      <c r="O42" s="471"/>
      <c r="P42" s="471"/>
      <c r="Q42" s="462"/>
      <c r="R42" s="471"/>
      <c r="S42" s="471"/>
      <c r="T42" s="471"/>
      <c r="U42" s="462"/>
      <c r="V42" s="471"/>
      <c r="W42" s="471"/>
      <c r="X42" s="471"/>
      <c r="Y42" s="463"/>
      <c r="Z42" s="473"/>
    </row>
    <row r="43" spans="1:26" ht="12.75">
      <c r="A43" s="466"/>
      <c r="B43" s="468" t="s">
        <v>303</v>
      </c>
      <c r="C43" s="496" t="s">
        <v>304</v>
      </c>
      <c r="D43" s="365"/>
      <c r="E43" s="469"/>
      <c r="F43" s="470">
        <v>0</v>
      </c>
      <c r="G43" s="470">
        <v>983927</v>
      </c>
      <c r="H43" s="470">
        <v>1833546</v>
      </c>
      <c r="I43" s="463">
        <f aca="true" t="shared" si="12" ref="I43:I49">SUM(G43:H43)</f>
        <v>2817473</v>
      </c>
      <c r="J43" s="471">
        <v>0</v>
      </c>
      <c r="K43" s="472">
        <v>75768</v>
      </c>
      <c r="L43" s="471">
        <v>533050</v>
      </c>
      <c r="M43" s="462">
        <f aca="true" t="shared" si="13" ref="M43:M49">SUM(J43:L43)</f>
        <v>608818</v>
      </c>
      <c r="N43" s="471">
        <v>0</v>
      </c>
      <c r="O43" s="471">
        <v>82040</v>
      </c>
      <c r="P43" s="471">
        <v>31368</v>
      </c>
      <c r="Q43" s="462">
        <f aca="true" t="shared" si="14" ref="Q43:Q50">N43+O43+P43</f>
        <v>113408</v>
      </c>
      <c r="R43" s="471">
        <f aca="true" t="shared" si="15" ref="R43:R48">F43+N43</f>
        <v>0</v>
      </c>
      <c r="S43" s="471">
        <v>282582</v>
      </c>
      <c r="T43" s="471">
        <v>32400</v>
      </c>
      <c r="U43" s="462">
        <v>314982</v>
      </c>
      <c r="V43" s="471">
        <v>0</v>
      </c>
      <c r="W43" s="471">
        <v>338209</v>
      </c>
      <c r="X43" s="471">
        <f aca="true" t="shared" si="16" ref="X43:X50">Y43-W43-V43</f>
        <v>711452</v>
      </c>
      <c r="Y43" s="463">
        <v>1049661</v>
      </c>
      <c r="Z43" s="473" t="s">
        <v>306</v>
      </c>
    </row>
    <row r="44" spans="1:26" ht="12.75">
      <c r="A44" s="466"/>
      <c r="B44" s="468" t="s">
        <v>163</v>
      </c>
      <c r="C44" s="496" t="s">
        <v>309</v>
      </c>
      <c r="D44" s="365"/>
      <c r="E44" s="469"/>
      <c r="F44" s="470">
        <v>0</v>
      </c>
      <c r="G44" s="470">
        <f>414+5588</f>
        <v>6002</v>
      </c>
      <c r="H44" s="470">
        <v>0</v>
      </c>
      <c r="I44" s="463">
        <f t="shared" si="12"/>
        <v>6002</v>
      </c>
      <c r="J44" s="471">
        <v>0</v>
      </c>
      <c r="K44" s="472">
        <v>414</v>
      </c>
      <c r="L44" s="471">
        <v>981</v>
      </c>
      <c r="M44" s="462">
        <f t="shared" si="13"/>
        <v>1395</v>
      </c>
      <c r="N44" s="471">
        <v>0</v>
      </c>
      <c r="O44" s="471">
        <v>1405</v>
      </c>
      <c r="P44" s="471">
        <v>0</v>
      </c>
      <c r="Q44" s="462">
        <f t="shared" si="14"/>
        <v>1405</v>
      </c>
      <c r="R44" s="471">
        <f t="shared" si="15"/>
        <v>0</v>
      </c>
      <c r="S44" s="471">
        <v>0</v>
      </c>
      <c r="T44" s="471">
        <v>102705</v>
      </c>
      <c r="U44" s="462">
        <v>102705</v>
      </c>
      <c r="V44" s="471">
        <v>0</v>
      </c>
      <c r="W44" s="471">
        <v>865</v>
      </c>
      <c r="X44" s="471">
        <f t="shared" si="16"/>
        <v>992</v>
      </c>
      <c r="Y44" s="463">
        <v>1857</v>
      </c>
      <c r="Z44" s="473" t="s">
        <v>311</v>
      </c>
    </row>
    <row r="45" spans="1:26" ht="12.75">
      <c r="A45" s="466"/>
      <c r="B45" s="468" t="s">
        <v>174</v>
      </c>
      <c r="C45" s="496" t="s">
        <v>429</v>
      </c>
      <c r="D45" s="365"/>
      <c r="E45" s="469"/>
      <c r="F45" s="470">
        <v>0</v>
      </c>
      <c r="G45" s="470">
        <v>9235</v>
      </c>
      <c r="H45" s="470">
        <f>158+6531</f>
        <v>6689</v>
      </c>
      <c r="I45" s="463">
        <f t="shared" si="12"/>
        <v>15924</v>
      </c>
      <c r="J45" s="471">
        <v>0</v>
      </c>
      <c r="K45" s="472">
        <v>0</v>
      </c>
      <c r="L45" s="471">
        <v>6024</v>
      </c>
      <c r="M45" s="462">
        <f t="shared" si="13"/>
        <v>6024</v>
      </c>
      <c r="N45" s="471">
        <v>0</v>
      </c>
      <c r="O45" s="471">
        <v>0</v>
      </c>
      <c r="P45" s="471">
        <v>260</v>
      </c>
      <c r="Q45" s="462">
        <f t="shared" si="14"/>
        <v>260</v>
      </c>
      <c r="R45" s="471">
        <f t="shared" si="15"/>
        <v>0</v>
      </c>
      <c r="S45" s="471">
        <v>0</v>
      </c>
      <c r="T45" s="471">
        <v>0</v>
      </c>
      <c r="U45" s="462">
        <v>0</v>
      </c>
      <c r="V45" s="471">
        <v>0</v>
      </c>
      <c r="W45" s="471">
        <v>0</v>
      </c>
      <c r="X45" s="471">
        <f t="shared" si="16"/>
        <v>9543</v>
      </c>
      <c r="Y45" s="463">
        <v>9543</v>
      </c>
      <c r="Z45" s="473" t="s">
        <v>314</v>
      </c>
    </row>
    <row r="46" spans="1:26" ht="12.75">
      <c r="A46" s="466"/>
      <c r="B46" s="468" t="s">
        <v>178</v>
      </c>
      <c r="C46" s="496" t="s">
        <v>430</v>
      </c>
      <c r="D46" s="365"/>
      <c r="E46" s="469"/>
      <c r="F46" s="470">
        <v>0</v>
      </c>
      <c r="G46" s="470">
        <v>24</v>
      </c>
      <c r="H46" s="470">
        <v>2246</v>
      </c>
      <c r="I46" s="463">
        <f t="shared" si="12"/>
        <v>2270</v>
      </c>
      <c r="J46" s="471">
        <v>0</v>
      </c>
      <c r="K46" s="472">
        <v>0</v>
      </c>
      <c r="L46" s="471">
        <v>21</v>
      </c>
      <c r="M46" s="462">
        <f t="shared" si="13"/>
        <v>21</v>
      </c>
      <c r="N46" s="471">
        <v>0</v>
      </c>
      <c r="O46" s="471">
        <v>0</v>
      </c>
      <c r="P46" s="471">
        <v>293</v>
      </c>
      <c r="Q46" s="462">
        <f t="shared" si="14"/>
        <v>293</v>
      </c>
      <c r="R46" s="471">
        <f t="shared" si="15"/>
        <v>0</v>
      </c>
      <c r="S46" s="471">
        <v>0</v>
      </c>
      <c r="T46" s="471">
        <v>0</v>
      </c>
      <c r="U46" s="462">
        <v>0</v>
      </c>
      <c r="V46" s="471">
        <v>0</v>
      </c>
      <c r="W46" s="471">
        <v>61</v>
      </c>
      <c r="X46" s="471">
        <f t="shared" si="16"/>
        <v>498</v>
      </c>
      <c r="Y46" s="463">
        <v>559</v>
      </c>
      <c r="Z46" s="473" t="s">
        <v>314</v>
      </c>
    </row>
    <row r="47" spans="1:26" ht="12.75">
      <c r="A47" s="466"/>
      <c r="B47" s="468" t="s">
        <v>318</v>
      </c>
      <c r="C47" s="496" t="s">
        <v>319</v>
      </c>
      <c r="D47" s="365"/>
      <c r="E47" s="469"/>
      <c r="F47" s="470">
        <v>0</v>
      </c>
      <c r="G47" s="470">
        <v>45000</v>
      </c>
      <c r="H47" s="470">
        <v>0</v>
      </c>
      <c r="I47" s="463">
        <f t="shared" si="12"/>
        <v>45000</v>
      </c>
      <c r="J47" s="471">
        <v>0</v>
      </c>
      <c r="K47" s="472">
        <v>0</v>
      </c>
      <c r="L47" s="471">
        <v>0</v>
      </c>
      <c r="M47" s="462">
        <f t="shared" si="13"/>
        <v>0</v>
      </c>
      <c r="N47" s="471">
        <v>0</v>
      </c>
      <c r="O47" s="471">
        <v>0</v>
      </c>
      <c r="P47" s="471">
        <v>104</v>
      </c>
      <c r="Q47" s="462">
        <f t="shared" si="14"/>
        <v>104</v>
      </c>
      <c r="R47" s="471">
        <f t="shared" si="15"/>
        <v>0</v>
      </c>
      <c r="S47" s="471">
        <v>0</v>
      </c>
      <c r="T47" s="471">
        <v>0</v>
      </c>
      <c r="U47" s="462">
        <v>0</v>
      </c>
      <c r="V47" s="471">
        <v>0</v>
      </c>
      <c r="W47" s="471">
        <v>0</v>
      </c>
      <c r="X47" s="471">
        <f t="shared" si="16"/>
        <v>0</v>
      </c>
      <c r="Y47" s="463">
        <v>0</v>
      </c>
      <c r="Z47" s="473" t="s">
        <v>325</v>
      </c>
    </row>
    <row r="48" spans="1:26" ht="12.75">
      <c r="A48" s="466"/>
      <c r="B48" s="468" t="s">
        <v>322</v>
      </c>
      <c r="C48" s="496" t="s">
        <v>323</v>
      </c>
      <c r="D48" s="365"/>
      <c r="E48" s="469"/>
      <c r="F48" s="470">
        <v>0</v>
      </c>
      <c r="G48" s="470">
        <f>45670+1022429</f>
        <v>1068099</v>
      </c>
      <c r="H48" s="470">
        <v>368</v>
      </c>
      <c r="I48" s="463">
        <f t="shared" si="12"/>
        <v>1068467</v>
      </c>
      <c r="J48" s="471">
        <v>0</v>
      </c>
      <c r="K48" s="472">
        <v>0</v>
      </c>
      <c r="L48" s="471">
        <v>0</v>
      </c>
      <c r="M48" s="462">
        <f t="shared" si="13"/>
        <v>0</v>
      </c>
      <c r="N48" s="471">
        <v>0</v>
      </c>
      <c r="O48" s="471">
        <v>0</v>
      </c>
      <c r="P48" s="471">
        <v>78870</v>
      </c>
      <c r="Q48" s="462">
        <f t="shared" si="14"/>
        <v>78870</v>
      </c>
      <c r="R48" s="471">
        <f t="shared" si="15"/>
        <v>0</v>
      </c>
      <c r="S48" s="471">
        <v>87187</v>
      </c>
      <c r="T48" s="471">
        <v>0</v>
      </c>
      <c r="U48" s="462">
        <v>87187</v>
      </c>
      <c r="V48" s="471">
        <v>0</v>
      </c>
      <c r="W48" s="471">
        <v>0</v>
      </c>
      <c r="X48" s="471">
        <f t="shared" si="16"/>
        <v>0</v>
      </c>
      <c r="Y48" s="463">
        <v>0</v>
      </c>
      <c r="Z48" s="473" t="s">
        <v>297</v>
      </c>
    </row>
    <row r="49" spans="1:26" s="351" customFormat="1" ht="12.75">
      <c r="A49" s="477" t="s">
        <v>161</v>
      </c>
      <c r="B49" s="478" t="s">
        <v>431</v>
      </c>
      <c r="C49" s="499"/>
      <c r="D49" s="437"/>
      <c r="E49" s="438"/>
      <c r="F49" s="480">
        <f>SUM(F43:F48)</f>
        <v>0</v>
      </c>
      <c r="G49" s="480">
        <f>SUM(G43:G48)</f>
        <v>2112287</v>
      </c>
      <c r="H49" s="480">
        <f>SUM(H43:H48)</f>
        <v>1842849</v>
      </c>
      <c r="I49" s="480">
        <f t="shared" si="12"/>
        <v>3955136</v>
      </c>
      <c r="J49" s="481">
        <f>SUM(J43:J48)</f>
        <v>0</v>
      </c>
      <c r="K49" s="481">
        <f>SUM(K43:K48)</f>
        <v>76182</v>
      </c>
      <c r="L49" s="481">
        <f>SUM(L43:L48)</f>
        <v>540076</v>
      </c>
      <c r="M49" s="481">
        <f t="shared" si="13"/>
        <v>616258</v>
      </c>
      <c r="N49" s="481">
        <f>SUM(N43:N48)</f>
        <v>0</v>
      </c>
      <c r="O49" s="481">
        <f>SUM(O43:O48)</f>
        <v>83445</v>
      </c>
      <c r="P49" s="481">
        <f>SUM(P43:P48)</f>
        <v>110895</v>
      </c>
      <c r="Q49" s="481">
        <f t="shared" si="14"/>
        <v>194340</v>
      </c>
      <c r="R49" s="481">
        <f aca="true" t="shared" si="17" ref="R49:W49">SUM(R43:R48)</f>
        <v>0</v>
      </c>
      <c r="S49" s="481">
        <f t="shared" si="17"/>
        <v>369769</v>
      </c>
      <c r="T49" s="481">
        <f t="shared" si="17"/>
        <v>135105</v>
      </c>
      <c r="U49" s="481">
        <f t="shared" si="17"/>
        <v>504874</v>
      </c>
      <c r="V49" s="481">
        <f t="shared" si="17"/>
        <v>0</v>
      </c>
      <c r="W49" s="481">
        <f t="shared" si="17"/>
        <v>339135</v>
      </c>
      <c r="X49" s="481">
        <f t="shared" si="16"/>
        <v>722485</v>
      </c>
      <c r="Y49" s="480">
        <f>SUM(Y43:Y48)</f>
        <v>1061620</v>
      </c>
      <c r="Z49" s="482"/>
    </row>
    <row r="50" spans="1:26" s="351" customFormat="1" ht="12.75">
      <c r="A50" s="477"/>
      <c r="B50" s="478" t="s">
        <v>432</v>
      </c>
      <c r="C50" s="499"/>
      <c r="D50" s="437"/>
      <c r="E50" s="438"/>
      <c r="F50" s="480">
        <f>SUM(F41+F49)</f>
        <v>77391</v>
      </c>
      <c r="G50" s="480">
        <f>SUM(G41+G49)</f>
        <v>3452612</v>
      </c>
      <c r="H50" s="480">
        <f>SUM(H41+H49)</f>
        <v>2267449</v>
      </c>
      <c r="I50" s="480">
        <f>SUM(F50:H50)</f>
        <v>5797452</v>
      </c>
      <c r="J50" s="481">
        <f aca="true" t="shared" si="18" ref="J50:P50">J41+J49</f>
        <v>39971</v>
      </c>
      <c r="K50" s="481">
        <f t="shared" si="18"/>
        <v>728498</v>
      </c>
      <c r="L50" s="481">
        <f t="shared" si="18"/>
        <v>690156</v>
      </c>
      <c r="M50" s="481">
        <f t="shared" si="18"/>
        <v>1458625</v>
      </c>
      <c r="N50" s="481">
        <f t="shared" si="18"/>
        <v>107</v>
      </c>
      <c r="O50" s="481">
        <f t="shared" si="18"/>
        <v>245920</v>
      </c>
      <c r="P50" s="481">
        <f t="shared" si="18"/>
        <v>250642</v>
      </c>
      <c r="Q50" s="481">
        <f t="shared" si="14"/>
        <v>496669</v>
      </c>
      <c r="R50" s="481">
        <f aca="true" t="shared" si="19" ref="R50:W50">R41+R49</f>
        <v>93596</v>
      </c>
      <c r="S50" s="481">
        <f t="shared" si="19"/>
        <v>1562781</v>
      </c>
      <c r="T50" s="481">
        <f t="shared" si="19"/>
        <v>485939</v>
      </c>
      <c r="U50" s="481">
        <f t="shared" si="19"/>
        <v>2142316</v>
      </c>
      <c r="V50" s="481">
        <f t="shared" si="19"/>
        <v>57862</v>
      </c>
      <c r="W50" s="481">
        <f t="shared" si="19"/>
        <v>1608235</v>
      </c>
      <c r="X50" s="481">
        <f t="shared" si="16"/>
        <v>964031</v>
      </c>
      <c r="Y50" s="480">
        <f>Y41+Y49</f>
        <v>2630128</v>
      </c>
      <c r="Z50" s="482"/>
    </row>
    <row r="51" spans="1:26" ht="12.75">
      <c r="A51" s="466"/>
      <c r="B51" s="468"/>
      <c r="C51" s="500"/>
      <c r="D51" s="365"/>
      <c r="E51" s="469"/>
      <c r="F51" s="470"/>
      <c r="G51" s="470"/>
      <c r="H51" s="501"/>
      <c r="I51" s="492"/>
      <c r="J51" s="471"/>
      <c r="K51" s="472"/>
      <c r="L51" s="471"/>
      <c r="M51" s="462"/>
      <c r="N51" s="471"/>
      <c r="O51" s="471"/>
      <c r="P51" s="471"/>
      <c r="Q51" s="462"/>
      <c r="R51" s="471"/>
      <c r="S51" s="471"/>
      <c r="T51" s="471"/>
      <c r="U51" s="462"/>
      <c r="V51" s="471"/>
      <c r="W51" s="471"/>
      <c r="X51" s="471"/>
      <c r="Y51" s="463"/>
      <c r="Z51" s="473"/>
    </row>
    <row r="52" spans="1:26" s="351" customFormat="1" ht="12.75">
      <c r="A52" s="441"/>
      <c r="B52" s="490" t="s">
        <v>397</v>
      </c>
      <c r="C52" s="430"/>
      <c r="D52" s="443"/>
      <c r="E52" s="444"/>
      <c r="F52" s="463"/>
      <c r="G52" s="502"/>
      <c r="H52" s="462"/>
      <c r="I52" s="463"/>
      <c r="J52" s="462"/>
      <c r="K52" s="493"/>
      <c r="L52" s="462"/>
      <c r="M52" s="462"/>
      <c r="N52" s="462"/>
      <c r="O52" s="462"/>
      <c r="P52" s="462"/>
      <c r="Q52" s="462"/>
      <c r="R52" s="471"/>
      <c r="S52" s="471"/>
      <c r="T52" s="471"/>
      <c r="U52" s="462"/>
      <c r="V52" s="462"/>
      <c r="W52" s="462"/>
      <c r="X52" s="471"/>
      <c r="Y52" s="463"/>
      <c r="Z52" s="494"/>
    </row>
    <row r="53" spans="1:26" s="351" customFormat="1" ht="12.75">
      <c r="A53" s="441" t="s">
        <v>270</v>
      </c>
      <c r="B53" s="490" t="s">
        <v>433</v>
      </c>
      <c r="C53" s="430"/>
      <c r="D53" s="443"/>
      <c r="E53" s="444"/>
      <c r="F53" s="463"/>
      <c r="G53" s="502"/>
      <c r="H53" s="462"/>
      <c r="I53" s="463"/>
      <c r="J53" s="462"/>
      <c r="K53" s="493"/>
      <c r="L53" s="462"/>
      <c r="M53" s="462"/>
      <c r="N53" s="462"/>
      <c r="O53" s="462"/>
      <c r="P53" s="462"/>
      <c r="Q53" s="462"/>
      <c r="R53" s="471"/>
      <c r="S53" s="471"/>
      <c r="T53" s="471"/>
      <c r="U53" s="462"/>
      <c r="V53" s="462"/>
      <c r="W53" s="462"/>
      <c r="X53" s="471"/>
      <c r="Y53" s="463"/>
      <c r="Z53" s="494"/>
    </row>
    <row r="54" spans="1:26" ht="12.75">
      <c r="A54" s="466"/>
      <c r="B54" s="468" t="s">
        <v>156</v>
      </c>
      <c r="C54" s="500" t="s">
        <v>272</v>
      </c>
      <c r="D54" s="365"/>
      <c r="E54" s="469"/>
      <c r="F54" s="470">
        <v>0</v>
      </c>
      <c r="G54" s="470">
        <f>SUM('[3]címrendes bevétel'!M135)</f>
        <v>0</v>
      </c>
      <c r="H54" s="471">
        <v>0</v>
      </c>
      <c r="I54" s="463">
        <f>SUM(G54:H54)</f>
        <v>0</v>
      </c>
      <c r="J54" s="471">
        <v>0</v>
      </c>
      <c r="K54" s="472">
        <v>0</v>
      </c>
      <c r="L54" s="471">
        <v>0</v>
      </c>
      <c r="M54" s="462">
        <v>0</v>
      </c>
      <c r="N54" s="471">
        <v>0</v>
      </c>
      <c r="O54" s="471">
        <v>0</v>
      </c>
      <c r="P54" s="471">
        <v>0</v>
      </c>
      <c r="Q54" s="462">
        <f>N54+O54+P54</f>
        <v>0</v>
      </c>
      <c r="R54" s="471">
        <f>F54+N54</f>
        <v>0</v>
      </c>
      <c r="S54" s="471">
        <f>G54+O54</f>
        <v>0</v>
      </c>
      <c r="T54" s="471">
        <f>H54+P54</f>
        <v>0</v>
      </c>
      <c r="U54" s="462">
        <f>I54+Q54</f>
        <v>0</v>
      </c>
      <c r="V54" s="471">
        <v>0</v>
      </c>
      <c r="W54" s="471">
        <v>0</v>
      </c>
      <c r="X54" s="471">
        <f>Y54-W54-V54</f>
        <v>0</v>
      </c>
      <c r="Y54" s="463">
        <v>0</v>
      </c>
      <c r="Z54" s="473" t="s">
        <v>119</v>
      </c>
    </row>
    <row r="55" spans="1:26" ht="12.75">
      <c r="A55" s="503"/>
      <c r="B55" s="504" t="s">
        <v>161</v>
      </c>
      <c r="C55" s="505" t="s">
        <v>273</v>
      </c>
      <c r="D55" s="506"/>
      <c r="E55" s="507"/>
      <c r="F55" s="508">
        <v>0</v>
      </c>
      <c r="G55" s="508">
        <f>SUM('[3]címrendes bevétel'!M136+'[3]címrendes bevétel'!M137)</f>
        <v>52276</v>
      </c>
      <c r="H55" s="471">
        <f>16055+39668</f>
        <v>55723</v>
      </c>
      <c r="I55" s="463">
        <f>SUM(G55:H55)</f>
        <v>107999</v>
      </c>
      <c r="J55" s="471">
        <v>0</v>
      </c>
      <c r="K55" s="472">
        <v>0</v>
      </c>
      <c r="L55" s="471">
        <v>0</v>
      </c>
      <c r="M55" s="462">
        <v>0</v>
      </c>
      <c r="N55" s="471">
        <v>0</v>
      </c>
      <c r="O55" s="471">
        <v>0</v>
      </c>
      <c r="P55" s="471">
        <v>98001</v>
      </c>
      <c r="Q55" s="462">
        <f>N55+O55+P55</f>
        <v>98001</v>
      </c>
      <c r="R55" s="471">
        <f>F55+N55</f>
        <v>0</v>
      </c>
      <c r="S55" s="471">
        <v>0</v>
      </c>
      <c r="T55" s="471">
        <v>42091</v>
      </c>
      <c r="U55" s="462">
        <v>42091</v>
      </c>
      <c r="V55" s="471">
        <v>0</v>
      </c>
      <c r="W55" s="471">
        <v>0</v>
      </c>
      <c r="X55" s="471">
        <f>Y55-W55-V55</f>
        <v>0</v>
      </c>
      <c r="Y55" s="463">
        <v>0</v>
      </c>
      <c r="Z55" s="473" t="s">
        <v>119</v>
      </c>
    </row>
    <row r="56" spans="1:26" s="351" customFormat="1" ht="12.75">
      <c r="A56" s="441"/>
      <c r="B56" s="490" t="s">
        <v>275</v>
      </c>
      <c r="C56" s="430"/>
      <c r="D56" s="443"/>
      <c r="E56" s="444"/>
      <c r="F56" s="463">
        <f>SUM(F54:F55)</f>
        <v>0</v>
      </c>
      <c r="G56" s="463">
        <f>SUM(G54:G55)</f>
        <v>52276</v>
      </c>
      <c r="H56" s="481">
        <f>SUM(H54:H55)</f>
        <v>55723</v>
      </c>
      <c r="I56" s="480">
        <f>SUM(G56:H56)</f>
        <v>107999</v>
      </c>
      <c r="J56" s="481">
        <f aca="true" t="shared" si="20" ref="J56:P56">SUM(J54:J55)</f>
        <v>0</v>
      </c>
      <c r="K56" s="481">
        <f t="shared" si="20"/>
        <v>0</v>
      </c>
      <c r="L56" s="481">
        <f t="shared" si="20"/>
        <v>0</v>
      </c>
      <c r="M56" s="481">
        <f t="shared" si="20"/>
        <v>0</v>
      </c>
      <c r="N56" s="481">
        <f t="shared" si="20"/>
        <v>0</v>
      </c>
      <c r="O56" s="481">
        <f t="shared" si="20"/>
        <v>0</v>
      </c>
      <c r="P56" s="481">
        <f t="shared" si="20"/>
        <v>98001</v>
      </c>
      <c r="Q56" s="481">
        <f>N56+O56+P56</f>
        <v>98001</v>
      </c>
      <c r="R56" s="481">
        <f aca="true" t="shared" si="21" ref="R56:W56">SUM(R54:R55)</f>
        <v>0</v>
      </c>
      <c r="S56" s="481">
        <f t="shared" si="21"/>
        <v>0</v>
      </c>
      <c r="T56" s="481">
        <f t="shared" si="21"/>
        <v>42091</v>
      </c>
      <c r="U56" s="481">
        <f t="shared" si="21"/>
        <v>42091</v>
      </c>
      <c r="V56" s="481">
        <f t="shared" si="21"/>
        <v>0</v>
      </c>
      <c r="W56" s="481">
        <f t="shared" si="21"/>
        <v>0</v>
      </c>
      <c r="X56" s="481">
        <f>Y56-W56-V56</f>
        <v>0</v>
      </c>
      <c r="Y56" s="480">
        <f>SUM(Y54:Y55)</f>
        <v>0</v>
      </c>
      <c r="Z56" s="482" t="s">
        <v>119</v>
      </c>
    </row>
    <row r="57" spans="1:26" s="351" customFormat="1" ht="12.75">
      <c r="A57" s="477" t="s">
        <v>276</v>
      </c>
      <c r="B57" s="478" t="s">
        <v>277</v>
      </c>
      <c r="C57" s="479"/>
      <c r="D57" s="437"/>
      <c r="E57" s="438"/>
      <c r="F57" s="480">
        <v>0</v>
      </c>
      <c r="G57" s="480">
        <v>0</v>
      </c>
      <c r="H57" s="481">
        <f>172546+1733008</f>
        <v>1905554</v>
      </c>
      <c r="I57" s="463">
        <f>SUM(G57:H57)</f>
        <v>1905554</v>
      </c>
      <c r="J57" s="481">
        <v>0</v>
      </c>
      <c r="K57" s="481">
        <v>0</v>
      </c>
      <c r="L57" s="481">
        <v>437589</v>
      </c>
      <c r="M57" s="481">
        <f>SUM(J57:L57)</f>
        <v>437589</v>
      </c>
      <c r="N57" s="462">
        <v>0</v>
      </c>
      <c r="O57" s="462">
        <v>0</v>
      </c>
      <c r="P57" s="462">
        <v>0</v>
      </c>
      <c r="Q57" s="462">
        <f>N57+O57+P57</f>
        <v>0</v>
      </c>
      <c r="R57" s="462">
        <f>F57+N57</f>
        <v>0</v>
      </c>
      <c r="S57" s="462">
        <f>G57+O57</f>
        <v>0</v>
      </c>
      <c r="T57" s="462">
        <v>0</v>
      </c>
      <c r="U57" s="462">
        <v>0</v>
      </c>
      <c r="V57" s="462">
        <v>0</v>
      </c>
      <c r="W57" s="462">
        <v>751099</v>
      </c>
      <c r="X57" s="462">
        <f>Y57-W57-V57</f>
        <v>0</v>
      </c>
      <c r="Y57" s="463">
        <v>751099</v>
      </c>
      <c r="Z57" s="482"/>
    </row>
    <row r="58" spans="1:26" s="351" customFormat="1" ht="12.75">
      <c r="A58" s="477"/>
      <c r="B58" s="478" t="s">
        <v>282</v>
      </c>
      <c r="C58" s="509"/>
      <c r="D58" s="437"/>
      <c r="E58" s="438"/>
      <c r="F58" s="480">
        <v>0</v>
      </c>
      <c r="G58" s="480">
        <f>SUM(G56+G57)</f>
        <v>52276</v>
      </c>
      <c r="H58" s="481">
        <f>SUM(H56+H57)</f>
        <v>1961277</v>
      </c>
      <c r="I58" s="480">
        <f>SUM(G58:H58)</f>
        <v>2013553</v>
      </c>
      <c r="J58" s="481">
        <f aca="true" t="shared" si="22" ref="J58:P58">J56+J57</f>
        <v>0</v>
      </c>
      <c r="K58" s="481">
        <f t="shared" si="22"/>
        <v>0</v>
      </c>
      <c r="L58" s="481">
        <f t="shared" si="22"/>
        <v>437589</v>
      </c>
      <c r="M58" s="481">
        <f t="shared" si="22"/>
        <v>437589</v>
      </c>
      <c r="N58" s="481">
        <f t="shared" si="22"/>
        <v>0</v>
      </c>
      <c r="O58" s="481">
        <f t="shared" si="22"/>
        <v>0</v>
      </c>
      <c r="P58" s="481">
        <f t="shared" si="22"/>
        <v>98001</v>
      </c>
      <c r="Q58" s="481">
        <f>N58+O58+P58</f>
        <v>98001</v>
      </c>
      <c r="R58" s="481">
        <f>R56+R57</f>
        <v>0</v>
      </c>
      <c r="S58" s="481">
        <f>S56+S57</f>
        <v>0</v>
      </c>
      <c r="T58" s="481">
        <f>T56+T57</f>
        <v>42091</v>
      </c>
      <c r="U58" s="481">
        <f>U56+U57</f>
        <v>42091</v>
      </c>
      <c r="V58" s="481">
        <f>SUM(V57)</f>
        <v>0</v>
      </c>
      <c r="W58" s="481">
        <f>SUM(W57)</f>
        <v>751099</v>
      </c>
      <c r="X58" s="481">
        <f>Y58-W58-V58</f>
        <v>0</v>
      </c>
      <c r="Y58" s="480">
        <f>SUM(Y57)</f>
        <v>751099</v>
      </c>
      <c r="Z58" s="482"/>
    </row>
    <row r="59" spans="1:26" ht="12.75">
      <c r="A59" s="466"/>
      <c r="B59" s="468"/>
      <c r="C59" s="500"/>
      <c r="D59" s="365"/>
      <c r="E59" s="469"/>
      <c r="F59" s="470"/>
      <c r="G59" s="470"/>
      <c r="H59" s="471"/>
      <c r="I59" s="463"/>
      <c r="J59" s="471"/>
      <c r="K59" s="472"/>
      <c r="L59" s="471"/>
      <c r="M59" s="462"/>
      <c r="N59" s="471"/>
      <c r="O59" s="471"/>
      <c r="P59" s="471"/>
      <c r="Q59" s="462"/>
      <c r="R59" s="471"/>
      <c r="S59" s="471"/>
      <c r="T59" s="471"/>
      <c r="U59" s="462"/>
      <c r="V59" s="471"/>
      <c r="W59" s="471"/>
      <c r="X59" s="471"/>
      <c r="Y59" s="463"/>
      <c r="Z59" s="473"/>
    </row>
    <row r="60" spans="1:26" s="351" customFormat="1" ht="12.75">
      <c r="A60" s="441" t="s">
        <v>229</v>
      </c>
      <c r="B60" s="490" t="s">
        <v>434</v>
      </c>
      <c r="C60" s="430"/>
      <c r="D60" s="443"/>
      <c r="E60" s="444"/>
      <c r="F60" s="463"/>
      <c r="G60" s="502"/>
      <c r="H60" s="462"/>
      <c r="I60" s="463"/>
      <c r="J60" s="462"/>
      <c r="K60" s="493"/>
      <c r="L60" s="462"/>
      <c r="M60" s="462"/>
      <c r="N60" s="462"/>
      <c r="O60" s="462"/>
      <c r="P60" s="462"/>
      <c r="Q60" s="462"/>
      <c r="R60" s="471"/>
      <c r="S60" s="471"/>
      <c r="T60" s="471"/>
      <c r="U60" s="462"/>
      <c r="V60" s="462"/>
      <c r="W60" s="462"/>
      <c r="X60" s="471"/>
      <c r="Y60" s="463"/>
      <c r="Z60" s="494"/>
    </row>
    <row r="61" spans="1:26" ht="12.75">
      <c r="A61" s="503"/>
      <c r="B61" s="510" t="s">
        <v>330</v>
      </c>
      <c r="C61" s="506" t="s">
        <v>435</v>
      </c>
      <c r="D61" s="506"/>
      <c r="E61" s="507"/>
      <c r="F61" s="470">
        <v>0</v>
      </c>
      <c r="G61" s="470">
        <f>69579+3631</f>
        <v>73210</v>
      </c>
      <c r="H61" s="471">
        <v>0</v>
      </c>
      <c r="I61" s="463">
        <f>SUM(G61:H61)</f>
        <v>73210</v>
      </c>
      <c r="J61" s="471">
        <v>0</v>
      </c>
      <c r="K61" s="472">
        <v>104947</v>
      </c>
      <c r="L61" s="471">
        <v>0</v>
      </c>
      <c r="M61" s="462">
        <f>SUM(J61:L61)</f>
        <v>104947</v>
      </c>
      <c r="N61" s="471">
        <v>0</v>
      </c>
      <c r="O61" s="471">
        <v>0</v>
      </c>
      <c r="P61" s="471">
        <v>0</v>
      </c>
      <c r="Q61" s="462">
        <f>N61+O61+P61</f>
        <v>0</v>
      </c>
      <c r="R61" s="471">
        <f>F61+N61</f>
        <v>0</v>
      </c>
      <c r="S61" s="471">
        <v>4365</v>
      </c>
      <c r="T61" s="471">
        <f>H61+P61</f>
        <v>0</v>
      </c>
      <c r="U61" s="462">
        <v>4365</v>
      </c>
      <c r="V61" s="471">
        <v>0</v>
      </c>
      <c r="W61" s="471">
        <v>104947</v>
      </c>
      <c r="X61" s="471">
        <f>Y61-W61-V61</f>
        <v>0</v>
      </c>
      <c r="Y61" s="463">
        <v>104947</v>
      </c>
      <c r="Z61" s="473" t="s">
        <v>333</v>
      </c>
    </row>
    <row r="62" spans="1:26" s="351" customFormat="1" ht="12.75">
      <c r="A62" s="484"/>
      <c r="B62" s="485" t="s">
        <v>436</v>
      </c>
      <c r="C62" s="487"/>
      <c r="D62" s="487"/>
      <c r="E62" s="488"/>
      <c r="F62" s="489">
        <f>SUM(F61:F61)</f>
        <v>0</v>
      </c>
      <c r="G62" s="489">
        <f>SUM(G61:G61)</f>
        <v>73210</v>
      </c>
      <c r="H62" s="481">
        <f>SUM(H61:H61)</f>
        <v>0</v>
      </c>
      <c r="I62" s="480">
        <f>SUM(G62:H62)</f>
        <v>73210</v>
      </c>
      <c r="J62" s="481">
        <f aca="true" t="shared" si="23" ref="J62:P62">SUM(J61:J61)</f>
        <v>0</v>
      </c>
      <c r="K62" s="481">
        <f t="shared" si="23"/>
        <v>104947</v>
      </c>
      <c r="L62" s="481">
        <f t="shared" si="23"/>
        <v>0</v>
      </c>
      <c r="M62" s="481">
        <f t="shared" si="23"/>
        <v>104947</v>
      </c>
      <c r="N62" s="481">
        <f t="shared" si="23"/>
        <v>0</v>
      </c>
      <c r="O62" s="481">
        <f t="shared" si="23"/>
        <v>0</v>
      </c>
      <c r="P62" s="481">
        <f t="shared" si="23"/>
        <v>0</v>
      </c>
      <c r="Q62" s="481">
        <f>N62+O62+P62</f>
        <v>0</v>
      </c>
      <c r="R62" s="481">
        <f>SUM(R61)</f>
        <v>0</v>
      </c>
      <c r="S62" s="481">
        <f>SUM(S61)</f>
        <v>4365</v>
      </c>
      <c r="T62" s="481">
        <f>SUM(T61)</f>
        <v>0</v>
      </c>
      <c r="U62" s="481">
        <f>SUM(U61)</f>
        <v>4365</v>
      </c>
      <c r="V62" s="481">
        <f>SUM(V61:V61)</f>
        <v>0</v>
      </c>
      <c r="W62" s="481">
        <f>SUM(W61:W61)</f>
        <v>104947</v>
      </c>
      <c r="X62" s="481">
        <f>Y62-W62-V62</f>
        <v>0</v>
      </c>
      <c r="Y62" s="480">
        <f>SUM(Y61:Y61)</f>
        <v>104947</v>
      </c>
      <c r="Z62" s="482" t="s">
        <v>333</v>
      </c>
    </row>
    <row r="63" spans="1:26" s="351" customFormat="1" ht="12.75">
      <c r="A63" s="484"/>
      <c r="B63" s="485"/>
      <c r="C63" s="487"/>
      <c r="D63" s="487"/>
      <c r="E63" s="488"/>
      <c r="F63" s="489"/>
      <c r="G63" s="489"/>
      <c r="H63" s="481"/>
      <c r="I63" s="463"/>
      <c r="J63" s="462"/>
      <c r="K63" s="493"/>
      <c r="L63" s="462"/>
      <c r="M63" s="462"/>
      <c r="N63" s="462"/>
      <c r="O63" s="462"/>
      <c r="P63" s="462"/>
      <c r="Q63" s="462"/>
      <c r="R63" s="471"/>
      <c r="S63" s="471"/>
      <c r="T63" s="471"/>
      <c r="U63" s="462"/>
      <c r="V63" s="462"/>
      <c r="W63" s="462"/>
      <c r="X63" s="471"/>
      <c r="Y63" s="463"/>
      <c r="Z63" s="494"/>
    </row>
    <row r="64" spans="1:26" s="351" customFormat="1" ht="12.75">
      <c r="A64" s="484"/>
      <c r="B64" s="485" t="s">
        <v>283</v>
      </c>
      <c r="C64" s="487"/>
      <c r="D64" s="487"/>
      <c r="E64" s="488"/>
      <c r="F64" s="489">
        <f>SUM(F58+F28)</f>
        <v>19817</v>
      </c>
      <c r="G64" s="489">
        <f>SUM(G58+G28)</f>
        <v>3080369</v>
      </c>
      <c r="H64" s="475" t="e">
        <f>SUM(H58+H28)</f>
        <v>#REF!</v>
      </c>
      <c r="I64" s="480" t="e">
        <f>SUM(F64:H64)</f>
        <v>#REF!</v>
      </c>
      <c r="J64" s="481">
        <f aca="true" t="shared" si="24" ref="J64:P64">J28+J58</f>
        <v>0</v>
      </c>
      <c r="K64" s="481">
        <f t="shared" si="24"/>
        <v>658466</v>
      </c>
      <c r="L64" s="481">
        <f t="shared" si="24"/>
        <v>1521380</v>
      </c>
      <c r="M64" s="481">
        <f t="shared" si="24"/>
        <v>2179846</v>
      </c>
      <c r="N64" s="481">
        <f t="shared" si="24"/>
        <v>107</v>
      </c>
      <c r="O64" s="481">
        <f t="shared" si="24"/>
        <v>222880</v>
      </c>
      <c r="P64" s="481">
        <f t="shared" si="24"/>
        <v>273682</v>
      </c>
      <c r="Q64" s="481">
        <f>N64+O64+P64</f>
        <v>496669</v>
      </c>
      <c r="R64" s="481">
        <f aca="true" t="shared" si="25" ref="R64:W64">R28+R58</f>
        <v>0</v>
      </c>
      <c r="S64" s="481">
        <f t="shared" si="25"/>
        <v>1830525</v>
      </c>
      <c r="T64" s="481">
        <f t="shared" si="25"/>
        <v>316156</v>
      </c>
      <c r="U64" s="481">
        <f t="shared" si="25"/>
        <v>2146681</v>
      </c>
      <c r="V64" s="481">
        <f t="shared" si="25"/>
        <v>18817</v>
      </c>
      <c r="W64" s="481">
        <f t="shared" si="25"/>
        <v>2097882</v>
      </c>
      <c r="X64" s="481">
        <f>Y64-W64-V64</f>
        <v>1515673</v>
      </c>
      <c r="Y64" s="480">
        <f>Y28+Y58</f>
        <v>3632372</v>
      </c>
      <c r="Z64" s="482"/>
    </row>
    <row r="65" spans="1:26" s="351" customFormat="1" ht="12.75">
      <c r="A65" s="477"/>
      <c r="B65" s="478" t="s">
        <v>408</v>
      </c>
      <c r="C65" s="437"/>
      <c r="D65" s="437"/>
      <c r="E65" s="438"/>
      <c r="F65" s="480">
        <f>SUM(F62+F50)</f>
        <v>77391</v>
      </c>
      <c r="G65" s="480">
        <f>SUM(G62+G50)</f>
        <v>3525822</v>
      </c>
      <c r="H65" s="481">
        <f>SUM(H62+H50)</f>
        <v>2267449</v>
      </c>
      <c r="I65" s="480">
        <f>SUM(F65:H65)</f>
        <v>5870662</v>
      </c>
      <c r="J65" s="481">
        <f aca="true" t="shared" si="26" ref="J65:P65">J50+J62</f>
        <v>39971</v>
      </c>
      <c r="K65" s="481">
        <f t="shared" si="26"/>
        <v>833445</v>
      </c>
      <c r="L65" s="481">
        <f t="shared" si="26"/>
        <v>690156</v>
      </c>
      <c r="M65" s="481">
        <f t="shared" si="26"/>
        <v>1563572</v>
      </c>
      <c r="N65" s="481">
        <f t="shared" si="26"/>
        <v>107</v>
      </c>
      <c r="O65" s="481">
        <f t="shared" si="26"/>
        <v>245920</v>
      </c>
      <c r="P65" s="481">
        <f t="shared" si="26"/>
        <v>250642</v>
      </c>
      <c r="Q65" s="481">
        <f>N65+O65+P65</f>
        <v>496669</v>
      </c>
      <c r="R65" s="481">
        <f aca="true" t="shared" si="27" ref="R65:W65">R50+R62</f>
        <v>93596</v>
      </c>
      <c r="S65" s="481">
        <f t="shared" si="27"/>
        <v>1567146</v>
      </c>
      <c r="T65" s="481">
        <f t="shared" si="27"/>
        <v>485939</v>
      </c>
      <c r="U65" s="481">
        <f t="shared" si="27"/>
        <v>2146681</v>
      </c>
      <c r="V65" s="475">
        <f t="shared" si="27"/>
        <v>57862</v>
      </c>
      <c r="W65" s="475">
        <f t="shared" si="27"/>
        <v>1713182</v>
      </c>
      <c r="X65" s="475">
        <f>Y65-W65-V65</f>
        <v>964031</v>
      </c>
      <c r="Y65" s="489">
        <f>Y50+Y62</f>
        <v>2735075</v>
      </c>
      <c r="Z65" s="482"/>
    </row>
  </sheetData>
  <sheetProtection selectLockedCells="1" selectUnlockedCells="1"/>
  <mergeCells count="26">
    <mergeCell ref="I9:I10"/>
    <mergeCell ref="J9:J10"/>
    <mergeCell ref="A3:Z3"/>
    <mergeCell ref="A4:Z4"/>
    <mergeCell ref="A7:E7"/>
    <mergeCell ref="F8:I8"/>
    <mergeCell ref="J8:M8"/>
    <mergeCell ref="N8:Q8"/>
    <mergeCell ref="R8:U8"/>
    <mergeCell ref="V8:Y8"/>
    <mergeCell ref="Y9:Y10"/>
    <mergeCell ref="Z9:Z10"/>
    <mergeCell ref="Q9:Q10"/>
    <mergeCell ref="R9:R10"/>
    <mergeCell ref="S9:T9"/>
    <mergeCell ref="U9:U10"/>
    <mergeCell ref="A11:E11"/>
    <mergeCell ref="R11:U11"/>
    <mergeCell ref="V9:V10"/>
    <mergeCell ref="W9:X9"/>
    <mergeCell ref="K9:L9"/>
    <mergeCell ref="M9:M10"/>
    <mergeCell ref="N9:N10"/>
    <mergeCell ref="O9:P9"/>
    <mergeCell ref="F9:F10"/>
    <mergeCell ref="G9:H9"/>
  </mergeCells>
  <printOptions/>
  <pageMargins left="0.5701388888888889" right="0.3402777777777778" top="0.65" bottom="0.4798611111111111" header="0.5118055555555555" footer="0.5118055555555555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6.mell."/>
  <dimension ref="A1:Z63"/>
  <sheetViews>
    <sheetView view="pageBreakPreview" zoomScale="60" zoomScaleNormal="75" workbookViewId="0" topLeftCell="A1">
      <selection activeCell="P3" sqref="P3"/>
    </sheetView>
  </sheetViews>
  <sheetFormatPr defaultColWidth="9.00390625" defaultRowHeight="12.75"/>
  <cols>
    <col min="1" max="1" width="4.625" style="352" customWidth="1"/>
    <col min="2" max="2" width="5.375" style="353" customWidth="1"/>
    <col min="3" max="3" width="18.375" style="354" customWidth="1"/>
    <col min="4" max="4" width="9.125" style="354" customWidth="1"/>
    <col min="5" max="5" width="16.125" style="354" customWidth="1"/>
    <col min="6" max="6" width="13.875" style="354" customWidth="1"/>
    <col min="7" max="12" width="0" style="355" hidden="1" customWidth="1"/>
    <col min="13" max="13" width="13.125" style="355" customWidth="1"/>
    <col min="14" max="14" width="12.875" style="355" customWidth="1"/>
    <col min="15" max="15" width="12.125" style="355" customWidth="1"/>
    <col min="16" max="16" width="8.125" style="356" customWidth="1"/>
    <col min="17" max="16384" width="9.125" style="357" customWidth="1"/>
  </cols>
  <sheetData>
    <row r="1" spans="2:26" ht="15" customHeight="1">
      <c r="B1" s="353" t="s">
        <v>208</v>
      </c>
      <c r="P1" s="358"/>
      <c r="Q1" s="358"/>
      <c r="R1" s="358"/>
      <c r="S1" s="358"/>
      <c r="T1" s="92"/>
      <c r="U1" s="92"/>
      <c r="V1" s="92"/>
      <c r="W1" s="92"/>
      <c r="X1" s="92"/>
      <c r="Y1" s="92"/>
      <c r="Z1" s="92"/>
    </row>
    <row r="2" spans="16:26" ht="15" customHeight="1">
      <c r="P2" s="358" t="s">
        <v>635</v>
      </c>
      <c r="Q2" s="358"/>
      <c r="R2" s="358"/>
      <c r="S2" s="358"/>
      <c r="T2" s="92"/>
      <c r="U2" s="92"/>
      <c r="V2" s="92"/>
      <c r="W2" s="92"/>
      <c r="X2" s="92"/>
      <c r="Y2" s="92"/>
      <c r="Z2" s="92"/>
    </row>
    <row r="3" ht="10.5" customHeight="1"/>
    <row r="4" spans="1:16" s="359" customFormat="1" ht="29.25" customHeight="1">
      <c r="A4" s="765" t="s">
        <v>446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</row>
    <row r="7" spans="3:24" ht="15">
      <c r="C7" s="360"/>
      <c r="P7" s="361" t="s">
        <v>123</v>
      </c>
      <c r="Q7" s="361"/>
      <c r="R7" s="362"/>
      <c r="S7" s="362"/>
      <c r="T7" s="362"/>
      <c r="U7" s="362"/>
      <c r="V7" s="362"/>
      <c r="W7" s="362"/>
      <c r="X7" s="362"/>
    </row>
    <row r="8" spans="1:17" ht="15" customHeight="1">
      <c r="A8" s="766" t="s">
        <v>12</v>
      </c>
      <c r="B8" s="766"/>
      <c r="C8" s="766"/>
      <c r="D8" s="766"/>
      <c r="E8" s="766"/>
      <c r="F8" s="795" t="s">
        <v>13</v>
      </c>
      <c r="G8" s="795"/>
      <c r="H8" s="795"/>
      <c r="I8" s="795"/>
      <c r="J8" s="795"/>
      <c r="K8" s="795"/>
      <c r="L8" s="795"/>
      <c r="M8" s="795"/>
      <c r="N8" s="795"/>
      <c r="O8" s="795"/>
      <c r="P8" s="110" t="s">
        <v>14</v>
      </c>
      <c r="Q8" s="365"/>
    </row>
    <row r="9" spans="1:16" ht="15">
      <c r="A9" s="366"/>
      <c r="B9" s="367" t="s">
        <v>410</v>
      </c>
      <c r="C9" s="366"/>
      <c r="D9" s="366"/>
      <c r="E9" s="366"/>
      <c r="F9" s="368"/>
      <c r="P9" s="369"/>
    </row>
    <row r="10" spans="1:16" s="351" customFormat="1" ht="51" customHeight="1">
      <c r="A10" s="370" t="s">
        <v>411</v>
      </c>
      <c r="B10" s="371" t="s">
        <v>412</v>
      </c>
      <c r="C10" s="372"/>
      <c r="D10" s="373"/>
      <c r="E10" s="373"/>
      <c r="F10" s="511" t="s">
        <v>337</v>
      </c>
      <c r="G10" s="374" t="s">
        <v>9</v>
      </c>
      <c r="H10" s="375" t="s">
        <v>413</v>
      </c>
      <c r="I10" s="376" t="s">
        <v>3</v>
      </c>
      <c r="J10" s="377" t="s">
        <v>414</v>
      </c>
      <c r="K10" s="378" t="s">
        <v>415</v>
      </c>
      <c r="L10" s="378" t="s">
        <v>416</v>
      </c>
      <c r="M10" s="378" t="s">
        <v>338</v>
      </c>
      <c r="N10" s="378" t="s">
        <v>339</v>
      </c>
      <c r="O10" s="378" t="s">
        <v>340</v>
      </c>
      <c r="P10" s="379" t="s">
        <v>11</v>
      </c>
    </row>
    <row r="11" spans="1:16" s="351" customFormat="1" ht="30" customHeight="1" hidden="1">
      <c r="A11" s="370"/>
      <c r="B11" s="371"/>
      <c r="C11" s="372"/>
      <c r="D11" s="373"/>
      <c r="E11" s="373"/>
      <c r="F11" s="380" t="s">
        <v>417</v>
      </c>
      <c r="G11" s="381"/>
      <c r="H11" s="381"/>
      <c r="I11" s="381"/>
      <c r="J11" s="381"/>
      <c r="K11" s="381"/>
      <c r="L11" s="381"/>
      <c r="M11" s="381"/>
      <c r="N11" s="381"/>
      <c r="O11" s="381"/>
      <c r="P11" s="382"/>
    </row>
    <row r="12" spans="2:17" ht="12.75" customHeight="1">
      <c r="B12" s="383" t="s">
        <v>328</v>
      </c>
      <c r="C12" s="384" t="s">
        <v>247</v>
      </c>
      <c r="F12" s="385">
        <v>125496</v>
      </c>
      <c r="G12" s="355">
        <v>0</v>
      </c>
      <c r="H12" s="355">
        <f>F12+G12</f>
        <v>125496</v>
      </c>
      <c r="I12" s="355">
        <v>7671</v>
      </c>
      <c r="J12" s="355">
        <v>0</v>
      </c>
      <c r="K12" s="355">
        <v>68271</v>
      </c>
      <c r="L12" s="355">
        <v>77690</v>
      </c>
      <c r="M12" s="355">
        <v>129010</v>
      </c>
      <c r="N12" s="355">
        <v>132622</v>
      </c>
      <c r="O12" s="355">
        <v>136335</v>
      </c>
      <c r="P12" s="356" t="s">
        <v>16</v>
      </c>
      <c r="Q12" s="355"/>
    </row>
    <row r="13" spans="2:17" ht="14.25">
      <c r="B13" s="383" t="s">
        <v>418</v>
      </c>
      <c r="C13" s="384" t="s">
        <v>419</v>
      </c>
      <c r="F13" s="385">
        <v>775876</v>
      </c>
      <c r="G13" s="355">
        <v>0</v>
      </c>
      <c r="H13" s="355">
        <f>F13+G13</f>
        <v>775876</v>
      </c>
      <c r="I13" s="355">
        <v>39125</v>
      </c>
      <c r="J13" s="355">
        <v>0</v>
      </c>
      <c r="K13" s="355">
        <v>778125</v>
      </c>
      <c r="L13" s="355">
        <v>0</v>
      </c>
      <c r="M13" s="355">
        <v>787840</v>
      </c>
      <c r="N13" s="355">
        <v>801927</v>
      </c>
      <c r="O13" s="355">
        <v>816202</v>
      </c>
      <c r="P13" s="356" t="s">
        <v>170</v>
      </c>
      <c r="Q13" s="355"/>
    </row>
    <row r="14" spans="1:17" s="351" customFormat="1" ht="15">
      <c r="A14" s="386" t="s">
        <v>158</v>
      </c>
      <c r="B14" s="387" t="s">
        <v>420</v>
      </c>
      <c r="C14" s="388"/>
      <c r="D14" s="389"/>
      <c r="E14" s="389"/>
      <c r="F14" s="390">
        <f>SUM(F12:F13)</f>
        <v>901372</v>
      </c>
      <c r="G14" s="390">
        <f aca="true" t="shared" si="0" ref="G14:O14">SUM(G12:G13)</f>
        <v>0</v>
      </c>
      <c r="H14" s="390">
        <f t="shared" si="0"/>
        <v>901372</v>
      </c>
      <c r="I14" s="390">
        <f t="shared" si="0"/>
        <v>46796</v>
      </c>
      <c r="J14" s="390">
        <f t="shared" si="0"/>
        <v>0</v>
      </c>
      <c r="K14" s="390">
        <f t="shared" si="0"/>
        <v>846396</v>
      </c>
      <c r="L14" s="390">
        <f t="shared" si="0"/>
        <v>77690</v>
      </c>
      <c r="M14" s="390">
        <f t="shared" si="0"/>
        <v>916850</v>
      </c>
      <c r="N14" s="390">
        <f t="shared" si="0"/>
        <v>934549</v>
      </c>
      <c r="O14" s="390">
        <f t="shared" si="0"/>
        <v>952537</v>
      </c>
      <c r="P14" s="392"/>
      <c r="Q14" s="355"/>
    </row>
    <row r="15" spans="1:17" s="351" customFormat="1" ht="15">
      <c r="A15" s="386" t="s">
        <v>191</v>
      </c>
      <c r="B15" s="387" t="s">
        <v>192</v>
      </c>
      <c r="C15" s="388"/>
      <c r="D15" s="389"/>
      <c r="E15" s="389"/>
      <c r="F15" s="390">
        <v>606448</v>
      </c>
      <c r="G15" s="381">
        <v>22406</v>
      </c>
      <c r="H15" s="381">
        <v>800954</v>
      </c>
      <c r="I15" s="381">
        <v>25224</v>
      </c>
      <c r="J15" s="381">
        <v>0</v>
      </c>
      <c r="K15" s="381">
        <v>826178</v>
      </c>
      <c r="L15" s="381">
        <v>0</v>
      </c>
      <c r="M15" s="381">
        <v>606448</v>
      </c>
      <c r="N15" s="381">
        <v>606448</v>
      </c>
      <c r="O15" s="381">
        <v>606448</v>
      </c>
      <c r="P15" s="393" t="s">
        <v>261</v>
      </c>
      <c r="Q15" s="355"/>
    </row>
    <row r="16" spans="1:17" s="351" customFormat="1" ht="15">
      <c r="A16" s="394" t="s">
        <v>421</v>
      </c>
      <c r="B16" s="395" t="s">
        <v>226</v>
      </c>
      <c r="C16" s="396"/>
      <c r="D16" s="397"/>
      <c r="E16" s="397"/>
      <c r="F16" s="390">
        <v>225828</v>
      </c>
      <c r="G16" s="391">
        <v>0</v>
      </c>
      <c r="H16" s="391">
        <f>F16+G16</f>
        <v>225828</v>
      </c>
      <c r="I16" s="391">
        <v>84700</v>
      </c>
      <c r="J16" s="391">
        <v>0</v>
      </c>
      <c r="K16" s="391">
        <v>69561</v>
      </c>
      <c r="L16" s="391">
        <v>101700</v>
      </c>
      <c r="M16" s="391">
        <v>74272</v>
      </c>
      <c r="N16" s="391">
        <v>74272</v>
      </c>
      <c r="O16" s="391">
        <v>74272</v>
      </c>
      <c r="P16" s="393" t="s">
        <v>262</v>
      </c>
      <c r="Q16" s="355"/>
    </row>
    <row r="17" spans="1:17" s="351" customFormat="1" ht="15">
      <c r="A17" s="370" t="s">
        <v>232</v>
      </c>
      <c r="B17" s="398" t="s">
        <v>263</v>
      </c>
      <c r="C17" s="399"/>
      <c r="D17" s="373"/>
      <c r="E17" s="373"/>
      <c r="F17" s="400"/>
      <c r="G17" s="381"/>
      <c r="H17" s="355"/>
      <c r="I17" s="381"/>
      <c r="J17" s="381"/>
      <c r="K17" s="381"/>
      <c r="L17" s="381"/>
      <c r="M17" s="381"/>
      <c r="N17" s="381"/>
      <c r="O17" s="381"/>
      <c r="P17" s="382"/>
      <c r="Q17" s="355"/>
    </row>
    <row r="18" spans="2:17" ht="14.25">
      <c r="B18" s="383" t="s">
        <v>156</v>
      </c>
      <c r="C18" s="401" t="s">
        <v>105</v>
      </c>
      <c r="F18" s="402">
        <v>84760</v>
      </c>
      <c r="G18" s="355">
        <v>70265</v>
      </c>
      <c r="H18" s="355">
        <v>277818</v>
      </c>
      <c r="I18" s="355">
        <v>108579</v>
      </c>
      <c r="J18" s="355">
        <v>0</v>
      </c>
      <c r="K18" s="355">
        <v>363662</v>
      </c>
      <c r="L18" s="355">
        <v>22735</v>
      </c>
      <c r="M18" s="355">
        <v>9818</v>
      </c>
      <c r="N18" s="355">
        <v>9818</v>
      </c>
      <c r="O18" s="355">
        <v>9818</v>
      </c>
      <c r="P18" s="356" t="s">
        <v>23</v>
      </c>
      <c r="Q18" s="355"/>
    </row>
    <row r="19" spans="2:17" ht="14.25">
      <c r="B19" s="383" t="s">
        <v>161</v>
      </c>
      <c r="C19" s="401" t="s">
        <v>108</v>
      </c>
      <c r="F19" s="402">
        <v>282582</v>
      </c>
      <c r="M19" s="355">
        <v>0</v>
      </c>
      <c r="N19" s="355">
        <v>0</v>
      </c>
      <c r="O19" s="355">
        <v>0</v>
      </c>
      <c r="P19" s="356" t="s">
        <v>107</v>
      </c>
      <c r="Q19" s="355"/>
    </row>
    <row r="20" spans="1:17" s="351" customFormat="1" ht="15">
      <c r="A20" s="386" t="s">
        <v>232</v>
      </c>
      <c r="B20" s="387" t="s">
        <v>422</v>
      </c>
      <c r="C20" s="388"/>
      <c r="D20" s="389"/>
      <c r="E20" s="389"/>
      <c r="F20" s="390">
        <f>SUM(F18:F19)</f>
        <v>367342</v>
      </c>
      <c r="G20" s="390">
        <f aca="true" t="shared" si="1" ref="G20:O20">SUM(G18:G19)</f>
        <v>70265</v>
      </c>
      <c r="H20" s="390">
        <f t="shared" si="1"/>
        <v>277818</v>
      </c>
      <c r="I20" s="390">
        <f t="shared" si="1"/>
        <v>108579</v>
      </c>
      <c r="J20" s="390">
        <f t="shared" si="1"/>
        <v>0</v>
      </c>
      <c r="K20" s="390">
        <f t="shared" si="1"/>
        <v>363662</v>
      </c>
      <c r="L20" s="390">
        <f t="shared" si="1"/>
        <v>22735</v>
      </c>
      <c r="M20" s="390">
        <f t="shared" si="1"/>
        <v>9818</v>
      </c>
      <c r="N20" s="390">
        <f t="shared" si="1"/>
        <v>9818</v>
      </c>
      <c r="O20" s="390">
        <f t="shared" si="1"/>
        <v>9818</v>
      </c>
      <c r="P20" s="392"/>
      <c r="Q20" s="355"/>
    </row>
    <row r="21" spans="1:17" ht="15">
      <c r="A21" s="370" t="s">
        <v>235</v>
      </c>
      <c r="B21" s="398" t="s">
        <v>236</v>
      </c>
      <c r="C21" s="399"/>
      <c r="D21" s="373"/>
      <c r="E21" s="373"/>
      <c r="F21" s="400"/>
      <c r="Q21" s="355"/>
    </row>
    <row r="22" spans="2:17" ht="14.25">
      <c r="B22" s="383" t="s">
        <v>156</v>
      </c>
      <c r="C22" s="384" t="s">
        <v>265</v>
      </c>
      <c r="F22" s="402">
        <f>SUM('[1]címrendes bevétel'!M123)</f>
        <v>0</v>
      </c>
      <c r="G22" s="355">
        <v>0</v>
      </c>
      <c r="H22" s="355">
        <f>F22+G22</f>
        <v>0</v>
      </c>
      <c r="I22" s="355">
        <v>0</v>
      </c>
      <c r="J22" s="355">
        <v>0</v>
      </c>
      <c r="K22" s="355">
        <v>0</v>
      </c>
      <c r="L22" s="355">
        <v>0</v>
      </c>
      <c r="M22" s="355">
        <v>0</v>
      </c>
      <c r="N22" s="355">
        <v>0</v>
      </c>
      <c r="O22" s="355">
        <v>0</v>
      </c>
      <c r="P22" s="356" t="s">
        <v>238</v>
      </c>
      <c r="Q22" s="355"/>
    </row>
    <row r="23" spans="1:17" ht="15">
      <c r="A23" s="403"/>
      <c r="B23" s="404" t="s">
        <v>161</v>
      </c>
      <c r="C23" s="405" t="s">
        <v>117</v>
      </c>
      <c r="E23" s="406"/>
      <c r="F23" s="402">
        <f>SUM('[1]címrendes bevétel'!M124)</f>
        <v>500</v>
      </c>
      <c r="G23" s="355">
        <v>0</v>
      </c>
      <c r="H23" s="355">
        <f>F23+G23</f>
        <v>500</v>
      </c>
      <c r="I23" s="355">
        <v>0</v>
      </c>
      <c r="J23" s="355">
        <v>0</v>
      </c>
      <c r="K23" s="355">
        <v>500</v>
      </c>
      <c r="L23" s="355">
        <v>0</v>
      </c>
      <c r="M23" s="355">
        <v>500</v>
      </c>
      <c r="N23" s="355">
        <v>500</v>
      </c>
      <c r="O23" s="355">
        <v>500</v>
      </c>
      <c r="P23" s="356" t="s">
        <v>116</v>
      </c>
      <c r="Q23" s="355"/>
    </row>
    <row r="24" spans="1:17" s="351" customFormat="1" ht="15">
      <c r="A24" s="386" t="s">
        <v>235</v>
      </c>
      <c r="B24" s="387" t="s">
        <v>239</v>
      </c>
      <c r="C24" s="388"/>
      <c r="D24" s="389"/>
      <c r="E24" s="389"/>
      <c r="F24" s="390">
        <f>SUM(F22:F23)</f>
        <v>500</v>
      </c>
      <c r="G24" s="390">
        <f aca="true" t="shared" si="2" ref="G24:O24">SUM(G22:G23)</f>
        <v>0</v>
      </c>
      <c r="H24" s="390">
        <f t="shared" si="2"/>
        <v>500</v>
      </c>
      <c r="I24" s="390">
        <f t="shared" si="2"/>
        <v>0</v>
      </c>
      <c r="J24" s="390">
        <f t="shared" si="2"/>
        <v>0</v>
      </c>
      <c r="K24" s="390">
        <f t="shared" si="2"/>
        <v>500</v>
      </c>
      <c r="L24" s="390">
        <f t="shared" si="2"/>
        <v>0</v>
      </c>
      <c r="M24" s="390">
        <f t="shared" si="2"/>
        <v>500</v>
      </c>
      <c r="N24" s="390">
        <f t="shared" si="2"/>
        <v>500</v>
      </c>
      <c r="O24" s="390">
        <f t="shared" si="2"/>
        <v>500</v>
      </c>
      <c r="P24" s="392"/>
      <c r="Q24" s="355"/>
    </row>
    <row r="25" spans="1:17" s="351" customFormat="1" ht="15">
      <c r="A25" s="386" t="s">
        <v>240</v>
      </c>
      <c r="B25" s="387" t="s">
        <v>423</v>
      </c>
      <c r="C25" s="388"/>
      <c r="D25" s="389"/>
      <c r="E25" s="389"/>
      <c r="F25" s="390">
        <f>SUM('[1]címrendes bevétel'!M129)</f>
        <v>3100</v>
      </c>
      <c r="G25" s="381">
        <v>0</v>
      </c>
      <c r="H25" s="381">
        <f>F25+G25</f>
        <v>3100</v>
      </c>
      <c r="I25" s="381">
        <v>0</v>
      </c>
      <c r="J25" s="381">
        <v>0</v>
      </c>
      <c r="K25" s="381">
        <v>3000</v>
      </c>
      <c r="L25" s="381">
        <v>100</v>
      </c>
      <c r="M25" s="381">
        <v>3000</v>
      </c>
      <c r="N25" s="381">
        <v>2900</v>
      </c>
      <c r="O25" s="381">
        <v>2800</v>
      </c>
      <c r="P25" s="393" t="s">
        <v>119</v>
      </c>
      <c r="Q25" s="355"/>
    </row>
    <row r="26" spans="1:17" s="351" customFormat="1" ht="15">
      <c r="A26" s="386" t="s">
        <v>208</v>
      </c>
      <c r="B26" s="387" t="s">
        <v>424</v>
      </c>
      <c r="C26" s="388"/>
      <c r="D26" s="389"/>
      <c r="E26" s="389"/>
      <c r="F26" s="390">
        <f>SUM(F14+F15+F16+F20+F24+F25)</f>
        <v>2104590</v>
      </c>
      <c r="G26" s="390">
        <f aca="true" t="shared" si="3" ref="G26:O26">SUM(G14+G15+G16+G20+G24+G25)</f>
        <v>92671</v>
      </c>
      <c r="H26" s="390">
        <f t="shared" si="3"/>
        <v>2209572</v>
      </c>
      <c r="I26" s="390">
        <f t="shared" si="3"/>
        <v>265299</v>
      </c>
      <c r="J26" s="390">
        <f t="shared" si="3"/>
        <v>0</v>
      </c>
      <c r="K26" s="390">
        <f t="shared" si="3"/>
        <v>2109297</v>
      </c>
      <c r="L26" s="390">
        <f t="shared" si="3"/>
        <v>202225</v>
      </c>
      <c r="M26" s="390">
        <f t="shared" si="3"/>
        <v>1610888</v>
      </c>
      <c r="N26" s="390">
        <f t="shared" si="3"/>
        <v>1628487</v>
      </c>
      <c r="O26" s="390">
        <f t="shared" si="3"/>
        <v>1646375</v>
      </c>
      <c r="P26" s="392"/>
      <c r="Q26" s="355"/>
    </row>
    <row r="27" spans="2:17" ht="15">
      <c r="B27" s="398"/>
      <c r="C27" s="399"/>
      <c r="F27" s="385"/>
      <c r="Q27" s="355"/>
    </row>
    <row r="28" spans="2:17" ht="15">
      <c r="B28" s="407" t="s">
        <v>425</v>
      </c>
      <c r="C28" s="399"/>
      <c r="F28" s="385"/>
      <c r="Q28" s="355"/>
    </row>
    <row r="29" spans="1:17" s="351" customFormat="1" ht="15">
      <c r="A29" s="370" t="s">
        <v>156</v>
      </c>
      <c r="B29" s="398" t="s">
        <v>29</v>
      </c>
      <c r="C29" s="399"/>
      <c r="D29" s="373"/>
      <c r="E29" s="373"/>
      <c r="F29" s="408"/>
      <c r="G29" s="381"/>
      <c r="H29" s="355"/>
      <c r="I29" s="381"/>
      <c r="J29" s="381"/>
      <c r="K29" s="381"/>
      <c r="L29" s="381"/>
      <c r="M29" s="381"/>
      <c r="N29" s="381"/>
      <c r="O29" s="381"/>
      <c r="P29" s="382"/>
      <c r="Q29" s="355"/>
    </row>
    <row r="30" spans="2:17" ht="14.25">
      <c r="B30" s="384" t="s">
        <v>194</v>
      </c>
      <c r="C30" s="405" t="s">
        <v>33</v>
      </c>
      <c r="F30" s="385">
        <v>500210</v>
      </c>
      <c r="G30" s="409">
        <v>55538</v>
      </c>
      <c r="H30" s="355">
        <v>683679</v>
      </c>
      <c r="I30" s="355">
        <v>109867</v>
      </c>
      <c r="J30" s="355">
        <v>51496</v>
      </c>
      <c r="K30" s="355">
        <v>714904</v>
      </c>
      <c r="L30" s="355">
        <v>27146</v>
      </c>
      <c r="M30" s="355">
        <v>490852</v>
      </c>
      <c r="N30" s="355">
        <v>493306</v>
      </c>
      <c r="O30" s="355">
        <v>495773</v>
      </c>
      <c r="P30" s="356" t="s">
        <v>34</v>
      </c>
      <c r="Q30" s="355"/>
    </row>
    <row r="31" spans="2:17" ht="14.25">
      <c r="B31" s="384" t="s">
        <v>209</v>
      </c>
      <c r="C31" s="410" t="s">
        <v>286</v>
      </c>
      <c r="F31" s="385">
        <v>130927</v>
      </c>
      <c r="G31" s="409">
        <v>7729</v>
      </c>
      <c r="H31" s="355">
        <v>160198</v>
      </c>
      <c r="I31" s="355">
        <v>17806</v>
      </c>
      <c r="J31" s="355">
        <v>14447</v>
      </c>
      <c r="K31" s="355">
        <v>156868</v>
      </c>
      <c r="L31" s="355">
        <v>6689</v>
      </c>
      <c r="M31" s="355">
        <f aca="true" t="shared" si="4" ref="M31:M36">F31*1.005</f>
        <v>131581.63499999998</v>
      </c>
      <c r="N31" s="355">
        <f>M31*1.005</f>
        <v>132239.54317499997</v>
      </c>
      <c r="O31" s="355">
        <f>N31*1.005</f>
        <v>132900.74089087496</v>
      </c>
      <c r="P31" s="356" t="s">
        <v>36</v>
      </c>
      <c r="Q31" s="355"/>
    </row>
    <row r="32" spans="2:17" ht="14.25">
      <c r="B32" s="384" t="s">
        <v>287</v>
      </c>
      <c r="C32" s="405" t="s">
        <v>37</v>
      </c>
      <c r="F32" s="385">
        <v>409805</v>
      </c>
      <c r="G32" s="409">
        <v>9165</v>
      </c>
      <c r="H32" s="355">
        <v>596479</v>
      </c>
      <c r="I32" s="355">
        <v>254957</v>
      </c>
      <c r="J32" s="355">
        <v>26392</v>
      </c>
      <c r="K32" s="355">
        <v>355920</v>
      </c>
      <c r="L32" s="355">
        <v>469124</v>
      </c>
      <c r="M32" s="355">
        <f t="shared" si="4"/>
        <v>411854.02499999997</v>
      </c>
      <c r="N32" s="355">
        <f aca="true" t="shared" si="5" ref="N32:O36">M32*1.005</f>
        <v>413913.29512499995</v>
      </c>
      <c r="O32" s="355">
        <f t="shared" si="5"/>
        <v>415982.8616006249</v>
      </c>
      <c r="P32" s="356" t="s">
        <v>28</v>
      </c>
      <c r="Q32" s="355"/>
    </row>
    <row r="33" spans="2:17" ht="14.25">
      <c r="B33" s="384" t="s">
        <v>426</v>
      </c>
      <c r="C33" s="405" t="s">
        <v>427</v>
      </c>
      <c r="F33" s="385">
        <v>0</v>
      </c>
      <c r="G33" s="355">
        <v>0</v>
      </c>
      <c r="H33" s="355">
        <f>F33+G33</f>
        <v>0</v>
      </c>
      <c r="I33" s="355">
        <v>0</v>
      </c>
      <c r="J33" s="355">
        <v>0</v>
      </c>
      <c r="K33" s="355">
        <v>0</v>
      </c>
      <c r="L33" s="355">
        <v>0</v>
      </c>
      <c r="M33" s="355">
        <f t="shared" si="4"/>
        <v>0</v>
      </c>
      <c r="N33" s="355">
        <f t="shared" si="5"/>
        <v>0</v>
      </c>
      <c r="O33" s="355">
        <f t="shared" si="5"/>
        <v>0</v>
      </c>
      <c r="Q33" s="355"/>
    </row>
    <row r="34" spans="2:17" ht="14.25">
      <c r="B34" s="384" t="s">
        <v>288</v>
      </c>
      <c r="C34" s="354" t="s">
        <v>289</v>
      </c>
      <c r="F34" s="385">
        <v>250955</v>
      </c>
      <c r="G34" s="355">
        <v>2487</v>
      </c>
      <c r="H34" s="355">
        <v>285371</v>
      </c>
      <c r="I34" s="355">
        <v>11975</v>
      </c>
      <c r="J34" s="355">
        <v>0</v>
      </c>
      <c r="K34" s="355">
        <v>273971</v>
      </c>
      <c r="L34" s="355">
        <v>23375</v>
      </c>
      <c r="M34" s="355">
        <f t="shared" si="4"/>
        <v>252209.77499999997</v>
      </c>
      <c r="N34" s="355">
        <f t="shared" si="5"/>
        <v>253470.82387499994</v>
      </c>
      <c r="O34" s="355">
        <f t="shared" si="5"/>
        <v>254738.1779943749</v>
      </c>
      <c r="P34" s="356" t="s">
        <v>84</v>
      </c>
      <c r="Q34" s="355"/>
    </row>
    <row r="35" spans="2:17" ht="14.25">
      <c r="B35" s="384" t="s">
        <v>290</v>
      </c>
      <c r="C35" s="405" t="s">
        <v>428</v>
      </c>
      <c r="F35" s="385">
        <v>275938</v>
      </c>
      <c r="G35" s="355">
        <v>0</v>
      </c>
      <c r="H35" s="355">
        <v>302222</v>
      </c>
      <c r="I35" s="355">
        <v>49298</v>
      </c>
      <c r="J35" s="355">
        <v>0</v>
      </c>
      <c r="K35" s="355">
        <v>213050</v>
      </c>
      <c r="L35" s="355">
        <v>138470</v>
      </c>
      <c r="M35" s="355">
        <f t="shared" si="4"/>
        <v>277317.68999999994</v>
      </c>
      <c r="N35" s="355">
        <f t="shared" si="5"/>
        <v>278704.2784499999</v>
      </c>
      <c r="O35" s="355">
        <f t="shared" si="5"/>
        <v>280097.7998422499</v>
      </c>
      <c r="P35" s="356" t="s">
        <v>67</v>
      </c>
      <c r="Q35" s="355"/>
    </row>
    <row r="36" spans="2:17" ht="14.25">
      <c r="B36" s="384" t="s">
        <v>291</v>
      </c>
      <c r="C36" s="405" t="s">
        <v>292</v>
      </c>
      <c r="F36" s="385">
        <v>64607</v>
      </c>
      <c r="G36" s="355">
        <v>16925</v>
      </c>
      <c r="H36" s="355">
        <v>84283</v>
      </c>
      <c r="I36" s="355">
        <v>19408</v>
      </c>
      <c r="J36" s="355">
        <v>0</v>
      </c>
      <c r="K36" s="355">
        <v>56983</v>
      </c>
      <c r="L36" s="355">
        <v>46708</v>
      </c>
      <c r="M36" s="355">
        <f t="shared" si="4"/>
        <v>64930.034999999996</v>
      </c>
      <c r="N36" s="355">
        <f t="shared" si="5"/>
        <v>65254.68517499999</v>
      </c>
      <c r="O36" s="355">
        <f t="shared" si="5"/>
        <v>65580.95860087499</v>
      </c>
      <c r="P36" s="356" t="s">
        <v>31</v>
      </c>
      <c r="Q36" s="355"/>
    </row>
    <row r="37" spans="2:17" ht="14.25">
      <c r="B37" s="384" t="s">
        <v>293</v>
      </c>
      <c r="C37" s="405" t="s">
        <v>294</v>
      </c>
      <c r="F37" s="385">
        <v>5000</v>
      </c>
      <c r="G37" s="355">
        <v>0</v>
      </c>
      <c r="H37" s="355">
        <f>F37+G37</f>
        <v>5000</v>
      </c>
      <c r="I37" s="355">
        <v>0</v>
      </c>
      <c r="J37" s="355">
        <v>0</v>
      </c>
      <c r="K37" s="355">
        <v>10000</v>
      </c>
      <c r="L37" s="355">
        <v>0</v>
      </c>
      <c r="M37" s="355">
        <v>4871</v>
      </c>
      <c r="N37" s="355">
        <v>4350</v>
      </c>
      <c r="O37" s="355">
        <v>3719</v>
      </c>
      <c r="P37" s="356" t="s">
        <v>91</v>
      </c>
      <c r="Q37" s="355"/>
    </row>
    <row r="38" spans="2:17" ht="14.25">
      <c r="B38" s="384" t="s">
        <v>295</v>
      </c>
      <c r="C38" s="405" t="s">
        <v>296</v>
      </c>
      <c r="F38" s="385">
        <v>0</v>
      </c>
      <c r="M38" s="355">
        <v>0</v>
      </c>
      <c r="N38" s="355">
        <v>0</v>
      </c>
      <c r="O38" s="355">
        <v>0</v>
      </c>
      <c r="P38" s="356" t="s">
        <v>297</v>
      </c>
      <c r="Q38" s="355"/>
    </row>
    <row r="39" spans="1:17" s="351" customFormat="1" ht="15">
      <c r="A39" s="386" t="s">
        <v>156</v>
      </c>
      <c r="B39" s="387" t="s">
        <v>299</v>
      </c>
      <c r="C39" s="411"/>
      <c r="D39" s="389"/>
      <c r="E39" s="389"/>
      <c r="F39" s="390">
        <f>SUM(F30:F38)</f>
        <v>1637442</v>
      </c>
      <c r="G39" s="390">
        <f aca="true" t="shared" si="6" ref="G39:O39">SUM(G30:G38)</f>
        <v>91844</v>
      </c>
      <c r="H39" s="390">
        <f t="shared" si="6"/>
        <v>2117232</v>
      </c>
      <c r="I39" s="390">
        <f t="shared" si="6"/>
        <v>463311</v>
      </c>
      <c r="J39" s="390">
        <f t="shared" si="6"/>
        <v>92335</v>
      </c>
      <c r="K39" s="390">
        <f t="shared" si="6"/>
        <v>1781696</v>
      </c>
      <c r="L39" s="390">
        <f t="shared" si="6"/>
        <v>711512</v>
      </c>
      <c r="M39" s="390">
        <f t="shared" si="6"/>
        <v>1633616.1599999997</v>
      </c>
      <c r="N39" s="390">
        <f t="shared" si="6"/>
        <v>1641238.6257999998</v>
      </c>
      <c r="O39" s="390">
        <f t="shared" si="6"/>
        <v>1648792.5389289996</v>
      </c>
      <c r="P39" s="392"/>
      <c r="Q39" s="355"/>
    </row>
    <row r="40" spans="1:17" ht="15">
      <c r="A40" s="370" t="s">
        <v>161</v>
      </c>
      <c r="B40" s="398" t="s">
        <v>302</v>
      </c>
      <c r="C40" s="405"/>
      <c r="F40" s="385"/>
      <c r="Q40" s="355"/>
    </row>
    <row r="41" spans="2:17" ht="14.25">
      <c r="B41" s="384" t="s">
        <v>303</v>
      </c>
      <c r="C41" s="405" t="s">
        <v>304</v>
      </c>
      <c r="F41" s="385">
        <v>314982</v>
      </c>
      <c r="G41" s="355">
        <v>0</v>
      </c>
      <c r="H41" s="355">
        <v>935252</v>
      </c>
      <c r="I41" s="355">
        <v>1307952</v>
      </c>
      <c r="J41" s="355">
        <v>0</v>
      </c>
      <c r="K41" s="355">
        <v>531848</v>
      </c>
      <c r="L41" s="355">
        <v>1711356</v>
      </c>
      <c r="M41" s="355">
        <v>5000</v>
      </c>
      <c r="N41" s="355">
        <v>5000</v>
      </c>
      <c r="O41" s="355">
        <v>5000</v>
      </c>
      <c r="P41" s="356" t="s">
        <v>306</v>
      </c>
      <c r="Q41" s="355"/>
    </row>
    <row r="42" spans="2:17" ht="14.25">
      <c r="B42" s="384" t="s">
        <v>163</v>
      </c>
      <c r="C42" s="405" t="s">
        <v>309</v>
      </c>
      <c r="F42" s="385">
        <v>102705</v>
      </c>
      <c r="G42" s="355">
        <v>0</v>
      </c>
      <c r="H42" s="355">
        <v>1320</v>
      </c>
      <c r="I42" s="355">
        <v>110643</v>
      </c>
      <c r="J42" s="355">
        <v>0</v>
      </c>
      <c r="K42" s="355">
        <v>1320</v>
      </c>
      <c r="L42" s="355">
        <v>110643</v>
      </c>
      <c r="M42" s="355">
        <v>0</v>
      </c>
      <c r="N42" s="355">
        <v>0</v>
      </c>
      <c r="O42" s="355">
        <v>0</v>
      </c>
      <c r="P42" s="356" t="s">
        <v>311</v>
      </c>
      <c r="Q42" s="355"/>
    </row>
    <row r="43" spans="2:17" ht="14.25">
      <c r="B43" s="384" t="s">
        <v>174</v>
      </c>
      <c r="C43" s="405" t="s">
        <v>429</v>
      </c>
      <c r="F43" s="385">
        <v>0</v>
      </c>
      <c r="G43" s="355">
        <v>0</v>
      </c>
      <c r="H43" s="355">
        <v>3342</v>
      </c>
      <c r="I43" s="355">
        <v>3101</v>
      </c>
      <c r="J43" s="355">
        <v>0</v>
      </c>
      <c r="K43" s="355">
        <v>0</v>
      </c>
      <c r="L43" s="355">
        <v>6443</v>
      </c>
      <c r="M43" s="355">
        <v>0</v>
      </c>
      <c r="N43" s="355">
        <v>0</v>
      </c>
      <c r="O43" s="355">
        <v>0</v>
      </c>
      <c r="P43" s="356" t="s">
        <v>314</v>
      </c>
      <c r="Q43" s="355"/>
    </row>
    <row r="44" spans="2:17" ht="14.25">
      <c r="B44" s="384" t="s">
        <v>178</v>
      </c>
      <c r="C44" s="405" t="s">
        <v>430</v>
      </c>
      <c r="F44" s="385">
        <f>SUM('[1]címrendes kiadás'!M169)</f>
        <v>0</v>
      </c>
      <c r="G44" s="355">
        <v>19</v>
      </c>
      <c r="H44" s="355">
        <v>3713</v>
      </c>
      <c r="I44" s="355">
        <v>14659</v>
      </c>
      <c r="J44" s="355">
        <v>0</v>
      </c>
      <c r="K44" s="355">
        <v>32</v>
      </c>
      <c r="L44" s="355">
        <v>18340</v>
      </c>
      <c r="M44" s="355">
        <v>0</v>
      </c>
      <c r="N44" s="355">
        <v>0</v>
      </c>
      <c r="O44" s="355">
        <v>0</v>
      </c>
      <c r="P44" s="356" t="s">
        <v>314</v>
      </c>
      <c r="Q44" s="355"/>
    </row>
    <row r="45" spans="2:17" ht="14.25">
      <c r="B45" s="384" t="s">
        <v>318</v>
      </c>
      <c r="C45" s="405" t="s">
        <v>319</v>
      </c>
      <c r="F45" s="385">
        <f>SUM('[1]címrendes kiadás'!M170)</f>
        <v>0</v>
      </c>
      <c r="G45" s="355">
        <v>0</v>
      </c>
      <c r="H45" s="355">
        <v>45963</v>
      </c>
      <c r="I45" s="355">
        <v>-963</v>
      </c>
      <c r="J45" s="355">
        <v>0</v>
      </c>
      <c r="K45" s="355">
        <v>0</v>
      </c>
      <c r="L45" s="355">
        <v>45000</v>
      </c>
      <c r="M45" s="355">
        <v>0</v>
      </c>
      <c r="N45" s="355">
        <v>0</v>
      </c>
      <c r="O45" s="355">
        <v>0</v>
      </c>
      <c r="P45" s="356" t="s">
        <v>325</v>
      </c>
      <c r="Q45" s="355"/>
    </row>
    <row r="46" spans="2:17" ht="14.25">
      <c r="B46" s="353" t="s">
        <v>322</v>
      </c>
      <c r="C46" s="405" t="s">
        <v>323</v>
      </c>
      <c r="F46" s="385">
        <v>87187</v>
      </c>
      <c r="G46" s="355">
        <v>0</v>
      </c>
      <c r="H46" s="355">
        <v>1280973</v>
      </c>
      <c r="I46" s="355">
        <v>-717565</v>
      </c>
      <c r="J46" s="355">
        <v>0</v>
      </c>
      <c r="K46" s="355">
        <v>0</v>
      </c>
      <c r="L46" s="355">
        <v>563408</v>
      </c>
      <c r="M46" s="355">
        <v>0</v>
      </c>
      <c r="N46" s="355">
        <v>0</v>
      </c>
      <c r="O46" s="355">
        <v>0</v>
      </c>
      <c r="P46" s="356" t="s">
        <v>297</v>
      </c>
      <c r="Q46" s="355"/>
    </row>
    <row r="47" spans="1:17" s="351" customFormat="1" ht="15">
      <c r="A47" s="386" t="s">
        <v>161</v>
      </c>
      <c r="B47" s="387" t="s">
        <v>431</v>
      </c>
      <c r="C47" s="411"/>
      <c r="D47" s="389"/>
      <c r="E47" s="389"/>
      <c r="F47" s="390">
        <f aca="true" t="shared" si="7" ref="F47:O47">SUM(F41:F46)</f>
        <v>504874</v>
      </c>
      <c r="G47" s="390">
        <f t="shared" si="7"/>
        <v>19</v>
      </c>
      <c r="H47" s="390">
        <f t="shared" si="7"/>
        <v>2270563</v>
      </c>
      <c r="I47" s="390">
        <f t="shared" si="7"/>
        <v>717827</v>
      </c>
      <c r="J47" s="390">
        <f t="shared" si="7"/>
        <v>0</v>
      </c>
      <c r="K47" s="390">
        <f t="shared" si="7"/>
        <v>533200</v>
      </c>
      <c r="L47" s="390">
        <f t="shared" si="7"/>
        <v>2455190</v>
      </c>
      <c r="M47" s="390">
        <f t="shared" si="7"/>
        <v>5000</v>
      </c>
      <c r="N47" s="390">
        <f t="shared" si="7"/>
        <v>5000</v>
      </c>
      <c r="O47" s="390">
        <f t="shared" si="7"/>
        <v>5000</v>
      </c>
      <c r="P47" s="392"/>
      <c r="Q47" s="355"/>
    </row>
    <row r="48" spans="1:17" s="351" customFormat="1" ht="15">
      <c r="A48" s="386"/>
      <c r="B48" s="387" t="s">
        <v>432</v>
      </c>
      <c r="C48" s="411"/>
      <c r="D48" s="389"/>
      <c r="E48" s="389"/>
      <c r="F48" s="390">
        <f>SUM(F39+F47)</f>
        <v>2142316</v>
      </c>
      <c r="G48" s="390">
        <f aca="true" t="shared" si="8" ref="G48:O48">SUM(G39+G47)</f>
        <v>91863</v>
      </c>
      <c r="H48" s="390">
        <f t="shared" si="8"/>
        <v>4387795</v>
      </c>
      <c r="I48" s="390">
        <f t="shared" si="8"/>
        <v>1181138</v>
      </c>
      <c r="J48" s="390">
        <f t="shared" si="8"/>
        <v>92335</v>
      </c>
      <c r="K48" s="390">
        <f t="shared" si="8"/>
        <v>2314896</v>
      </c>
      <c r="L48" s="390">
        <f t="shared" si="8"/>
        <v>3166702</v>
      </c>
      <c r="M48" s="390">
        <f t="shared" si="8"/>
        <v>1638616.1599999997</v>
      </c>
      <c r="N48" s="390">
        <f t="shared" si="8"/>
        <v>1646238.6257999998</v>
      </c>
      <c r="O48" s="390">
        <f t="shared" si="8"/>
        <v>1653792.5389289996</v>
      </c>
      <c r="P48" s="392"/>
      <c r="Q48" s="355"/>
    </row>
    <row r="49" spans="3:17" ht="14.25">
      <c r="C49" s="412"/>
      <c r="F49" s="385"/>
      <c r="Q49" s="355"/>
    </row>
    <row r="50" spans="1:17" s="351" customFormat="1" ht="15">
      <c r="A50" s="403"/>
      <c r="B50" s="398" t="s">
        <v>397</v>
      </c>
      <c r="C50" s="371"/>
      <c r="D50" s="406"/>
      <c r="E50" s="406"/>
      <c r="F50" s="406"/>
      <c r="G50" s="381"/>
      <c r="H50" s="355"/>
      <c r="I50" s="381"/>
      <c r="J50" s="381"/>
      <c r="K50" s="381"/>
      <c r="L50" s="381"/>
      <c r="M50" s="381"/>
      <c r="N50" s="381"/>
      <c r="O50" s="381"/>
      <c r="P50" s="382"/>
      <c r="Q50" s="355"/>
    </row>
    <row r="51" spans="1:17" s="351" customFormat="1" ht="15">
      <c r="A51" s="403" t="s">
        <v>270</v>
      </c>
      <c r="B51" s="398" t="s">
        <v>433</v>
      </c>
      <c r="C51" s="371"/>
      <c r="D51" s="406"/>
      <c r="E51" s="406"/>
      <c r="F51" s="406"/>
      <c r="G51" s="381"/>
      <c r="H51" s="355"/>
      <c r="I51" s="381"/>
      <c r="J51" s="381"/>
      <c r="K51" s="381"/>
      <c r="L51" s="381"/>
      <c r="M51" s="381"/>
      <c r="N51" s="381"/>
      <c r="O51" s="381"/>
      <c r="P51" s="382"/>
      <c r="Q51" s="355"/>
    </row>
    <row r="52" spans="1:17" ht="14.25">
      <c r="A52" s="413"/>
      <c r="B52" s="384" t="s">
        <v>156</v>
      </c>
      <c r="C52" s="414" t="s">
        <v>272</v>
      </c>
      <c r="D52" s="401"/>
      <c r="E52" s="401"/>
      <c r="F52" s="402">
        <f>SUM('[1]címrendes bevétel'!M136)</f>
        <v>0</v>
      </c>
      <c r="G52" s="355">
        <v>0</v>
      </c>
      <c r="H52" s="355">
        <f>F52+G52</f>
        <v>0</v>
      </c>
      <c r="I52" s="355">
        <v>0</v>
      </c>
      <c r="J52" s="355">
        <v>0</v>
      </c>
      <c r="K52" s="355">
        <v>0</v>
      </c>
      <c r="L52" s="355">
        <v>0</v>
      </c>
      <c r="M52" s="355">
        <v>0</v>
      </c>
      <c r="N52" s="355">
        <v>0</v>
      </c>
      <c r="O52" s="355">
        <v>0</v>
      </c>
      <c r="P52" s="356" t="s">
        <v>119</v>
      </c>
      <c r="Q52" s="355"/>
    </row>
    <row r="53" spans="1:17" ht="14.25">
      <c r="A53" s="415"/>
      <c r="B53" s="416" t="s">
        <v>161</v>
      </c>
      <c r="C53" s="417" t="s">
        <v>273</v>
      </c>
      <c r="D53" s="418"/>
      <c r="E53" s="418"/>
      <c r="F53" s="419">
        <v>42091</v>
      </c>
      <c r="G53" s="355">
        <v>0</v>
      </c>
      <c r="H53" s="355">
        <f>F53+G53</f>
        <v>42091</v>
      </c>
      <c r="I53" s="355">
        <v>0</v>
      </c>
      <c r="J53" s="355">
        <v>0</v>
      </c>
      <c r="K53" s="355">
        <v>0</v>
      </c>
      <c r="L53" s="355">
        <v>134035</v>
      </c>
      <c r="M53" s="355">
        <v>0</v>
      </c>
      <c r="N53" s="355">
        <v>0</v>
      </c>
      <c r="O53" s="355">
        <v>0</v>
      </c>
      <c r="P53" s="356" t="s">
        <v>119</v>
      </c>
      <c r="Q53" s="355"/>
    </row>
    <row r="54" spans="1:17" s="351" customFormat="1" ht="15">
      <c r="A54" s="403"/>
      <c r="B54" s="398" t="s">
        <v>275</v>
      </c>
      <c r="C54" s="371"/>
      <c r="D54" s="406"/>
      <c r="E54" s="406"/>
      <c r="F54" s="420">
        <f>SUM(F52:F53)</f>
        <v>42091</v>
      </c>
      <c r="G54" s="420">
        <f aca="true" t="shared" si="9" ref="G54:O54">SUM(G52:G53)</f>
        <v>0</v>
      </c>
      <c r="H54" s="420">
        <f t="shared" si="9"/>
        <v>42091</v>
      </c>
      <c r="I54" s="420">
        <f t="shared" si="9"/>
        <v>0</v>
      </c>
      <c r="J54" s="420">
        <f t="shared" si="9"/>
        <v>0</v>
      </c>
      <c r="K54" s="420">
        <f t="shared" si="9"/>
        <v>0</v>
      </c>
      <c r="L54" s="420">
        <f t="shared" si="9"/>
        <v>134035</v>
      </c>
      <c r="M54" s="390">
        <f t="shared" si="9"/>
        <v>0</v>
      </c>
      <c r="N54" s="390">
        <f t="shared" si="9"/>
        <v>0</v>
      </c>
      <c r="O54" s="390">
        <f t="shared" si="9"/>
        <v>0</v>
      </c>
      <c r="P54" s="421" t="s">
        <v>119</v>
      </c>
      <c r="Q54" s="355"/>
    </row>
    <row r="55" spans="1:17" s="351" customFormat="1" ht="15">
      <c r="A55" s="386" t="s">
        <v>276</v>
      </c>
      <c r="B55" s="387" t="s">
        <v>277</v>
      </c>
      <c r="C55" s="388"/>
      <c r="D55" s="389"/>
      <c r="E55" s="389"/>
      <c r="F55" s="390">
        <v>0</v>
      </c>
      <c r="G55" s="381">
        <v>0</v>
      </c>
      <c r="H55" s="381">
        <v>1832297</v>
      </c>
      <c r="I55" s="381">
        <v>0</v>
      </c>
      <c r="J55" s="381">
        <v>0</v>
      </c>
      <c r="K55" s="381">
        <f>1495611+566+3769</f>
        <v>1499946</v>
      </c>
      <c r="L55" s="381">
        <f>323138+8138+1075</f>
        <v>332351</v>
      </c>
      <c r="M55" s="381">
        <v>53504</v>
      </c>
      <c r="N55" s="381">
        <v>46899</v>
      </c>
      <c r="O55" s="381">
        <v>36615</v>
      </c>
      <c r="P55" s="392"/>
      <c r="Q55" s="355"/>
    </row>
    <row r="56" spans="1:17" s="351" customFormat="1" ht="15">
      <c r="A56" s="386"/>
      <c r="B56" s="387" t="s">
        <v>282</v>
      </c>
      <c r="C56" s="422"/>
      <c r="D56" s="389"/>
      <c r="E56" s="389"/>
      <c r="F56" s="390">
        <f>SUM(F54+F55)</f>
        <v>42091</v>
      </c>
      <c r="G56" s="390">
        <f aca="true" t="shared" si="10" ref="G56:O56">SUM(G54+G55)</f>
        <v>0</v>
      </c>
      <c r="H56" s="390">
        <f t="shared" si="10"/>
        <v>1874388</v>
      </c>
      <c r="I56" s="390">
        <f t="shared" si="10"/>
        <v>0</v>
      </c>
      <c r="J56" s="390">
        <f t="shared" si="10"/>
        <v>0</v>
      </c>
      <c r="K56" s="390">
        <f t="shared" si="10"/>
        <v>1499946</v>
      </c>
      <c r="L56" s="390">
        <f t="shared" si="10"/>
        <v>466386</v>
      </c>
      <c r="M56" s="390">
        <f t="shared" si="10"/>
        <v>53504</v>
      </c>
      <c r="N56" s="390">
        <f t="shared" si="10"/>
        <v>46899</v>
      </c>
      <c r="O56" s="390">
        <f t="shared" si="10"/>
        <v>36615</v>
      </c>
      <c r="P56" s="392"/>
      <c r="Q56" s="355"/>
    </row>
    <row r="57" spans="3:17" ht="14.25">
      <c r="C57" s="412"/>
      <c r="F57" s="385"/>
      <c r="Q57" s="355"/>
    </row>
    <row r="58" spans="1:17" s="351" customFormat="1" ht="15">
      <c r="A58" s="403" t="s">
        <v>229</v>
      </c>
      <c r="B58" s="398" t="s">
        <v>434</v>
      </c>
      <c r="C58" s="371"/>
      <c r="D58" s="406"/>
      <c r="E58" s="406"/>
      <c r="F58" s="406"/>
      <c r="G58" s="381"/>
      <c r="H58" s="355"/>
      <c r="I58" s="381"/>
      <c r="J58" s="381"/>
      <c r="K58" s="381"/>
      <c r="L58" s="381"/>
      <c r="M58" s="381"/>
      <c r="N58" s="381"/>
      <c r="O58" s="381"/>
      <c r="P58" s="382"/>
      <c r="Q58" s="355"/>
    </row>
    <row r="59" spans="1:17" ht="14.25">
      <c r="A59" s="415"/>
      <c r="B59" s="423" t="s">
        <v>330</v>
      </c>
      <c r="C59" s="418" t="s">
        <v>435</v>
      </c>
      <c r="D59" s="418"/>
      <c r="E59" s="418"/>
      <c r="F59" s="419">
        <v>4365</v>
      </c>
      <c r="G59" s="355">
        <v>0</v>
      </c>
      <c r="H59" s="355">
        <f>F59+G59</f>
        <v>4365</v>
      </c>
      <c r="I59" s="355">
        <v>0</v>
      </c>
      <c r="J59" s="355">
        <v>0</v>
      </c>
      <c r="K59" s="355">
        <v>55910</v>
      </c>
      <c r="L59" s="355">
        <v>0</v>
      </c>
      <c r="M59" s="512">
        <v>15802</v>
      </c>
      <c r="N59" s="512">
        <v>19124</v>
      </c>
      <c r="O59" s="512">
        <v>19124</v>
      </c>
      <c r="P59" s="356" t="s">
        <v>333</v>
      </c>
      <c r="Q59" s="355"/>
    </row>
    <row r="60" spans="1:17" s="351" customFormat="1" ht="15">
      <c r="A60" s="394"/>
      <c r="B60" s="395" t="s">
        <v>436</v>
      </c>
      <c r="C60" s="397"/>
      <c r="D60" s="397"/>
      <c r="E60" s="397"/>
      <c r="F60" s="424">
        <f>SUM(F59:F59)</f>
        <v>4365</v>
      </c>
      <c r="G60" s="424">
        <f aca="true" t="shared" si="11" ref="G60:O60">SUM(G59:G59)</f>
        <v>0</v>
      </c>
      <c r="H60" s="424">
        <f t="shared" si="11"/>
        <v>4365</v>
      </c>
      <c r="I60" s="424">
        <f t="shared" si="11"/>
        <v>0</v>
      </c>
      <c r="J60" s="424">
        <f t="shared" si="11"/>
        <v>0</v>
      </c>
      <c r="K60" s="424">
        <f t="shared" si="11"/>
        <v>55910</v>
      </c>
      <c r="L60" s="424">
        <f t="shared" si="11"/>
        <v>0</v>
      </c>
      <c r="M60" s="424">
        <f t="shared" si="11"/>
        <v>15802</v>
      </c>
      <c r="N60" s="424">
        <f t="shared" si="11"/>
        <v>19124</v>
      </c>
      <c r="O60" s="424">
        <f t="shared" si="11"/>
        <v>19124</v>
      </c>
      <c r="P60" s="392" t="s">
        <v>333</v>
      </c>
      <c r="Q60" s="355"/>
    </row>
    <row r="61" spans="1:17" s="351" customFormat="1" ht="15">
      <c r="A61" s="394"/>
      <c r="B61" s="395"/>
      <c r="C61" s="397"/>
      <c r="D61" s="397"/>
      <c r="E61" s="397"/>
      <c r="F61" s="424"/>
      <c r="G61" s="381"/>
      <c r="H61" s="425"/>
      <c r="I61" s="381"/>
      <c r="J61" s="381"/>
      <c r="K61" s="381"/>
      <c r="L61" s="381"/>
      <c r="M61" s="391"/>
      <c r="N61" s="391"/>
      <c r="O61" s="391"/>
      <c r="P61" s="382"/>
      <c r="Q61" s="355"/>
    </row>
    <row r="62" spans="1:17" s="351" customFormat="1" ht="15">
      <c r="A62" s="394"/>
      <c r="B62" s="395" t="s">
        <v>283</v>
      </c>
      <c r="C62" s="397"/>
      <c r="D62" s="397"/>
      <c r="E62" s="397"/>
      <c r="F62" s="424">
        <f>SUM(F56+F26)</f>
        <v>2146681</v>
      </c>
      <c r="G62" s="424">
        <f aca="true" t="shared" si="12" ref="G62:O62">SUM(G56+G26)</f>
        <v>92671</v>
      </c>
      <c r="H62" s="424">
        <f t="shared" si="12"/>
        <v>4083960</v>
      </c>
      <c r="I62" s="424">
        <f t="shared" si="12"/>
        <v>265299</v>
      </c>
      <c r="J62" s="424">
        <f t="shared" si="12"/>
        <v>0</v>
      </c>
      <c r="K62" s="424">
        <f t="shared" si="12"/>
        <v>3609243</v>
      </c>
      <c r="L62" s="424">
        <f t="shared" si="12"/>
        <v>668611</v>
      </c>
      <c r="M62" s="424">
        <f t="shared" si="12"/>
        <v>1664392</v>
      </c>
      <c r="N62" s="424">
        <f t="shared" si="12"/>
        <v>1675386</v>
      </c>
      <c r="O62" s="424">
        <f t="shared" si="12"/>
        <v>1682990</v>
      </c>
      <c r="P62" s="392"/>
      <c r="Q62" s="355"/>
    </row>
    <row r="63" spans="1:17" s="351" customFormat="1" ht="15">
      <c r="A63" s="386"/>
      <c r="B63" s="387" t="s">
        <v>408</v>
      </c>
      <c r="C63" s="389"/>
      <c r="D63" s="389"/>
      <c r="E63" s="389"/>
      <c r="F63" s="390">
        <f>SUM(F60+F48)</f>
        <v>2146681</v>
      </c>
      <c r="G63" s="390">
        <f aca="true" t="shared" si="13" ref="G63:O63">SUM(G60+G48)</f>
        <v>91863</v>
      </c>
      <c r="H63" s="390">
        <f t="shared" si="13"/>
        <v>4392160</v>
      </c>
      <c r="I63" s="390">
        <f t="shared" si="13"/>
        <v>1181138</v>
      </c>
      <c r="J63" s="390">
        <f t="shared" si="13"/>
        <v>92335</v>
      </c>
      <c r="K63" s="390">
        <f t="shared" si="13"/>
        <v>2370806</v>
      </c>
      <c r="L63" s="390">
        <f t="shared" si="13"/>
        <v>3166702</v>
      </c>
      <c r="M63" s="390">
        <f t="shared" si="13"/>
        <v>1654418.1599999997</v>
      </c>
      <c r="N63" s="390">
        <f t="shared" si="13"/>
        <v>1665362.6257999998</v>
      </c>
      <c r="O63" s="390">
        <f t="shared" si="13"/>
        <v>1672916.5389289996</v>
      </c>
      <c r="P63" s="392"/>
      <c r="Q63" s="355"/>
    </row>
  </sheetData>
  <sheetProtection selectLockedCells="1" selectUnlockedCells="1"/>
  <mergeCells count="3">
    <mergeCell ref="A4:P4"/>
    <mergeCell ref="A8:E8"/>
    <mergeCell ref="F8:O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1:S36"/>
  <sheetViews>
    <sheetView view="pageBreakPreview" zoomScale="75" zoomScaleNormal="75" zoomScaleSheetLayoutView="75" workbookViewId="0" topLeftCell="A1">
      <selection activeCell="E10" sqref="E10"/>
    </sheetView>
  </sheetViews>
  <sheetFormatPr defaultColWidth="9.00390625" defaultRowHeight="12.75"/>
  <cols>
    <col min="1" max="1" width="8.375" style="513" customWidth="1"/>
    <col min="2" max="2" width="37.25390625" style="513" customWidth="1"/>
    <col min="3" max="3" width="16.375" style="513" customWidth="1"/>
    <col min="4" max="4" width="13.375" style="513" customWidth="1"/>
    <col min="5" max="5" width="13.25390625" style="513" customWidth="1"/>
    <col min="6" max="6" width="12.25390625" style="513" customWidth="1"/>
    <col min="7" max="19" width="0" style="513" hidden="1" customWidth="1"/>
    <col min="20" max="16384" width="9.125" style="513" customWidth="1"/>
  </cols>
  <sheetData>
    <row r="1" spans="1:19" ht="17.25" customHeight="1">
      <c r="A1" s="809" t="s">
        <v>636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</row>
    <row r="2" spans="1:19" ht="12.75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</row>
    <row r="3" spans="1:19" ht="15.75">
      <c r="A3" s="810" t="s">
        <v>447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</row>
    <row r="4" spans="1:8" ht="15.75">
      <c r="A4" s="811"/>
      <c r="B4" s="811"/>
      <c r="C4" s="811"/>
      <c r="D4" s="811"/>
      <c r="E4" s="811"/>
      <c r="F4" s="811"/>
      <c r="G4" s="514"/>
      <c r="H4" s="514"/>
    </row>
    <row r="5" spans="1:19" ht="25.5" customHeight="1">
      <c r="A5" s="812" t="s">
        <v>2</v>
      </c>
      <c r="B5" s="812"/>
      <c r="C5" s="813" t="s">
        <v>448</v>
      </c>
      <c r="D5" s="813"/>
      <c r="E5" s="813"/>
      <c r="F5" s="813"/>
      <c r="G5" s="814" t="s">
        <v>9</v>
      </c>
      <c r="H5" s="814"/>
      <c r="I5" s="813" t="s">
        <v>7</v>
      </c>
      <c r="J5" s="813"/>
      <c r="K5" s="813"/>
      <c r="L5" s="813"/>
      <c r="M5" s="813" t="s">
        <v>439</v>
      </c>
      <c r="N5" s="813"/>
      <c r="O5" s="813"/>
      <c r="P5" s="813"/>
      <c r="Q5" s="515" t="s">
        <v>6</v>
      </c>
      <c r="R5" s="814" t="s">
        <v>9</v>
      </c>
      <c r="S5" s="814"/>
    </row>
    <row r="6" spans="1:19" s="357" customFormat="1" ht="15" customHeight="1">
      <c r="A6" s="516"/>
      <c r="B6" s="517" t="s">
        <v>12</v>
      </c>
      <c r="C6" s="806" t="s">
        <v>13</v>
      </c>
      <c r="D6" s="806"/>
      <c r="E6" s="806"/>
      <c r="F6" s="806"/>
      <c r="G6" s="800" t="s">
        <v>151</v>
      </c>
      <c r="H6" s="800"/>
      <c r="I6" s="807" t="s">
        <v>151</v>
      </c>
      <c r="J6" s="807"/>
      <c r="K6" s="807"/>
      <c r="L6" s="807"/>
      <c r="M6" s="808" t="s">
        <v>152</v>
      </c>
      <c r="N6" s="808"/>
      <c r="O6" s="808"/>
      <c r="P6" s="808"/>
      <c r="Q6" s="519" t="s">
        <v>153</v>
      </c>
      <c r="R6" s="800" t="s">
        <v>152</v>
      </c>
      <c r="S6" s="800"/>
    </row>
    <row r="7" spans="1:19" s="351" customFormat="1" ht="15" customHeight="1">
      <c r="A7" s="801"/>
      <c r="B7" s="801"/>
      <c r="C7" s="802" t="s">
        <v>449</v>
      </c>
      <c r="D7" s="803" t="s">
        <v>450</v>
      </c>
      <c r="E7" s="803"/>
      <c r="F7" s="798" t="s">
        <v>347</v>
      </c>
      <c r="G7" s="520"/>
      <c r="H7" s="521"/>
      <c r="I7" s="804" t="s">
        <v>449</v>
      </c>
      <c r="J7" s="805"/>
      <c r="K7" s="805"/>
      <c r="L7" s="798" t="s">
        <v>347</v>
      </c>
      <c r="M7" s="804" t="s">
        <v>449</v>
      </c>
      <c r="N7" s="805"/>
      <c r="O7" s="805"/>
      <c r="P7" s="798" t="s">
        <v>347</v>
      </c>
      <c r="Q7" s="462"/>
      <c r="R7" s="520"/>
      <c r="S7" s="521"/>
    </row>
    <row r="8" spans="1:19" s="351" customFormat="1" ht="18.75" customHeight="1">
      <c r="A8" s="801"/>
      <c r="B8" s="801"/>
      <c r="C8" s="802"/>
      <c r="D8" s="522" t="s">
        <v>417</v>
      </c>
      <c r="E8" s="523" t="s">
        <v>445</v>
      </c>
      <c r="F8" s="798"/>
      <c r="G8" s="520"/>
      <c r="H8" s="521"/>
      <c r="I8" s="804"/>
      <c r="J8" s="522" t="s">
        <v>417</v>
      </c>
      <c r="K8" s="523" t="s">
        <v>445</v>
      </c>
      <c r="L8" s="798"/>
      <c r="M8" s="804"/>
      <c r="N8" s="522" t="s">
        <v>417</v>
      </c>
      <c r="O8" s="523" t="s">
        <v>445</v>
      </c>
      <c r="P8" s="798"/>
      <c r="Q8" s="462"/>
      <c r="R8" s="520"/>
      <c r="S8" s="521"/>
    </row>
    <row r="9" spans="1:19" ht="18.75" customHeight="1">
      <c r="A9" s="799" t="s">
        <v>157</v>
      </c>
      <c r="B9" s="799"/>
      <c r="C9" s="799"/>
      <c r="D9" s="799"/>
      <c r="E9" s="799"/>
      <c r="F9" s="525">
        <f>SUM(D10:D15)</f>
        <v>332</v>
      </c>
      <c r="G9" s="526"/>
      <c r="H9" s="527">
        <v>0</v>
      </c>
      <c r="I9" s="528"/>
      <c r="J9" s="528"/>
      <c r="K9" s="529"/>
      <c r="L9" s="525">
        <f>SUM(J10:J15)</f>
        <v>160</v>
      </c>
      <c r="M9" s="530"/>
      <c r="N9" s="531"/>
      <c r="O9" s="532"/>
      <c r="P9" s="440">
        <v>251</v>
      </c>
      <c r="Q9" s="531">
        <v>156</v>
      </c>
      <c r="R9" s="526"/>
      <c r="S9" s="527">
        <v>168</v>
      </c>
    </row>
    <row r="10" spans="1:19" ht="18.75" customHeight="1">
      <c r="A10" s="533"/>
      <c r="B10" s="534" t="s">
        <v>451</v>
      </c>
      <c r="C10" s="535"/>
      <c r="D10" s="534">
        <v>1</v>
      </c>
      <c r="E10" s="536"/>
      <c r="F10" s="537"/>
      <c r="G10" s="538">
        <v>0</v>
      </c>
      <c r="H10" s="536"/>
      <c r="I10" s="535"/>
      <c r="J10" s="315">
        <v>1</v>
      </c>
      <c r="K10" s="536"/>
      <c r="L10" s="537"/>
      <c r="M10" s="535"/>
      <c r="N10" s="535">
        <v>1</v>
      </c>
      <c r="O10" s="535"/>
      <c r="P10" s="539"/>
      <c r="Q10" s="535"/>
      <c r="R10" s="538">
        <v>0</v>
      </c>
      <c r="S10" s="536"/>
    </row>
    <row r="11" spans="1:19" ht="18.75" customHeight="1">
      <c r="A11" s="524"/>
      <c r="B11" s="540" t="s">
        <v>452</v>
      </c>
      <c r="C11" s="531"/>
      <c r="D11" s="540">
        <v>13</v>
      </c>
      <c r="E11" s="526"/>
      <c r="F11" s="525"/>
      <c r="G11" s="541">
        <v>0</v>
      </c>
      <c r="H11" s="526"/>
      <c r="I11" s="531"/>
      <c r="J11" s="342">
        <v>13</v>
      </c>
      <c r="K11" s="526"/>
      <c r="L11" s="525"/>
      <c r="M11" s="531"/>
      <c r="N11" s="531">
        <v>13</v>
      </c>
      <c r="O11" s="531"/>
      <c r="P11" s="440"/>
      <c r="Q11" s="531"/>
      <c r="R11" s="541">
        <v>0</v>
      </c>
      <c r="S11" s="526"/>
    </row>
    <row r="12" spans="1:19" ht="18.75" customHeight="1">
      <c r="A12" s="524"/>
      <c r="B12" s="540" t="s">
        <v>453</v>
      </c>
      <c r="C12" s="531"/>
      <c r="D12" s="540">
        <v>10</v>
      </c>
      <c r="E12" s="526"/>
      <c r="F12" s="525"/>
      <c r="G12" s="541">
        <v>0</v>
      </c>
      <c r="H12" s="526"/>
      <c r="I12" s="531"/>
      <c r="J12" s="342">
        <v>10</v>
      </c>
      <c r="K12" s="526"/>
      <c r="L12" s="525"/>
      <c r="M12" s="531"/>
      <c r="N12" s="531">
        <v>10</v>
      </c>
      <c r="O12" s="531"/>
      <c r="P12" s="440"/>
      <c r="Q12" s="531"/>
      <c r="R12" s="541">
        <v>0</v>
      </c>
      <c r="S12" s="526"/>
    </row>
    <row r="13" spans="1:19" ht="18.75" customHeight="1">
      <c r="A13" s="524"/>
      <c r="B13" s="540" t="s">
        <v>454</v>
      </c>
      <c r="C13" s="531"/>
      <c r="D13" s="540">
        <v>1</v>
      </c>
      <c r="E13" s="526"/>
      <c r="F13" s="525"/>
      <c r="G13" s="541">
        <v>0</v>
      </c>
      <c r="H13" s="526"/>
      <c r="I13" s="531"/>
      <c r="J13" s="342">
        <v>1</v>
      </c>
      <c r="K13" s="526"/>
      <c r="L13" s="525"/>
      <c r="M13" s="531"/>
      <c r="N13" s="531">
        <v>1</v>
      </c>
      <c r="O13" s="531"/>
      <c r="P13" s="440"/>
      <c r="Q13" s="531"/>
      <c r="R13" s="541">
        <v>0</v>
      </c>
      <c r="S13" s="526"/>
    </row>
    <row r="14" spans="1:19" ht="15.75">
      <c r="A14" s="518"/>
      <c r="B14" s="542" t="s">
        <v>455</v>
      </c>
      <c r="C14" s="531"/>
      <c r="D14" s="543">
        <v>3</v>
      </c>
      <c r="E14" s="526"/>
      <c r="F14" s="525"/>
      <c r="G14" s="541">
        <v>0</v>
      </c>
      <c r="H14" s="526"/>
      <c r="I14" s="531"/>
      <c r="J14" s="342">
        <v>3</v>
      </c>
      <c r="K14" s="526"/>
      <c r="L14" s="525"/>
      <c r="M14" s="531"/>
      <c r="N14" s="531">
        <v>3</v>
      </c>
      <c r="O14" s="531"/>
      <c r="P14" s="440"/>
      <c r="Q14" s="531"/>
      <c r="R14" s="541">
        <v>0</v>
      </c>
      <c r="S14" s="526"/>
    </row>
    <row r="15" spans="1:19" ht="15.75">
      <c r="A15" s="518"/>
      <c r="B15" s="542" t="s">
        <v>456</v>
      </c>
      <c r="C15" s="531"/>
      <c r="D15" s="543">
        <v>304</v>
      </c>
      <c r="E15" s="526"/>
      <c r="F15" s="525"/>
      <c r="G15" s="541">
        <v>0</v>
      </c>
      <c r="H15" s="526"/>
      <c r="I15" s="531"/>
      <c r="J15" s="342">
        <v>132</v>
      </c>
      <c r="K15" s="526"/>
      <c r="L15" s="525"/>
      <c r="M15" s="531"/>
      <c r="N15" s="531">
        <v>216</v>
      </c>
      <c r="O15" s="531"/>
      <c r="P15" s="440"/>
      <c r="Q15" s="531"/>
      <c r="R15" s="541">
        <v>168</v>
      </c>
      <c r="S15" s="526"/>
    </row>
    <row r="16" spans="1:19" ht="15">
      <c r="A16" s="544"/>
      <c r="B16" s="545"/>
      <c r="C16" s="546"/>
      <c r="D16" s="547"/>
      <c r="E16" s="547"/>
      <c r="F16" s="548"/>
      <c r="G16" s="549"/>
      <c r="H16" s="547"/>
      <c r="I16" s="546"/>
      <c r="J16" s="547"/>
      <c r="K16" s="547"/>
      <c r="L16" s="548"/>
      <c r="M16" s="550"/>
      <c r="N16" s="550"/>
      <c r="O16" s="550"/>
      <c r="P16" s="522"/>
      <c r="Q16" s="550"/>
      <c r="R16" s="549"/>
      <c r="S16" s="547"/>
    </row>
    <row r="17" spans="1:19" ht="15.75">
      <c r="A17" s="796" t="s">
        <v>280</v>
      </c>
      <c r="B17" s="796"/>
      <c r="C17" s="796"/>
      <c r="D17" s="796"/>
      <c r="E17" s="796"/>
      <c r="F17" s="348">
        <f>SUM(C18+C19+C20+C21+D18+D19+D20+D21+E18+E19+E20+E21)</f>
        <v>74.5</v>
      </c>
      <c r="G17" s="552"/>
      <c r="H17" s="553">
        <v>0</v>
      </c>
      <c r="I17" s="551"/>
      <c r="J17" s="551"/>
      <c r="K17" s="551"/>
      <c r="L17" s="348">
        <f>SUM(I18+I19+I20+I21+J18+J19+J20+J21+K18+K19+K20+K21)</f>
        <v>65</v>
      </c>
      <c r="M17" s="531"/>
      <c r="N17" s="531"/>
      <c r="O17" s="531"/>
      <c r="P17" s="440">
        <v>59</v>
      </c>
      <c r="Q17" s="531">
        <v>91</v>
      </c>
      <c r="R17" s="552"/>
      <c r="S17" s="553">
        <v>6.5</v>
      </c>
    </row>
    <row r="18" spans="1:19" ht="15">
      <c r="A18" s="534"/>
      <c r="B18" s="534" t="s">
        <v>457</v>
      </c>
      <c r="C18" s="534">
        <v>14</v>
      </c>
      <c r="D18" s="534">
        <v>42.5</v>
      </c>
      <c r="E18" s="534"/>
      <c r="F18" s="534"/>
      <c r="G18" s="534">
        <v>0</v>
      </c>
      <c r="H18" s="534"/>
      <c r="I18" s="534">
        <v>13</v>
      </c>
      <c r="J18" s="534">
        <v>35</v>
      </c>
      <c r="K18" s="534"/>
      <c r="L18" s="534"/>
      <c r="M18" s="535">
        <v>13</v>
      </c>
      <c r="N18" s="535">
        <v>32</v>
      </c>
      <c r="O18" s="535"/>
      <c r="P18" s="539"/>
      <c r="Q18" s="535"/>
      <c r="R18" s="534">
        <v>5.5</v>
      </c>
      <c r="S18" s="534"/>
    </row>
    <row r="19" spans="1:19" ht="15">
      <c r="A19" s="540"/>
      <c r="B19" s="540" t="s">
        <v>458</v>
      </c>
      <c r="C19" s="540">
        <v>1</v>
      </c>
      <c r="D19" s="540">
        <v>3</v>
      </c>
      <c r="E19" s="540"/>
      <c r="F19" s="540"/>
      <c r="G19" s="540">
        <v>0</v>
      </c>
      <c r="H19" s="540"/>
      <c r="I19" s="540">
        <v>1</v>
      </c>
      <c r="J19" s="540">
        <v>2</v>
      </c>
      <c r="K19" s="540"/>
      <c r="L19" s="540"/>
      <c r="M19" s="531">
        <v>1</v>
      </c>
      <c r="N19" s="531">
        <v>2</v>
      </c>
      <c r="O19" s="531"/>
      <c r="P19" s="440"/>
      <c r="Q19" s="531"/>
      <c r="R19" s="540">
        <v>1</v>
      </c>
      <c r="S19" s="540"/>
    </row>
    <row r="20" spans="1:19" ht="15">
      <c r="A20" s="540"/>
      <c r="B20" s="540" t="s">
        <v>459</v>
      </c>
      <c r="C20" s="540"/>
      <c r="D20" s="540">
        <v>9</v>
      </c>
      <c r="E20" s="540"/>
      <c r="F20" s="540"/>
      <c r="G20" s="540">
        <v>0</v>
      </c>
      <c r="H20" s="540"/>
      <c r="I20" s="540"/>
      <c r="J20" s="540">
        <v>9</v>
      </c>
      <c r="K20" s="540"/>
      <c r="L20" s="540"/>
      <c r="M20" s="531"/>
      <c r="N20" s="531">
        <v>9</v>
      </c>
      <c r="O20" s="531"/>
      <c r="P20" s="440"/>
      <c r="Q20" s="531"/>
      <c r="R20" s="540">
        <v>0</v>
      </c>
      <c r="S20" s="540"/>
    </row>
    <row r="21" spans="1:19" ht="15">
      <c r="A21" s="540"/>
      <c r="B21" s="540" t="s">
        <v>460</v>
      </c>
      <c r="C21" s="540"/>
      <c r="D21" s="540"/>
      <c r="E21" s="540">
        <v>5</v>
      </c>
      <c r="F21" s="540"/>
      <c r="G21" s="540">
        <v>0</v>
      </c>
      <c r="H21" s="540"/>
      <c r="I21" s="540"/>
      <c r="J21" s="540"/>
      <c r="K21" s="540">
        <v>5</v>
      </c>
      <c r="L21" s="540"/>
      <c r="M21" s="531"/>
      <c r="N21" s="531"/>
      <c r="O21" s="531">
        <v>2</v>
      </c>
      <c r="P21" s="440"/>
      <c r="Q21" s="531"/>
      <c r="R21" s="540">
        <v>0</v>
      </c>
      <c r="S21" s="540"/>
    </row>
    <row r="22" spans="1:19" ht="15">
      <c r="A22" s="554"/>
      <c r="B22" s="554"/>
      <c r="C22" s="554"/>
      <c r="D22" s="550"/>
      <c r="E22" s="550"/>
      <c r="F22" s="554"/>
      <c r="G22" s="554"/>
      <c r="H22" s="554"/>
      <c r="I22" s="554"/>
      <c r="J22" s="550"/>
      <c r="K22" s="550"/>
      <c r="L22" s="554"/>
      <c r="M22" s="550"/>
      <c r="N22" s="550"/>
      <c r="O22" s="550"/>
      <c r="P22" s="522"/>
      <c r="Q22" s="550"/>
      <c r="R22" s="554"/>
      <c r="S22" s="554"/>
    </row>
    <row r="23" spans="1:19" ht="15.75">
      <c r="A23" s="796" t="s">
        <v>253</v>
      </c>
      <c r="B23" s="796"/>
      <c r="C23" s="796"/>
      <c r="D23" s="796"/>
      <c r="E23" s="796"/>
      <c r="F23" s="348">
        <f>SUM(D24:D28)</f>
        <v>48</v>
      </c>
      <c r="G23" s="540"/>
      <c r="H23" s="348">
        <v>0</v>
      </c>
      <c r="I23" s="551"/>
      <c r="J23" s="551"/>
      <c r="K23" s="551"/>
      <c r="L23" s="348">
        <f>SUM(J24:J26)</f>
        <v>26</v>
      </c>
      <c r="M23" s="531"/>
      <c r="N23" s="531"/>
      <c r="O23" s="531"/>
      <c r="P23" s="440">
        <v>26</v>
      </c>
      <c r="Q23" s="531">
        <v>100</v>
      </c>
      <c r="R23" s="540"/>
      <c r="S23" s="348">
        <v>-1</v>
      </c>
    </row>
    <row r="24" spans="1:19" ht="15">
      <c r="A24" s="534"/>
      <c r="B24" s="555" t="s">
        <v>461</v>
      </c>
      <c r="C24" s="555"/>
      <c r="D24" s="534">
        <v>13</v>
      </c>
      <c r="E24" s="535"/>
      <c r="F24" s="534"/>
      <c r="G24" s="534">
        <v>0</v>
      </c>
      <c r="H24" s="534"/>
      <c r="I24" s="555"/>
      <c r="J24" s="315">
        <v>15</v>
      </c>
      <c r="K24" s="535"/>
      <c r="L24" s="534"/>
      <c r="M24" s="535"/>
      <c r="N24" s="535">
        <v>15</v>
      </c>
      <c r="O24" s="535"/>
      <c r="P24" s="539"/>
      <c r="Q24" s="535"/>
      <c r="R24" s="534">
        <v>-2</v>
      </c>
      <c r="S24" s="534"/>
    </row>
    <row r="25" spans="1:19" ht="15">
      <c r="A25" s="540"/>
      <c r="B25" s="552" t="s">
        <v>462</v>
      </c>
      <c r="C25" s="552"/>
      <c r="D25" s="540">
        <v>9</v>
      </c>
      <c r="E25" s="531"/>
      <c r="F25" s="540"/>
      <c r="G25" s="540">
        <v>0</v>
      </c>
      <c r="H25" s="540"/>
      <c r="I25" s="552"/>
      <c r="J25" s="342">
        <v>8</v>
      </c>
      <c r="K25" s="531"/>
      <c r="L25" s="540"/>
      <c r="M25" s="531"/>
      <c r="N25" s="531">
        <v>8</v>
      </c>
      <c r="O25" s="531"/>
      <c r="P25" s="440"/>
      <c r="Q25" s="531"/>
      <c r="R25" s="540">
        <v>1</v>
      </c>
      <c r="S25" s="540"/>
    </row>
    <row r="26" spans="1:19" ht="15">
      <c r="A26" s="540"/>
      <c r="B26" s="552" t="s">
        <v>463</v>
      </c>
      <c r="C26" s="552"/>
      <c r="D26" s="540">
        <v>1</v>
      </c>
      <c r="E26" s="531"/>
      <c r="F26" s="540"/>
      <c r="G26" s="540">
        <v>0</v>
      </c>
      <c r="H26" s="540"/>
      <c r="I26" s="552"/>
      <c r="J26" s="342">
        <v>3</v>
      </c>
      <c r="K26" s="531"/>
      <c r="L26" s="540"/>
      <c r="M26" s="531"/>
      <c r="N26" s="531">
        <v>3</v>
      </c>
      <c r="O26" s="531"/>
      <c r="P26" s="440"/>
      <c r="Q26" s="531"/>
      <c r="R26" s="540">
        <v>0</v>
      </c>
      <c r="S26" s="540"/>
    </row>
    <row r="27" spans="1:19" ht="15">
      <c r="A27" s="540"/>
      <c r="B27" s="552" t="s">
        <v>464</v>
      </c>
      <c r="C27" s="552"/>
      <c r="D27" s="531">
        <v>17</v>
      </c>
      <c r="E27" s="531"/>
      <c r="F27" s="540"/>
      <c r="G27" s="540"/>
      <c r="H27" s="540"/>
      <c r="I27" s="552"/>
      <c r="J27" s="531"/>
      <c r="K27" s="531"/>
      <c r="L27" s="540"/>
      <c r="M27" s="531"/>
      <c r="N27" s="531"/>
      <c r="O27" s="531"/>
      <c r="P27" s="440"/>
      <c r="Q27" s="531"/>
      <c r="R27" s="540"/>
      <c r="S27" s="540"/>
    </row>
    <row r="28" spans="1:19" ht="15">
      <c r="A28" s="540"/>
      <c r="B28" s="552" t="s">
        <v>465</v>
      </c>
      <c r="C28" s="552"/>
      <c r="D28" s="531">
        <v>8</v>
      </c>
      <c r="E28" s="531"/>
      <c r="F28" s="540"/>
      <c r="G28" s="540"/>
      <c r="H28" s="540"/>
      <c r="I28" s="552"/>
      <c r="J28" s="531"/>
      <c r="K28" s="531"/>
      <c r="L28" s="540"/>
      <c r="M28" s="531"/>
      <c r="N28" s="531"/>
      <c r="O28" s="531"/>
      <c r="P28" s="440"/>
      <c r="Q28" s="531"/>
      <c r="R28" s="540"/>
      <c r="S28" s="540"/>
    </row>
    <row r="29" spans="1:19" ht="15">
      <c r="A29" s="554"/>
      <c r="B29" s="556"/>
      <c r="C29" s="556"/>
      <c r="D29" s="550"/>
      <c r="E29" s="550"/>
      <c r="F29" s="554"/>
      <c r="G29" s="554"/>
      <c r="H29" s="554"/>
      <c r="I29" s="556"/>
      <c r="J29" s="550"/>
      <c r="K29" s="550"/>
      <c r="L29" s="554"/>
      <c r="M29" s="550"/>
      <c r="N29" s="550"/>
      <c r="O29" s="550"/>
      <c r="P29" s="522"/>
      <c r="Q29" s="550"/>
      <c r="R29" s="554"/>
      <c r="S29" s="554"/>
    </row>
    <row r="30" spans="1:19" ht="15.75">
      <c r="A30" s="796" t="s">
        <v>256</v>
      </c>
      <c r="B30" s="796"/>
      <c r="C30" s="796"/>
      <c r="D30" s="796"/>
      <c r="E30" s="796"/>
      <c r="F30" s="348">
        <f>SUM(C31+C32+C33+D31+D32+D33+E31+E32+E33+E34)</f>
        <v>26</v>
      </c>
      <c r="G30" s="540"/>
      <c r="H30" s="348">
        <v>0</v>
      </c>
      <c r="I30" s="551"/>
      <c r="J30" s="551"/>
      <c r="K30" s="551"/>
      <c r="L30" s="348" t="e">
        <f>SUM(I31+I32+I33+J31+J32+J33+K31+K32+K33)+#REF!</f>
        <v>#REF!</v>
      </c>
      <c r="M30" s="531"/>
      <c r="N30" s="531"/>
      <c r="O30" s="531"/>
      <c r="P30" s="440">
        <v>17</v>
      </c>
      <c r="Q30" s="531">
        <v>92</v>
      </c>
      <c r="R30" s="540"/>
      <c r="S30" s="348">
        <v>1.5</v>
      </c>
    </row>
    <row r="31" spans="1:19" ht="15">
      <c r="A31" s="534"/>
      <c r="B31" s="555" t="s">
        <v>466</v>
      </c>
      <c r="C31" s="555"/>
      <c r="D31" s="534">
        <v>0</v>
      </c>
      <c r="E31" s="534">
        <v>6</v>
      </c>
      <c r="F31" s="534"/>
      <c r="G31" s="534">
        <v>0</v>
      </c>
      <c r="H31" s="534"/>
      <c r="I31" s="555"/>
      <c r="J31" s="534">
        <v>0</v>
      </c>
      <c r="K31" s="534">
        <v>6</v>
      </c>
      <c r="L31" s="534"/>
      <c r="M31" s="535"/>
      <c r="N31" s="535"/>
      <c r="O31" s="535">
        <v>6</v>
      </c>
      <c r="P31" s="539"/>
      <c r="Q31" s="535"/>
      <c r="R31" s="534">
        <v>1</v>
      </c>
      <c r="S31" s="534"/>
    </row>
    <row r="32" spans="1:19" ht="15">
      <c r="A32" s="540"/>
      <c r="B32" s="552" t="s">
        <v>467</v>
      </c>
      <c r="C32" s="552"/>
      <c r="D32" s="540">
        <v>7</v>
      </c>
      <c r="E32" s="540">
        <v>0</v>
      </c>
      <c r="F32" s="540"/>
      <c r="G32" s="540">
        <v>0</v>
      </c>
      <c r="H32" s="540"/>
      <c r="I32" s="552"/>
      <c r="J32" s="540">
        <v>7</v>
      </c>
      <c r="K32" s="540">
        <v>0</v>
      </c>
      <c r="L32" s="540"/>
      <c r="M32" s="531"/>
      <c r="N32" s="531">
        <v>7</v>
      </c>
      <c r="O32" s="531"/>
      <c r="P32" s="440"/>
      <c r="Q32" s="531"/>
      <c r="R32" s="540">
        <v>0</v>
      </c>
      <c r="S32" s="540"/>
    </row>
    <row r="33" spans="1:19" ht="15">
      <c r="A33" s="540"/>
      <c r="B33" s="552" t="s">
        <v>463</v>
      </c>
      <c r="C33" s="552"/>
      <c r="D33" s="540">
        <v>1</v>
      </c>
      <c r="E33" s="540">
        <v>6</v>
      </c>
      <c r="F33" s="540"/>
      <c r="G33" s="540">
        <v>0</v>
      </c>
      <c r="H33" s="540"/>
      <c r="I33" s="552"/>
      <c r="J33" s="540">
        <v>1</v>
      </c>
      <c r="K33" s="540">
        <v>3.5</v>
      </c>
      <c r="L33" s="540"/>
      <c r="M33" s="531"/>
      <c r="N33" s="531">
        <v>1</v>
      </c>
      <c r="O33" s="531">
        <v>2</v>
      </c>
      <c r="P33" s="440"/>
      <c r="Q33" s="531"/>
      <c r="R33" s="540">
        <v>0.5</v>
      </c>
      <c r="S33" s="540"/>
    </row>
    <row r="34" spans="1:19" ht="15">
      <c r="A34" s="540"/>
      <c r="B34" s="552" t="s">
        <v>468</v>
      </c>
      <c r="C34" s="552"/>
      <c r="D34" s="540">
        <v>0</v>
      </c>
      <c r="E34" s="540">
        <v>6</v>
      </c>
      <c r="F34" s="540"/>
      <c r="G34" s="314"/>
      <c r="H34" s="314"/>
      <c r="I34" s="557"/>
      <c r="J34" s="314"/>
      <c r="K34" s="314"/>
      <c r="L34" s="314"/>
      <c r="M34" s="558"/>
      <c r="N34" s="558"/>
      <c r="O34" s="558"/>
      <c r="P34" s="464"/>
      <c r="Q34" s="558"/>
      <c r="R34" s="314"/>
      <c r="S34" s="314"/>
    </row>
    <row r="35" spans="1:19" ht="15">
      <c r="A35" s="540"/>
      <c r="B35" s="557"/>
      <c r="C35" s="557"/>
      <c r="D35" s="314"/>
      <c r="E35" s="314"/>
      <c r="F35" s="314"/>
      <c r="G35" s="314"/>
      <c r="H35" s="314"/>
      <c r="I35" s="557"/>
      <c r="J35" s="314"/>
      <c r="K35" s="314"/>
      <c r="L35" s="314"/>
      <c r="M35" s="558"/>
      <c r="N35" s="558"/>
      <c r="O35" s="558"/>
      <c r="P35" s="464"/>
      <c r="Q35" s="558"/>
      <c r="R35" s="314"/>
      <c r="S35" s="314"/>
    </row>
    <row r="36" spans="1:19" ht="15.75">
      <c r="A36" s="797" t="s">
        <v>469</v>
      </c>
      <c r="B36" s="797"/>
      <c r="C36" s="348">
        <f>SUM(C10:C33)</f>
        <v>15</v>
      </c>
      <c r="D36" s="348">
        <f>SUM(D10:D34)</f>
        <v>442.5</v>
      </c>
      <c r="E36" s="348">
        <f>SUM(E10:E34)</f>
        <v>23</v>
      </c>
      <c r="F36" s="348">
        <f>SUM(F8:F33)</f>
        <v>480.5</v>
      </c>
      <c r="G36" s="348">
        <f>SUM(G10:G33)</f>
        <v>0</v>
      </c>
      <c r="H36" s="348">
        <f>SUM(H9:H33)</f>
        <v>0</v>
      </c>
      <c r="I36" s="348">
        <f>SUM(I10:I33)</f>
        <v>14</v>
      </c>
      <c r="J36" s="348">
        <f>SUM(J10:J33)</f>
        <v>240</v>
      </c>
      <c r="K36" s="348">
        <f>SUM(K10:K33)</f>
        <v>14.5</v>
      </c>
      <c r="L36" s="348" t="e">
        <f>SUM(L8:L33)</f>
        <v>#REF!</v>
      </c>
      <c r="M36" s="440">
        <f>SUM(M9:M33)</f>
        <v>14</v>
      </c>
      <c r="N36" s="440">
        <f>SUM(N9:N33)</f>
        <v>321</v>
      </c>
      <c r="O36" s="440">
        <f>SUM(O9:O33)</f>
        <v>10</v>
      </c>
      <c r="P36" s="440">
        <f>SUM(P9:P33)</f>
        <v>353</v>
      </c>
      <c r="Q36" s="559">
        <v>130</v>
      </c>
      <c r="R36" s="348">
        <f>SUM(R10:R33)</f>
        <v>175</v>
      </c>
      <c r="S36" s="348"/>
    </row>
  </sheetData>
  <sheetProtection selectLockedCells="1" selectUnlockedCells="1"/>
  <mergeCells count="29">
    <mergeCell ref="A1:S2"/>
    <mergeCell ref="A3:S3"/>
    <mergeCell ref="A4:F4"/>
    <mergeCell ref="A5:B5"/>
    <mergeCell ref="C5:F5"/>
    <mergeCell ref="G5:H5"/>
    <mergeCell ref="I5:L5"/>
    <mergeCell ref="M5:P5"/>
    <mergeCell ref="R5:S5"/>
    <mergeCell ref="C6:F6"/>
    <mergeCell ref="G6:H6"/>
    <mergeCell ref="I6:L6"/>
    <mergeCell ref="M6:P6"/>
    <mergeCell ref="R6:S6"/>
    <mergeCell ref="A7:B8"/>
    <mergeCell ref="C7:C8"/>
    <mergeCell ref="D7:E7"/>
    <mergeCell ref="F7:F8"/>
    <mergeCell ref="I7:I8"/>
    <mergeCell ref="J7:K7"/>
    <mergeCell ref="L7:L8"/>
    <mergeCell ref="M7:M8"/>
    <mergeCell ref="N7:O7"/>
    <mergeCell ref="A30:E30"/>
    <mergeCell ref="A36:B36"/>
    <mergeCell ref="P7:P8"/>
    <mergeCell ref="A9:E9"/>
    <mergeCell ref="A17:E17"/>
    <mergeCell ref="A23:E23"/>
  </mergeCells>
  <printOptions horizontalCentered="1" verticalCentered="1"/>
  <pageMargins left="0.6694444444444444" right="0.7875" top="0.5118055555555555" bottom="0.3541666666666667" header="0.5118055555555555" footer="0.5118055555555555"/>
  <pageSetup horizontalDpi="300" verticalDpi="3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workbookViewId="0" topLeftCell="A1">
      <pane xSplit="1" ySplit="1" topLeftCell="E2" activePane="bottomRight" state="frozen"/>
      <selection pane="topLeft" activeCell="F1" sqref="F1"/>
      <selection pane="topRight" activeCell="F1" sqref="F1"/>
      <selection pane="bottomLeft" activeCell="F1" sqref="F1"/>
      <selection pane="bottomRight" activeCell="A3" sqref="A3:N3"/>
    </sheetView>
  </sheetViews>
  <sheetFormatPr defaultColWidth="9.00390625" defaultRowHeight="12.75"/>
  <cols>
    <col min="1" max="1" width="24.625" style="734" customWidth="1"/>
    <col min="2" max="5" width="9.125" style="734" customWidth="1"/>
    <col min="6" max="6" width="9.125" style="735" customWidth="1"/>
    <col min="7" max="9" width="9.125" style="734" customWidth="1"/>
    <col min="10" max="10" width="10.375" style="734" customWidth="1"/>
    <col min="11" max="11" width="9.125" style="734" customWidth="1"/>
    <col min="12" max="12" width="11.125" style="734" bestFit="1" customWidth="1"/>
    <col min="13" max="13" width="9.75390625" style="734" bestFit="1" customWidth="1"/>
    <col min="14" max="14" width="10.375" style="745" customWidth="1"/>
    <col min="15" max="16384" width="9.125" style="734" customWidth="1"/>
  </cols>
  <sheetData>
    <row r="1" spans="8:14" ht="12.75">
      <c r="H1" s="816" t="s">
        <v>637</v>
      </c>
      <c r="I1" s="816"/>
      <c r="J1" s="816"/>
      <c r="K1" s="816"/>
      <c r="L1" s="816"/>
      <c r="M1" s="816"/>
      <c r="N1" s="816"/>
    </row>
    <row r="3" spans="1:14" ht="12.75">
      <c r="A3" s="815" t="s">
        <v>610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2:14" ht="12.75">
      <c r="L4" s="817" t="s">
        <v>123</v>
      </c>
      <c r="M4" s="817"/>
      <c r="N4" s="817"/>
    </row>
    <row r="5" spans="1:14" ht="12.75">
      <c r="A5" s="736" t="s">
        <v>2</v>
      </c>
      <c r="B5" s="736" t="s">
        <v>593</v>
      </c>
      <c r="C5" s="736" t="s">
        <v>594</v>
      </c>
      <c r="D5" s="736" t="s">
        <v>595</v>
      </c>
      <c r="E5" s="736" t="s">
        <v>596</v>
      </c>
      <c r="F5" s="737" t="s">
        <v>597</v>
      </c>
      <c r="G5" s="736" t="s">
        <v>598</v>
      </c>
      <c r="H5" s="736" t="s">
        <v>599</v>
      </c>
      <c r="I5" s="736" t="s">
        <v>600</v>
      </c>
      <c r="J5" s="736" t="s">
        <v>601</v>
      </c>
      <c r="K5" s="736" t="s">
        <v>602</v>
      </c>
      <c r="L5" s="736" t="s">
        <v>603</v>
      </c>
      <c r="M5" s="736" t="s">
        <v>604</v>
      </c>
      <c r="N5" s="738" t="s">
        <v>361</v>
      </c>
    </row>
    <row r="6" spans="1:14" ht="12.75">
      <c r="A6" s="739" t="s">
        <v>605</v>
      </c>
      <c r="C6" s="740"/>
      <c r="D6" s="740"/>
      <c r="E6" s="740"/>
      <c r="F6" s="741"/>
      <c r="G6" s="740"/>
      <c r="H6" s="740"/>
      <c r="I6" s="740"/>
      <c r="J6" s="740"/>
      <c r="K6" s="740"/>
      <c r="L6" s="740"/>
      <c r="M6" s="740"/>
      <c r="N6" s="742"/>
    </row>
    <row r="7" spans="1:14" ht="12.75">
      <c r="A7" s="747" t="s">
        <v>618</v>
      </c>
      <c r="B7" s="741">
        <v>11548</v>
      </c>
      <c r="C7" s="741">
        <v>11548</v>
      </c>
      <c r="D7" s="741">
        <v>484186</v>
      </c>
      <c r="E7" s="741">
        <v>11548</v>
      </c>
      <c r="F7" s="743">
        <v>11548</v>
      </c>
      <c r="G7" s="741">
        <v>130404</v>
      </c>
      <c r="H7" s="741">
        <v>11548</v>
      </c>
      <c r="I7" s="741">
        <v>11548</v>
      </c>
      <c r="J7" s="741">
        <v>399486</v>
      </c>
      <c r="K7" s="741">
        <v>11548</v>
      </c>
      <c r="L7" s="741">
        <v>11548</v>
      </c>
      <c r="M7" s="741">
        <v>24340</v>
      </c>
      <c r="N7" s="744">
        <f>SUM(B7:M7)</f>
        <v>1130800</v>
      </c>
    </row>
    <row r="8" spans="1:14" ht="12.75">
      <c r="A8" s="747" t="s">
        <v>617</v>
      </c>
      <c r="B8" s="741">
        <v>7063</v>
      </c>
      <c r="C8" s="741">
        <v>7063</v>
      </c>
      <c r="D8" s="741">
        <v>7063</v>
      </c>
      <c r="E8" s="741">
        <v>7063</v>
      </c>
      <c r="F8" s="741">
        <v>101257</v>
      </c>
      <c r="G8" s="741">
        <v>7063</v>
      </c>
      <c r="H8" s="741">
        <v>7063</v>
      </c>
      <c r="I8" s="741">
        <v>101257</v>
      </c>
      <c r="J8" s="741">
        <v>7063</v>
      </c>
      <c r="K8" s="741">
        <v>7063</v>
      </c>
      <c r="L8" s="741">
        <v>101257</v>
      </c>
      <c r="M8" s="741">
        <v>7067</v>
      </c>
      <c r="N8" s="744">
        <f>SUM(B8:M8)</f>
        <v>367342</v>
      </c>
    </row>
    <row r="9" spans="1:14" ht="12.75">
      <c r="A9" s="740" t="s">
        <v>606</v>
      </c>
      <c r="B9" s="741">
        <v>50537</v>
      </c>
      <c r="C9" s="741">
        <v>50537</v>
      </c>
      <c r="D9" s="741">
        <v>50537</v>
      </c>
      <c r="E9" s="741">
        <v>50537</v>
      </c>
      <c r="F9" s="741">
        <v>50537</v>
      </c>
      <c r="G9" s="741">
        <v>50537</v>
      </c>
      <c r="H9" s="741">
        <v>50537</v>
      </c>
      <c r="I9" s="741">
        <v>50537</v>
      </c>
      <c r="J9" s="741">
        <v>50537</v>
      </c>
      <c r="K9" s="741">
        <v>50537</v>
      </c>
      <c r="L9" s="741">
        <v>50537</v>
      </c>
      <c r="M9" s="741">
        <v>50541</v>
      </c>
      <c r="N9" s="744">
        <f>SUM(B9:M9)</f>
        <v>606448</v>
      </c>
    </row>
    <row r="10" spans="1:14" ht="12.75">
      <c r="A10" s="747" t="s">
        <v>619</v>
      </c>
      <c r="B10" s="741">
        <v>0</v>
      </c>
      <c r="C10" s="741">
        <v>0</v>
      </c>
      <c r="D10" s="741">
        <v>0</v>
      </c>
      <c r="E10" s="741">
        <v>0</v>
      </c>
      <c r="F10" s="741">
        <v>42091</v>
      </c>
      <c r="G10" s="741">
        <v>0</v>
      </c>
      <c r="H10" s="741">
        <v>0</v>
      </c>
      <c r="I10" s="741">
        <v>0</v>
      </c>
      <c r="J10" s="741">
        <v>0</v>
      </c>
      <c r="K10" s="741">
        <v>0</v>
      </c>
      <c r="L10" s="741">
        <v>0</v>
      </c>
      <c r="M10" s="741">
        <v>0</v>
      </c>
      <c r="N10" s="744">
        <f>SUM(B10:M10)</f>
        <v>42091</v>
      </c>
    </row>
    <row r="11" spans="1:14" ht="12.75">
      <c r="A11" s="747" t="s">
        <v>620</v>
      </c>
      <c r="B11" s="741">
        <v>0</v>
      </c>
      <c r="C11" s="741">
        <v>0</v>
      </c>
      <c r="D11" s="741">
        <v>0</v>
      </c>
      <c r="E11" s="741">
        <v>0</v>
      </c>
      <c r="F11" s="741">
        <v>0</v>
      </c>
      <c r="G11" s="741">
        <v>0</v>
      </c>
      <c r="H11" s="741">
        <v>0</v>
      </c>
      <c r="I11" s="741">
        <v>0</v>
      </c>
      <c r="J11" s="741">
        <v>0</v>
      </c>
      <c r="K11" s="741">
        <v>0</v>
      </c>
      <c r="L11" s="741">
        <v>0</v>
      </c>
      <c r="M11" s="741">
        <v>0</v>
      </c>
      <c r="N11" s="744">
        <f>SUM(B11:M11)</f>
        <v>0</v>
      </c>
    </row>
    <row r="12" spans="1:14" s="745" customFormat="1" ht="12.75">
      <c r="A12" s="742" t="s">
        <v>616</v>
      </c>
      <c r="B12" s="744">
        <f aca="true" t="shared" si="0" ref="B12:N12">SUM(B7:B11)</f>
        <v>69148</v>
      </c>
      <c r="C12" s="744">
        <f t="shared" si="0"/>
        <v>69148</v>
      </c>
      <c r="D12" s="744">
        <f t="shared" si="0"/>
        <v>541786</v>
      </c>
      <c r="E12" s="744">
        <f t="shared" si="0"/>
        <v>69148</v>
      </c>
      <c r="F12" s="744">
        <f t="shared" si="0"/>
        <v>205433</v>
      </c>
      <c r="G12" s="744">
        <f t="shared" si="0"/>
        <v>188004</v>
      </c>
      <c r="H12" s="744">
        <f t="shared" si="0"/>
        <v>69148</v>
      </c>
      <c r="I12" s="744">
        <f t="shared" si="0"/>
        <v>163342</v>
      </c>
      <c r="J12" s="744">
        <f t="shared" si="0"/>
        <v>457086</v>
      </c>
      <c r="K12" s="744">
        <f t="shared" si="0"/>
        <v>69148</v>
      </c>
      <c r="L12" s="744">
        <f t="shared" si="0"/>
        <v>163342</v>
      </c>
      <c r="M12" s="744">
        <f t="shared" si="0"/>
        <v>81948</v>
      </c>
      <c r="N12" s="744">
        <f t="shared" si="0"/>
        <v>2146681</v>
      </c>
    </row>
    <row r="13" spans="1:14" ht="12.75">
      <c r="A13" s="739" t="s">
        <v>607</v>
      </c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4"/>
    </row>
    <row r="14" spans="1:14" ht="12.75">
      <c r="A14" s="748" t="s">
        <v>615</v>
      </c>
      <c r="B14" s="741">
        <v>102303</v>
      </c>
      <c r="C14" s="741">
        <v>102303</v>
      </c>
      <c r="D14" s="741">
        <v>102303</v>
      </c>
      <c r="E14" s="741">
        <v>102303</v>
      </c>
      <c r="F14" s="741">
        <v>102303</v>
      </c>
      <c r="G14" s="741">
        <v>102303</v>
      </c>
      <c r="H14" s="741">
        <v>102303</v>
      </c>
      <c r="I14" s="741">
        <v>102303</v>
      </c>
      <c r="J14" s="741">
        <v>102303</v>
      </c>
      <c r="K14" s="741">
        <v>102303</v>
      </c>
      <c r="L14" s="741">
        <v>102303</v>
      </c>
      <c r="M14" s="741">
        <v>102304</v>
      </c>
      <c r="N14" s="744">
        <f aca="true" t="shared" si="1" ref="N14:N20">SUM(B14:M14)</f>
        <v>1227637</v>
      </c>
    </row>
    <row r="15" spans="1:14" ht="12.75">
      <c r="A15" s="747" t="s">
        <v>614</v>
      </c>
      <c r="B15" s="741">
        <v>34150</v>
      </c>
      <c r="C15" s="741">
        <v>34150</v>
      </c>
      <c r="D15" s="741">
        <v>34150</v>
      </c>
      <c r="E15" s="741">
        <v>34150</v>
      </c>
      <c r="F15" s="741">
        <v>34150</v>
      </c>
      <c r="G15" s="741">
        <v>34150</v>
      </c>
      <c r="H15" s="741">
        <v>34150</v>
      </c>
      <c r="I15" s="741">
        <v>34150</v>
      </c>
      <c r="J15" s="741">
        <v>34150</v>
      </c>
      <c r="K15" s="741">
        <v>34150</v>
      </c>
      <c r="L15" s="741">
        <v>34150</v>
      </c>
      <c r="M15" s="741">
        <v>34155</v>
      </c>
      <c r="N15" s="744">
        <f t="shared" si="1"/>
        <v>409805</v>
      </c>
    </row>
    <row r="16" spans="1:14" ht="12.75">
      <c r="A16" s="747" t="s">
        <v>613</v>
      </c>
      <c r="B16" s="741">
        <v>0</v>
      </c>
      <c r="C16" s="741">
        <v>0</v>
      </c>
      <c r="D16" s="741">
        <v>0</v>
      </c>
      <c r="E16" s="741">
        <v>0</v>
      </c>
      <c r="F16" s="741">
        <v>0</v>
      </c>
      <c r="G16" s="741">
        <v>1463</v>
      </c>
      <c r="H16" s="741">
        <v>0</v>
      </c>
      <c r="I16" s="746">
        <v>0</v>
      </c>
      <c r="J16" s="741">
        <v>1451</v>
      </c>
      <c r="K16" s="741">
        <v>0</v>
      </c>
      <c r="L16" s="741">
        <v>0</v>
      </c>
      <c r="M16" s="741">
        <v>1451</v>
      </c>
      <c r="N16" s="744">
        <f t="shared" si="1"/>
        <v>4365</v>
      </c>
    </row>
    <row r="17" spans="1:14" ht="12.75">
      <c r="A17" s="747" t="s">
        <v>621</v>
      </c>
      <c r="B17" s="741">
        <v>0</v>
      </c>
      <c r="C17" s="741">
        <v>0</v>
      </c>
      <c r="D17" s="741">
        <v>51350</v>
      </c>
      <c r="E17" s="741">
        <v>0</v>
      </c>
      <c r="F17" s="741">
        <v>0</v>
      </c>
      <c r="G17" s="741">
        <v>51355</v>
      </c>
      <c r="H17" s="741">
        <v>0</v>
      </c>
      <c r="I17" s="741">
        <v>0</v>
      </c>
      <c r="J17" s="741">
        <v>0</v>
      </c>
      <c r="K17" s="741">
        <v>0</v>
      </c>
      <c r="L17" s="741">
        <v>0</v>
      </c>
      <c r="M17" s="741">
        <v>0</v>
      </c>
      <c r="N17" s="744">
        <f t="shared" si="1"/>
        <v>102705</v>
      </c>
    </row>
    <row r="18" spans="1:14" ht="12.75">
      <c r="A18" s="747" t="s">
        <v>608</v>
      </c>
      <c r="B18" s="741">
        <v>18000</v>
      </c>
      <c r="C18" s="741">
        <v>0</v>
      </c>
      <c r="D18" s="741">
        <v>14400</v>
      </c>
      <c r="E18" s="741">
        <v>0</v>
      </c>
      <c r="F18" s="741">
        <v>94194</v>
      </c>
      <c r="G18" s="741">
        <v>0</v>
      </c>
      <c r="H18" s="741">
        <v>0</v>
      </c>
      <c r="I18" s="741">
        <v>94194</v>
      </c>
      <c r="J18" s="741">
        <v>0</v>
      </c>
      <c r="K18" s="741">
        <v>0</v>
      </c>
      <c r="L18" s="741">
        <v>94194</v>
      </c>
      <c r="M18" s="741">
        <v>0</v>
      </c>
      <c r="N18" s="744">
        <f t="shared" si="1"/>
        <v>314982</v>
      </c>
    </row>
    <row r="19" spans="1:14" ht="12.75">
      <c r="A19" s="747" t="s">
        <v>609</v>
      </c>
      <c r="B19" s="741">
        <v>0</v>
      </c>
      <c r="C19" s="741">
        <v>0</v>
      </c>
      <c r="D19" s="741">
        <v>0</v>
      </c>
      <c r="E19" s="741">
        <v>0</v>
      </c>
      <c r="F19" s="741">
        <v>0</v>
      </c>
      <c r="G19" s="741">
        <v>0</v>
      </c>
      <c r="H19" s="741">
        <v>0</v>
      </c>
      <c r="I19" s="741">
        <v>0</v>
      </c>
      <c r="J19" s="741">
        <v>0</v>
      </c>
      <c r="K19" s="741">
        <v>0</v>
      </c>
      <c r="L19" s="741">
        <v>0</v>
      </c>
      <c r="M19" s="741">
        <v>0</v>
      </c>
      <c r="N19" s="744">
        <f t="shared" si="1"/>
        <v>0</v>
      </c>
    </row>
    <row r="20" spans="1:14" ht="12.75">
      <c r="A20" s="747" t="s">
        <v>611</v>
      </c>
      <c r="B20" s="741">
        <v>0</v>
      </c>
      <c r="C20" s="741">
        <v>0</v>
      </c>
      <c r="D20" s="741">
        <v>0</v>
      </c>
      <c r="E20" s="741">
        <v>0</v>
      </c>
      <c r="F20" s="741">
        <v>0</v>
      </c>
      <c r="G20" s="741">
        <v>87187</v>
      </c>
      <c r="H20" s="741">
        <v>0</v>
      </c>
      <c r="I20" s="741">
        <v>0</v>
      </c>
      <c r="J20" s="741">
        <v>0</v>
      </c>
      <c r="K20" s="741">
        <v>0</v>
      </c>
      <c r="L20" s="741">
        <v>0</v>
      </c>
      <c r="M20" s="741">
        <v>0</v>
      </c>
      <c r="N20" s="744">
        <f t="shared" si="1"/>
        <v>87187</v>
      </c>
    </row>
    <row r="21" spans="1:14" s="745" customFormat="1" ht="12.75">
      <c r="A21" s="742" t="s">
        <v>612</v>
      </c>
      <c r="B21" s="744">
        <f aca="true" t="shared" si="2" ref="B21:N21">SUM(B14:B20)</f>
        <v>154453</v>
      </c>
      <c r="C21" s="744">
        <f t="shared" si="2"/>
        <v>136453</v>
      </c>
      <c r="D21" s="744">
        <f t="shared" si="2"/>
        <v>202203</v>
      </c>
      <c r="E21" s="744">
        <f t="shared" si="2"/>
        <v>136453</v>
      </c>
      <c r="F21" s="744">
        <f t="shared" si="2"/>
        <v>230647</v>
      </c>
      <c r="G21" s="744">
        <f t="shared" si="2"/>
        <v>276458</v>
      </c>
      <c r="H21" s="744">
        <f t="shared" si="2"/>
        <v>136453</v>
      </c>
      <c r="I21" s="744">
        <f t="shared" si="2"/>
        <v>230647</v>
      </c>
      <c r="J21" s="744">
        <f t="shared" si="2"/>
        <v>137904</v>
      </c>
      <c r="K21" s="744">
        <f t="shared" si="2"/>
        <v>136453</v>
      </c>
      <c r="L21" s="744">
        <f t="shared" si="2"/>
        <v>230647</v>
      </c>
      <c r="M21" s="744">
        <f t="shared" si="2"/>
        <v>137910</v>
      </c>
      <c r="N21" s="744">
        <f t="shared" si="2"/>
        <v>2146681</v>
      </c>
    </row>
    <row r="22" spans="1:14" s="745" customFormat="1" ht="12.75">
      <c r="A22" s="742" t="s">
        <v>622</v>
      </c>
      <c r="B22" s="744">
        <f aca="true" t="shared" si="3" ref="B22:N22">SUM(B12-B21)</f>
        <v>-85305</v>
      </c>
      <c r="C22" s="744">
        <f t="shared" si="3"/>
        <v>-67305</v>
      </c>
      <c r="D22" s="744">
        <f t="shared" si="3"/>
        <v>339583</v>
      </c>
      <c r="E22" s="744">
        <f t="shared" si="3"/>
        <v>-67305</v>
      </c>
      <c r="F22" s="744">
        <f t="shared" si="3"/>
        <v>-25214</v>
      </c>
      <c r="G22" s="744">
        <f t="shared" si="3"/>
        <v>-88454</v>
      </c>
      <c r="H22" s="744">
        <f t="shared" si="3"/>
        <v>-67305</v>
      </c>
      <c r="I22" s="744">
        <f t="shared" si="3"/>
        <v>-67305</v>
      </c>
      <c r="J22" s="744">
        <f t="shared" si="3"/>
        <v>319182</v>
      </c>
      <c r="K22" s="744">
        <f t="shared" si="3"/>
        <v>-67305</v>
      </c>
      <c r="L22" s="744">
        <f t="shared" si="3"/>
        <v>-67305</v>
      </c>
      <c r="M22" s="744">
        <f t="shared" si="3"/>
        <v>-55962</v>
      </c>
      <c r="N22" s="744">
        <f t="shared" si="3"/>
        <v>0</v>
      </c>
    </row>
    <row r="23" ht="12.75">
      <c r="C23" s="734" t="s">
        <v>208</v>
      </c>
    </row>
  </sheetData>
  <sheetProtection/>
  <mergeCells count="3">
    <mergeCell ref="A3:N3"/>
    <mergeCell ref="H1:N1"/>
    <mergeCell ref="L4:N4"/>
  </mergeCells>
  <printOptions horizontalCentered="1" verticalCentered="1"/>
  <pageMargins left="0.16" right="0.1968503937007874" top="0.984251968503937" bottom="0.984251968503937" header="0.5118110236220472" footer="0.5118110236220472"/>
  <pageSetup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1"/>
  <dimension ref="A1:O44"/>
  <sheetViews>
    <sheetView view="pageBreakPreview" zoomScale="60" zoomScaleNormal="125" workbookViewId="0" topLeftCell="A1">
      <selection activeCell="B1" sqref="B1:J1"/>
    </sheetView>
  </sheetViews>
  <sheetFormatPr defaultColWidth="9.00390625" defaultRowHeight="12.75"/>
  <cols>
    <col min="1" max="1" width="27.125" style="560" customWidth="1"/>
    <col min="2" max="2" width="12.375" style="560" customWidth="1"/>
    <col min="3" max="8" width="11.125" style="560" customWidth="1"/>
    <col min="9" max="9" width="11.875" style="560" customWidth="1"/>
    <col min="10" max="10" width="12.75390625" style="561" customWidth="1"/>
    <col min="11" max="16384" width="9.625" style="560" customWidth="1"/>
  </cols>
  <sheetData>
    <row r="1" spans="2:15" ht="12.75" customHeight="1">
      <c r="B1" s="818" t="s">
        <v>638</v>
      </c>
      <c r="C1" s="818"/>
      <c r="D1" s="818"/>
      <c r="E1" s="818"/>
      <c r="F1" s="818"/>
      <c r="G1" s="818"/>
      <c r="H1" s="818"/>
      <c r="I1" s="818"/>
      <c r="J1" s="818"/>
      <c r="K1" s="562"/>
      <c r="L1" s="562"/>
      <c r="M1" s="563"/>
      <c r="N1" s="563"/>
      <c r="O1" s="563"/>
    </row>
    <row r="2" spans="9:15" ht="12.75" customHeight="1">
      <c r="I2" s="564"/>
      <c r="J2" s="564"/>
      <c r="K2" s="564"/>
      <c r="L2" s="564"/>
      <c r="M2" s="563"/>
      <c r="N2" s="563"/>
      <c r="O2" s="563"/>
    </row>
    <row r="3" spans="9:15" ht="12.75" customHeight="1">
      <c r="I3" s="564"/>
      <c r="J3" s="564"/>
      <c r="K3" s="564"/>
      <c r="L3" s="564"/>
      <c r="M3" s="563"/>
      <c r="N3" s="563"/>
      <c r="O3" s="563"/>
    </row>
    <row r="4" spans="1:10" s="561" customFormat="1" ht="11.25">
      <c r="A4" s="819" t="s">
        <v>470</v>
      </c>
      <c r="B4" s="819"/>
      <c r="C4" s="819"/>
      <c r="D4" s="819"/>
      <c r="E4" s="819"/>
      <c r="F4" s="819"/>
      <c r="G4" s="819"/>
      <c r="H4" s="819"/>
      <c r="I4" s="819"/>
      <c r="J4" s="819"/>
    </row>
    <row r="5" spans="9:10" ht="11.25" customHeight="1">
      <c r="I5" s="820" t="s">
        <v>123</v>
      </c>
      <c r="J5" s="820"/>
    </row>
    <row r="6" spans="1:10" ht="48.75" customHeight="1">
      <c r="A6" s="821" t="s">
        <v>471</v>
      </c>
      <c r="B6" s="822" t="s">
        <v>558</v>
      </c>
      <c r="C6" s="822" t="s">
        <v>472</v>
      </c>
      <c r="D6" s="823" t="s">
        <v>473</v>
      </c>
      <c r="E6" s="823"/>
      <c r="F6" s="823"/>
      <c r="G6" s="824" t="s">
        <v>474</v>
      </c>
      <c r="H6" s="824"/>
      <c r="I6" s="824"/>
      <c r="J6" s="825" t="s">
        <v>475</v>
      </c>
    </row>
    <row r="7" spans="1:10" ht="22.5" customHeight="1">
      <c r="A7" s="821"/>
      <c r="B7" s="822"/>
      <c r="C7" s="822"/>
      <c r="D7" s="566" t="s">
        <v>476</v>
      </c>
      <c r="E7" s="566" t="s">
        <v>477</v>
      </c>
      <c r="F7" s="567" t="s">
        <v>347</v>
      </c>
      <c r="G7" s="565" t="s">
        <v>478</v>
      </c>
      <c r="H7" s="565" t="s">
        <v>479</v>
      </c>
      <c r="I7" s="568" t="s">
        <v>361</v>
      </c>
      <c r="J7" s="825"/>
    </row>
    <row r="8" spans="1:10" ht="11.25">
      <c r="A8" s="569" t="s">
        <v>480</v>
      </c>
      <c r="B8" s="570">
        <v>105791</v>
      </c>
      <c r="C8" s="570">
        <v>248691</v>
      </c>
      <c r="D8" s="570">
        <v>65358</v>
      </c>
      <c r="E8" s="570">
        <v>41569</v>
      </c>
      <c r="F8" s="570">
        <f aca="true" t="shared" si="0" ref="F8:F15">SUM(D8:E8)</f>
        <v>106927</v>
      </c>
      <c r="G8" s="570">
        <v>21994</v>
      </c>
      <c r="H8" s="570">
        <v>16807</v>
      </c>
      <c r="I8" s="570">
        <f aca="true" t="shared" si="1" ref="I8:I15">SUM(G8:H8)</f>
        <v>38801</v>
      </c>
      <c r="J8" s="571">
        <f aca="true" t="shared" si="2" ref="J8:J15">SUM(B8+C8+F8+I8)</f>
        <v>500210</v>
      </c>
    </row>
    <row r="9" spans="1:10" ht="11.25">
      <c r="A9" s="569" t="s">
        <v>481</v>
      </c>
      <c r="B9" s="570">
        <v>21509</v>
      </c>
      <c r="C9" s="570">
        <v>70556</v>
      </c>
      <c r="D9" s="570">
        <v>17356</v>
      </c>
      <c r="E9" s="570">
        <v>11168</v>
      </c>
      <c r="F9" s="570">
        <f t="shared" si="0"/>
        <v>28524</v>
      </c>
      <c r="G9" s="570">
        <v>5828</v>
      </c>
      <c r="H9" s="570">
        <v>4510</v>
      </c>
      <c r="I9" s="570">
        <f t="shared" si="1"/>
        <v>10338</v>
      </c>
      <c r="J9" s="571">
        <f t="shared" si="2"/>
        <v>130927</v>
      </c>
    </row>
    <row r="10" spans="1:10" ht="11.25">
      <c r="A10" s="569" t="s">
        <v>378</v>
      </c>
      <c r="B10" s="572">
        <v>261213</v>
      </c>
      <c r="C10" s="570">
        <v>110366</v>
      </c>
      <c r="D10" s="570">
        <v>8342</v>
      </c>
      <c r="E10" s="570">
        <v>12384</v>
      </c>
      <c r="F10" s="570">
        <f t="shared" si="0"/>
        <v>20726</v>
      </c>
      <c r="G10" s="570">
        <v>8000</v>
      </c>
      <c r="H10" s="570">
        <v>9500</v>
      </c>
      <c r="I10" s="570">
        <f t="shared" si="1"/>
        <v>17500</v>
      </c>
      <c r="J10" s="571">
        <f t="shared" si="2"/>
        <v>409805</v>
      </c>
    </row>
    <row r="11" spans="1:10" ht="11.25">
      <c r="A11" s="573" t="s">
        <v>482</v>
      </c>
      <c r="B11" s="574">
        <v>250955</v>
      </c>
      <c r="C11" s="575">
        <v>0</v>
      </c>
      <c r="D11" s="575">
        <v>0</v>
      </c>
      <c r="E11" s="575">
        <v>0</v>
      </c>
      <c r="F11" s="570">
        <f t="shared" si="0"/>
        <v>0</v>
      </c>
      <c r="G11" s="575">
        <v>0</v>
      </c>
      <c r="H11" s="575">
        <v>0</v>
      </c>
      <c r="I11" s="570">
        <f t="shared" si="1"/>
        <v>0</v>
      </c>
      <c r="J11" s="571">
        <f t="shared" si="2"/>
        <v>250955</v>
      </c>
    </row>
    <row r="12" spans="1:10" ht="11.25">
      <c r="A12" s="573" t="s">
        <v>82</v>
      </c>
      <c r="B12" s="574">
        <v>275938</v>
      </c>
      <c r="C12" s="575">
        <v>0</v>
      </c>
      <c r="D12" s="575">
        <v>0</v>
      </c>
      <c r="E12" s="575">
        <v>0</v>
      </c>
      <c r="F12" s="570">
        <f t="shared" si="0"/>
        <v>0</v>
      </c>
      <c r="G12" s="575">
        <v>0</v>
      </c>
      <c r="H12" s="575">
        <v>0</v>
      </c>
      <c r="I12" s="570">
        <f t="shared" si="1"/>
        <v>0</v>
      </c>
      <c r="J12" s="571">
        <f t="shared" si="2"/>
        <v>275938</v>
      </c>
    </row>
    <row r="13" spans="1:10" ht="11.25">
      <c r="A13" s="573" t="s">
        <v>483</v>
      </c>
      <c r="B13" s="575">
        <v>62486</v>
      </c>
      <c r="C13" s="575">
        <v>2121</v>
      </c>
      <c r="D13" s="575">
        <v>0</v>
      </c>
      <c r="E13" s="575">
        <v>0</v>
      </c>
      <c r="F13" s="570">
        <f t="shared" si="0"/>
        <v>0</v>
      </c>
      <c r="G13" s="575">
        <v>0</v>
      </c>
      <c r="H13" s="575">
        <v>0</v>
      </c>
      <c r="I13" s="570">
        <f t="shared" si="1"/>
        <v>0</v>
      </c>
      <c r="J13" s="571">
        <f t="shared" si="2"/>
        <v>64607</v>
      </c>
    </row>
    <row r="14" spans="1:10" ht="11.25">
      <c r="A14" s="573" t="s">
        <v>484</v>
      </c>
      <c r="B14" s="575">
        <v>0</v>
      </c>
      <c r="C14" s="575">
        <v>0</v>
      </c>
      <c r="D14" s="575">
        <v>0</v>
      </c>
      <c r="E14" s="575">
        <v>0</v>
      </c>
      <c r="F14" s="570">
        <f t="shared" si="0"/>
        <v>0</v>
      </c>
      <c r="G14" s="575">
        <v>0</v>
      </c>
      <c r="H14" s="575">
        <v>0</v>
      </c>
      <c r="I14" s="570">
        <f t="shared" si="1"/>
        <v>0</v>
      </c>
      <c r="J14" s="571">
        <f t="shared" si="2"/>
        <v>0</v>
      </c>
    </row>
    <row r="15" spans="1:10" ht="12" thickBot="1">
      <c r="A15" s="708" t="s">
        <v>383</v>
      </c>
      <c r="B15" s="709">
        <v>0</v>
      </c>
      <c r="C15" s="709">
        <v>0</v>
      </c>
      <c r="D15" s="709">
        <v>0</v>
      </c>
      <c r="E15" s="709">
        <v>0</v>
      </c>
      <c r="F15" s="709">
        <f t="shared" si="0"/>
        <v>0</v>
      </c>
      <c r="G15" s="709">
        <v>0</v>
      </c>
      <c r="H15" s="709">
        <v>0</v>
      </c>
      <c r="I15" s="709">
        <f t="shared" si="1"/>
        <v>0</v>
      </c>
      <c r="J15" s="705">
        <f t="shared" si="2"/>
        <v>0</v>
      </c>
    </row>
    <row r="16" spans="1:10" ht="12" thickBot="1">
      <c r="A16" s="706" t="s">
        <v>485</v>
      </c>
      <c r="B16" s="707">
        <f aca="true" t="shared" si="3" ref="B16:J16">SUM(B8:B15)</f>
        <v>977892</v>
      </c>
      <c r="C16" s="707">
        <f t="shared" si="3"/>
        <v>431734</v>
      </c>
      <c r="D16" s="707">
        <f t="shared" si="3"/>
        <v>91056</v>
      </c>
      <c r="E16" s="707">
        <f t="shared" si="3"/>
        <v>65121</v>
      </c>
      <c r="F16" s="707">
        <f t="shared" si="3"/>
        <v>156177</v>
      </c>
      <c r="G16" s="707">
        <f t="shared" si="3"/>
        <v>35822</v>
      </c>
      <c r="H16" s="707">
        <f t="shared" si="3"/>
        <v>30817</v>
      </c>
      <c r="I16" s="707">
        <f t="shared" si="3"/>
        <v>66639</v>
      </c>
      <c r="J16" s="707">
        <f t="shared" si="3"/>
        <v>1632442</v>
      </c>
    </row>
    <row r="17" spans="1:10" ht="11.25">
      <c r="A17" s="578" t="s">
        <v>486</v>
      </c>
      <c r="B17" s="579">
        <v>4365</v>
      </c>
      <c r="C17" s="579">
        <v>0</v>
      </c>
      <c r="D17" s="580">
        <v>0</v>
      </c>
      <c r="E17" s="580">
        <v>0</v>
      </c>
      <c r="F17" s="579">
        <f aca="true" t="shared" si="4" ref="F17:F24">SUM(D17:E17)</f>
        <v>0</v>
      </c>
      <c r="G17" s="580">
        <v>0</v>
      </c>
      <c r="H17" s="580">
        <v>0</v>
      </c>
      <c r="I17" s="579">
        <f aca="true" t="shared" si="5" ref="I17:I24">SUM(G17:H17)</f>
        <v>0</v>
      </c>
      <c r="J17" s="577">
        <f aca="true" t="shared" si="6" ref="J17:J24">SUM(B17+C17+F17+I17)</f>
        <v>4365</v>
      </c>
    </row>
    <row r="18" spans="1:10" ht="11.25">
      <c r="A18" s="569" t="s">
        <v>487</v>
      </c>
      <c r="B18" s="570">
        <v>5000</v>
      </c>
      <c r="C18" s="570">
        <v>0</v>
      </c>
      <c r="D18" s="575">
        <v>0</v>
      </c>
      <c r="E18" s="575">
        <v>0</v>
      </c>
      <c r="F18" s="570">
        <f t="shared" si="4"/>
        <v>0</v>
      </c>
      <c r="G18" s="575">
        <v>0</v>
      </c>
      <c r="H18" s="575">
        <v>0</v>
      </c>
      <c r="I18" s="570">
        <f t="shared" si="5"/>
        <v>0</v>
      </c>
      <c r="J18" s="571">
        <f t="shared" si="6"/>
        <v>5000</v>
      </c>
    </row>
    <row r="19" spans="1:10" ht="11.25">
      <c r="A19" s="569" t="s">
        <v>488</v>
      </c>
      <c r="B19" s="570">
        <v>0</v>
      </c>
      <c r="C19" s="570">
        <v>0</v>
      </c>
      <c r="D19" s="575">
        <v>0</v>
      </c>
      <c r="E19" s="575">
        <v>0</v>
      </c>
      <c r="F19" s="570">
        <f t="shared" si="4"/>
        <v>0</v>
      </c>
      <c r="G19" s="575">
        <v>0</v>
      </c>
      <c r="H19" s="575">
        <v>0</v>
      </c>
      <c r="I19" s="570">
        <f t="shared" si="5"/>
        <v>0</v>
      </c>
      <c r="J19" s="571">
        <f t="shared" si="6"/>
        <v>0</v>
      </c>
    </row>
    <row r="20" spans="1:10" ht="11.25">
      <c r="A20" s="569" t="s">
        <v>489</v>
      </c>
      <c r="B20" s="570">
        <v>0</v>
      </c>
      <c r="C20" s="570">
        <v>0</v>
      </c>
      <c r="D20" s="575">
        <v>0</v>
      </c>
      <c r="E20" s="575">
        <v>0</v>
      </c>
      <c r="F20" s="570">
        <f t="shared" si="4"/>
        <v>0</v>
      </c>
      <c r="G20" s="575">
        <v>0</v>
      </c>
      <c r="H20" s="575">
        <v>0</v>
      </c>
      <c r="I20" s="570">
        <f t="shared" si="5"/>
        <v>0</v>
      </c>
      <c r="J20" s="571">
        <f t="shared" si="6"/>
        <v>0</v>
      </c>
    </row>
    <row r="21" spans="1:10" ht="11.25">
      <c r="A21" s="569" t="s">
        <v>490</v>
      </c>
      <c r="B21" s="570">
        <v>0</v>
      </c>
      <c r="C21" s="581">
        <v>0</v>
      </c>
      <c r="D21" s="581">
        <v>0</v>
      </c>
      <c r="E21" s="581">
        <v>0</v>
      </c>
      <c r="F21" s="570">
        <f t="shared" si="4"/>
        <v>0</v>
      </c>
      <c r="G21" s="582">
        <v>0</v>
      </c>
      <c r="H21" s="582">
        <v>0</v>
      </c>
      <c r="I21" s="570">
        <f t="shared" si="5"/>
        <v>0</v>
      </c>
      <c r="J21" s="571">
        <f t="shared" si="6"/>
        <v>0</v>
      </c>
    </row>
    <row r="22" spans="1:10" ht="11.25">
      <c r="A22" s="569" t="s">
        <v>491</v>
      </c>
      <c r="B22" s="570">
        <v>102705</v>
      </c>
      <c r="C22" s="570">
        <v>0</v>
      </c>
      <c r="D22" s="579">
        <v>0</v>
      </c>
      <c r="E22" s="579">
        <v>0</v>
      </c>
      <c r="F22" s="570">
        <f t="shared" si="4"/>
        <v>0</v>
      </c>
      <c r="G22" s="579">
        <v>0</v>
      </c>
      <c r="H22" s="579">
        <v>0</v>
      </c>
      <c r="I22" s="570">
        <f t="shared" si="5"/>
        <v>0</v>
      </c>
      <c r="J22" s="571">
        <f t="shared" si="6"/>
        <v>102705</v>
      </c>
    </row>
    <row r="23" spans="1:10" ht="11.25">
      <c r="A23" s="573" t="s">
        <v>492</v>
      </c>
      <c r="B23" s="575">
        <v>314982</v>
      </c>
      <c r="C23" s="575">
        <v>0</v>
      </c>
      <c r="D23" s="575">
        <v>0</v>
      </c>
      <c r="E23" s="575">
        <v>0</v>
      </c>
      <c r="F23" s="570">
        <f t="shared" si="4"/>
        <v>0</v>
      </c>
      <c r="G23" s="575">
        <v>0</v>
      </c>
      <c r="H23" s="575">
        <v>0</v>
      </c>
      <c r="I23" s="570">
        <f t="shared" si="5"/>
        <v>0</v>
      </c>
      <c r="J23" s="571">
        <f t="shared" si="6"/>
        <v>314982</v>
      </c>
    </row>
    <row r="24" spans="1:10" ht="12" thickBot="1">
      <c r="A24" s="708" t="s">
        <v>493</v>
      </c>
      <c r="B24" s="709">
        <v>87187</v>
      </c>
      <c r="C24" s="709">
        <v>0</v>
      </c>
      <c r="D24" s="709">
        <v>0</v>
      </c>
      <c r="E24" s="709">
        <v>0</v>
      </c>
      <c r="F24" s="709">
        <f t="shared" si="4"/>
        <v>0</v>
      </c>
      <c r="G24" s="709">
        <v>0</v>
      </c>
      <c r="H24" s="709">
        <v>0</v>
      </c>
      <c r="I24" s="709">
        <f t="shared" si="5"/>
        <v>0</v>
      </c>
      <c r="J24" s="705">
        <f t="shared" si="6"/>
        <v>87187</v>
      </c>
    </row>
    <row r="25" spans="1:10" ht="12" thickBot="1">
      <c r="A25" s="710" t="s">
        <v>494</v>
      </c>
      <c r="B25" s="711">
        <f aca="true" t="shared" si="7" ref="B25:J25">SUM(B17:B24)</f>
        <v>514239</v>
      </c>
      <c r="C25" s="711">
        <f t="shared" si="7"/>
        <v>0</v>
      </c>
      <c r="D25" s="711">
        <f t="shared" si="7"/>
        <v>0</v>
      </c>
      <c r="E25" s="711">
        <f t="shared" si="7"/>
        <v>0</v>
      </c>
      <c r="F25" s="711">
        <f t="shared" si="7"/>
        <v>0</v>
      </c>
      <c r="G25" s="711">
        <f t="shared" si="7"/>
        <v>0</v>
      </c>
      <c r="H25" s="711">
        <f t="shared" si="7"/>
        <v>0</v>
      </c>
      <c r="I25" s="711">
        <f t="shared" si="7"/>
        <v>0</v>
      </c>
      <c r="J25" s="711">
        <f t="shared" si="7"/>
        <v>514239</v>
      </c>
    </row>
    <row r="26" spans="1:10" ht="12" thickBot="1">
      <c r="A26" s="710" t="s">
        <v>495</v>
      </c>
      <c r="B26" s="711">
        <f>B16+B25</f>
        <v>1492131</v>
      </c>
      <c r="C26" s="711">
        <f aca="true" t="shared" si="8" ref="C26:J26">SUM(C25,C16)</f>
        <v>431734</v>
      </c>
      <c r="D26" s="711">
        <f t="shared" si="8"/>
        <v>91056</v>
      </c>
      <c r="E26" s="711">
        <f t="shared" si="8"/>
        <v>65121</v>
      </c>
      <c r="F26" s="711">
        <f t="shared" si="8"/>
        <v>156177</v>
      </c>
      <c r="G26" s="711">
        <f t="shared" si="8"/>
        <v>35822</v>
      </c>
      <c r="H26" s="711">
        <f t="shared" si="8"/>
        <v>30817</v>
      </c>
      <c r="I26" s="711">
        <f t="shared" si="8"/>
        <v>66639</v>
      </c>
      <c r="J26" s="711">
        <f t="shared" si="8"/>
        <v>2146681</v>
      </c>
    </row>
    <row r="27" spans="1:10" ht="11.25">
      <c r="A27" s="578" t="s">
        <v>412</v>
      </c>
      <c r="B27" s="579">
        <v>104522</v>
      </c>
      <c r="C27" s="579">
        <v>11090</v>
      </c>
      <c r="D27" s="579">
        <v>0</v>
      </c>
      <c r="E27" s="579">
        <v>4684</v>
      </c>
      <c r="F27" s="579">
        <f aca="true" t="shared" si="9" ref="F27:F40">SUM(D27:E27)</f>
        <v>4684</v>
      </c>
      <c r="G27" s="579">
        <v>3700</v>
      </c>
      <c r="H27" s="579">
        <v>1500</v>
      </c>
      <c r="I27" s="579">
        <f aca="true" t="shared" si="10" ref="I27:I40">SUM(G27:H27)</f>
        <v>5200</v>
      </c>
      <c r="J27" s="577">
        <f aca="true" t="shared" si="11" ref="J27:J40">SUM(B27+C27+F27+I27)</f>
        <v>125496</v>
      </c>
    </row>
    <row r="28" spans="1:10" ht="11.25">
      <c r="A28" s="578" t="s">
        <v>496</v>
      </c>
      <c r="B28" s="579">
        <v>72693</v>
      </c>
      <c r="C28" s="579">
        <v>12067</v>
      </c>
      <c r="D28" s="579">
        <v>0</v>
      </c>
      <c r="E28" s="579">
        <v>0</v>
      </c>
      <c r="F28" s="570">
        <f t="shared" si="9"/>
        <v>0</v>
      </c>
      <c r="G28" s="579">
        <v>0</v>
      </c>
      <c r="H28" s="579">
        <v>0</v>
      </c>
      <c r="I28" s="570">
        <f t="shared" si="10"/>
        <v>0</v>
      </c>
      <c r="J28" s="571">
        <f t="shared" si="11"/>
        <v>84760</v>
      </c>
    </row>
    <row r="29" spans="1:10" ht="11.25">
      <c r="A29" s="578" t="s">
        <v>497</v>
      </c>
      <c r="B29" s="579">
        <v>0</v>
      </c>
      <c r="C29" s="579">
        <v>0</v>
      </c>
      <c r="D29" s="579">
        <v>0</v>
      </c>
      <c r="E29" s="579">
        <v>0</v>
      </c>
      <c r="F29" s="570">
        <f t="shared" si="9"/>
        <v>0</v>
      </c>
      <c r="G29" s="579">
        <v>0</v>
      </c>
      <c r="H29" s="579">
        <v>0</v>
      </c>
      <c r="I29" s="570">
        <f t="shared" si="10"/>
        <v>0</v>
      </c>
      <c r="J29" s="571">
        <f t="shared" si="11"/>
        <v>0</v>
      </c>
    </row>
    <row r="30" spans="1:10" ht="11.25">
      <c r="A30" s="569" t="s">
        <v>498</v>
      </c>
      <c r="B30" s="570">
        <v>40000</v>
      </c>
      <c r="C30" s="570">
        <v>0</v>
      </c>
      <c r="D30" s="579">
        <v>0</v>
      </c>
      <c r="E30" s="579">
        <v>0</v>
      </c>
      <c r="F30" s="570">
        <f t="shared" si="9"/>
        <v>0</v>
      </c>
      <c r="G30" s="579">
        <v>0</v>
      </c>
      <c r="H30" s="579">
        <v>0</v>
      </c>
      <c r="I30" s="570">
        <f t="shared" si="10"/>
        <v>0</v>
      </c>
      <c r="J30" s="571">
        <f t="shared" si="11"/>
        <v>40000</v>
      </c>
    </row>
    <row r="31" spans="1:10" ht="11.25">
      <c r="A31" s="569" t="s">
        <v>499</v>
      </c>
      <c r="B31" s="570">
        <v>0</v>
      </c>
      <c r="C31" s="570">
        <v>0</v>
      </c>
      <c r="D31" s="579">
        <v>0</v>
      </c>
      <c r="E31" s="579">
        <v>0</v>
      </c>
      <c r="F31" s="570">
        <f t="shared" si="9"/>
        <v>0</v>
      </c>
      <c r="G31" s="579">
        <v>0</v>
      </c>
      <c r="H31" s="579">
        <v>0</v>
      </c>
      <c r="I31" s="570">
        <f t="shared" si="10"/>
        <v>0</v>
      </c>
      <c r="J31" s="571">
        <f t="shared" si="11"/>
        <v>0</v>
      </c>
    </row>
    <row r="32" spans="1:10" ht="11.25">
      <c r="A32" s="569" t="s">
        <v>500</v>
      </c>
      <c r="B32" s="570">
        <v>282582</v>
      </c>
      <c r="C32" s="570">
        <v>0</v>
      </c>
      <c r="D32" s="579">
        <v>0</v>
      </c>
      <c r="E32" s="579">
        <v>0</v>
      </c>
      <c r="F32" s="570">
        <f t="shared" si="9"/>
        <v>0</v>
      </c>
      <c r="G32" s="579">
        <v>0</v>
      </c>
      <c r="H32" s="579">
        <v>0</v>
      </c>
      <c r="I32" s="570">
        <f t="shared" si="10"/>
        <v>0</v>
      </c>
      <c r="J32" s="571">
        <f t="shared" si="11"/>
        <v>282582</v>
      </c>
    </row>
    <row r="33" spans="1:10" ht="11.25">
      <c r="A33" s="569" t="s">
        <v>501</v>
      </c>
      <c r="B33" s="570">
        <v>500</v>
      </c>
      <c r="C33" s="570">
        <v>0</v>
      </c>
      <c r="D33" s="579">
        <v>0</v>
      </c>
      <c r="E33" s="579">
        <v>0</v>
      </c>
      <c r="F33" s="570">
        <f t="shared" si="9"/>
        <v>0</v>
      </c>
      <c r="G33" s="579">
        <v>0</v>
      </c>
      <c r="H33" s="579">
        <v>0</v>
      </c>
      <c r="I33" s="570">
        <f t="shared" si="10"/>
        <v>0</v>
      </c>
      <c r="J33" s="571">
        <f t="shared" si="11"/>
        <v>500</v>
      </c>
    </row>
    <row r="34" spans="1:10" ht="11.25">
      <c r="A34" s="569" t="s">
        <v>502</v>
      </c>
      <c r="B34" s="570">
        <v>225828</v>
      </c>
      <c r="C34" s="570">
        <v>0</v>
      </c>
      <c r="D34" s="579">
        <v>0</v>
      </c>
      <c r="E34" s="579">
        <v>0</v>
      </c>
      <c r="F34" s="570">
        <f t="shared" si="9"/>
        <v>0</v>
      </c>
      <c r="G34" s="579">
        <v>0</v>
      </c>
      <c r="H34" s="579">
        <v>0</v>
      </c>
      <c r="I34" s="570">
        <f t="shared" si="10"/>
        <v>0</v>
      </c>
      <c r="J34" s="571">
        <f t="shared" si="11"/>
        <v>225828</v>
      </c>
    </row>
    <row r="35" spans="1:10" ht="11.25">
      <c r="A35" s="569" t="s">
        <v>503</v>
      </c>
      <c r="B35" s="570">
        <v>3100</v>
      </c>
      <c r="C35" s="570">
        <v>0</v>
      </c>
      <c r="D35" s="579">
        <v>0</v>
      </c>
      <c r="E35" s="579">
        <v>0</v>
      </c>
      <c r="F35" s="570">
        <f t="shared" si="9"/>
        <v>0</v>
      </c>
      <c r="G35" s="579">
        <v>0</v>
      </c>
      <c r="H35" s="579">
        <v>0</v>
      </c>
      <c r="I35" s="570">
        <f t="shared" si="10"/>
        <v>0</v>
      </c>
      <c r="J35" s="571">
        <f t="shared" si="11"/>
        <v>3100</v>
      </c>
    </row>
    <row r="36" spans="1:10" ht="11.25">
      <c r="A36" s="569" t="s">
        <v>504</v>
      </c>
      <c r="B36" s="570">
        <v>693876</v>
      </c>
      <c r="C36" s="570">
        <v>0</v>
      </c>
      <c r="D36" s="579">
        <v>0</v>
      </c>
      <c r="E36" s="579">
        <v>0</v>
      </c>
      <c r="F36" s="570">
        <f t="shared" si="9"/>
        <v>0</v>
      </c>
      <c r="G36" s="579">
        <v>0</v>
      </c>
      <c r="H36" s="579">
        <v>0</v>
      </c>
      <c r="I36" s="570">
        <f t="shared" si="10"/>
        <v>0</v>
      </c>
      <c r="J36" s="571">
        <f t="shared" si="11"/>
        <v>693876</v>
      </c>
    </row>
    <row r="37" spans="1:10" ht="11.25">
      <c r="A37" s="569" t="s">
        <v>505</v>
      </c>
      <c r="B37" s="570">
        <v>42000</v>
      </c>
      <c r="C37" s="570">
        <v>0</v>
      </c>
      <c r="D37" s="579">
        <v>0</v>
      </c>
      <c r="E37" s="579">
        <v>0</v>
      </c>
      <c r="F37" s="570">
        <f t="shared" si="9"/>
        <v>0</v>
      </c>
      <c r="G37" s="579">
        <v>0</v>
      </c>
      <c r="H37" s="579">
        <v>0</v>
      </c>
      <c r="I37" s="570">
        <f t="shared" si="10"/>
        <v>0</v>
      </c>
      <c r="J37" s="571">
        <f t="shared" si="11"/>
        <v>42000</v>
      </c>
    </row>
    <row r="38" spans="1:10" ht="11.25">
      <c r="A38" s="569" t="s">
        <v>506</v>
      </c>
      <c r="B38" s="570">
        <v>0</v>
      </c>
      <c r="C38" s="570">
        <v>0</v>
      </c>
      <c r="D38" s="579">
        <v>0</v>
      </c>
      <c r="E38" s="579">
        <v>0</v>
      </c>
      <c r="F38" s="570">
        <f t="shared" si="9"/>
        <v>0</v>
      </c>
      <c r="G38" s="579">
        <v>0</v>
      </c>
      <c r="H38" s="579">
        <v>0</v>
      </c>
      <c r="I38" s="570">
        <f t="shared" si="10"/>
        <v>0</v>
      </c>
      <c r="J38" s="571">
        <f t="shared" si="11"/>
        <v>0</v>
      </c>
    </row>
    <row r="39" spans="1:10" ht="11.25">
      <c r="A39" s="569" t="s">
        <v>507</v>
      </c>
      <c r="B39" s="570">
        <v>42091</v>
      </c>
      <c r="C39" s="570">
        <v>0</v>
      </c>
      <c r="D39" s="579">
        <v>0</v>
      </c>
      <c r="E39" s="579">
        <v>0</v>
      </c>
      <c r="F39" s="570">
        <f t="shared" si="9"/>
        <v>0</v>
      </c>
      <c r="G39" s="579">
        <v>0</v>
      </c>
      <c r="H39" s="579">
        <v>0</v>
      </c>
      <c r="I39" s="570">
        <f t="shared" si="10"/>
        <v>0</v>
      </c>
      <c r="J39" s="571">
        <f t="shared" si="11"/>
        <v>42091</v>
      </c>
    </row>
    <row r="40" spans="1:10" s="584" customFormat="1" ht="12" thickBot="1">
      <c r="A40" s="712" t="s">
        <v>508</v>
      </c>
      <c r="B40" s="713">
        <v>314951</v>
      </c>
      <c r="C40" s="713">
        <v>175634</v>
      </c>
      <c r="D40" s="713">
        <v>70655</v>
      </c>
      <c r="E40" s="713">
        <v>32508</v>
      </c>
      <c r="F40" s="709">
        <f t="shared" si="9"/>
        <v>103163</v>
      </c>
      <c r="G40" s="713">
        <v>6350</v>
      </c>
      <c r="H40" s="713">
        <v>6350</v>
      </c>
      <c r="I40" s="709">
        <f t="shared" si="10"/>
        <v>12700</v>
      </c>
      <c r="J40" s="705">
        <f t="shared" si="11"/>
        <v>606448</v>
      </c>
    </row>
    <row r="41" spans="1:10" s="585" customFormat="1" ht="12" thickBot="1">
      <c r="A41" s="710" t="s">
        <v>509</v>
      </c>
      <c r="B41" s="711">
        <f>SUM(B27:B40)</f>
        <v>1822143</v>
      </c>
      <c r="C41" s="711">
        <f aca="true" t="shared" si="12" ref="C41:J41">SUM(C27:C40)</f>
        <v>198791</v>
      </c>
      <c r="D41" s="711">
        <f t="shared" si="12"/>
        <v>70655</v>
      </c>
      <c r="E41" s="711">
        <f t="shared" si="12"/>
        <v>37192</v>
      </c>
      <c r="F41" s="711">
        <f t="shared" si="12"/>
        <v>107847</v>
      </c>
      <c r="G41" s="711">
        <f t="shared" si="12"/>
        <v>10050</v>
      </c>
      <c r="H41" s="711">
        <f t="shared" si="12"/>
        <v>7850</v>
      </c>
      <c r="I41" s="711">
        <f t="shared" si="12"/>
        <v>17900</v>
      </c>
      <c r="J41" s="711">
        <f t="shared" si="12"/>
        <v>2146681</v>
      </c>
    </row>
    <row r="42" spans="1:10" s="586" customFormat="1" ht="12" customHeight="1">
      <c r="A42" s="578" t="s">
        <v>510</v>
      </c>
      <c r="B42" s="579">
        <f aca="true" t="shared" si="13" ref="B42:I42">SUM(B26-B27-B28-B35-B29-B30-B31-B32-B33-B34-B36-B37-B38-B39)</f>
        <v>-15061</v>
      </c>
      <c r="C42" s="579">
        <f t="shared" si="13"/>
        <v>408577</v>
      </c>
      <c r="D42" s="579">
        <f t="shared" si="13"/>
        <v>91056</v>
      </c>
      <c r="E42" s="579">
        <f t="shared" si="13"/>
        <v>60437</v>
      </c>
      <c r="F42" s="579">
        <f t="shared" si="13"/>
        <v>151493</v>
      </c>
      <c r="G42" s="579">
        <f t="shared" si="13"/>
        <v>32122</v>
      </c>
      <c r="H42" s="579">
        <f t="shared" si="13"/>
        <v>29317</v>
      </c>
      <c r="I42" s="579">
        <f t="shared" si="13"/>
        <v>61439</v>
      </c>
      <c r="J42" s="576"/>
    </row>
    <row r="43" spans="1:10" ht="11.25">
      <c r="A43" s="578" t="s">
        <v>511</v>
      </c>
      <c r="B43" s="579">
        <f aca="true" t="shared" si="14" ref="B43:I43">SUM(B42-B40)</f>
        <v>-330012</v>
      </c>
      <c r="C43" s="579">
        <f t="shared" si="14"/>
        <v>232943</v>
      </c>
      <c r="D43" s="579">
        <f t="shared" si="14"/>
        <v>20401</v>
      </c>
      <c r="E43" s="579">
        <f t="shared" si="14"/>
        <v>27929</v>
      </c>
      <c r="F43" s="579">
        <f t="shared" si="14"/>
        <v>48330</v>
      </c>
      <c r="G43" s="579">
        <f t="shared" si="14"/>
        <v>25772</v>
      </c>
      <c r="H43" s="579">
        <f t="shared" si="14"/>
        <v>22967</v>
      </c>
      <c r="I43" s="579">
        <f t="shared" si="14"/>
        <v>48739</v>
      </c>
      <c r="J43" s="583"/>
    </row>
    <row r="44" spans="1:10" ht="11.25">
      <c r="A44" s="569" t="s">
        <v>512</v>
      </c>
      <c r="B44" s="587">
        <f aca="true" t="shared" si="15" ref="B44:I44">SUM(B43/B26)</f>
        <v>-0.22116824863232518</v>
      </c>
      <c r="C44" s="587">
        <f t="shared" si="15"/>
        <v>0.5395521316366095</v>
      </c>
      <c r="D44" s="587">
        <f t="shared" si="15"/>
        <v>0.22404893691794062</v>
      </c>
      <c r="E44" s="587">
        <f t="shared" si="15"/>
        <v>0.4288785491623286</v>
      </c>
      <c r="F44" s="587">
        <f t="shared" si="15"/>
        <v>0.3094565781132945</v>
      </c>
      <c r="G44" s="587">
        <f t="shared" si="15"/>
        <v>0.7194461504103623</v>
      </c>
      <c r="H44" s="587">
        <f t="shared" si="15"/>
        <v>0.7452704675990525</v>
      </c>
      <c r="I44" s="587">
        <f t="shared" si="15"/>
        <v>0.7313885262383889</v>
      </c>
      <c r="J44" s="583"/>
    </row>
  </sheetData>
  <sheetProtection selectLockedCells="1" selectUnlockedCells="1"/>
  <mergeCells count="9">
    <mergeCell ref="B1:J1"/>
    <mergeCell ref="A4:J4"/>
    <mergeCell ref="I5:J5"/>
    <mergeCell ref="A6:A7"/>
    <mergeCell ref="B6:B7"/>
    <mergeCell ref="C6:C7"/>
    <mergeCell ref="D6:F6"/>
    <mergeCell ref="G6:I6"/>
    <mergeCell ref="J6:J7"/>
  </mergeCells>
  <printOptions horizontalCentered="1" verticalCentered="1"/>
  <pageMargins left="0.2361111111111111" right="0.2361111111111111" top="0.2361111111111111" bottom="0.3541666666666667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2"/>
  <dimension ref="A1:S44"/>
  <sheetViews>
    <sheetView view="pageBreakPreview" zoomScale="60" zoomScaleNormal="125" workbookViewId="0" topLeftCell="A1">
      <selection activeCell="C5" sqref="C5"/>
    </sheetView>
  </sheetViews>
  <sheetFormatPr defaultColWidth="9.00390625" defaultRowHeight="12.75"/>
  <cols>
    <col min="1" max="1" width="17.00390625" style="588" customWidth="1"/>
    <col min="2" max="3" width="10.375" style="588" customWidth="1"/>
    <col min="4" max="5" width="7.875" style="588" customWidth="1"/>
    <col min="6" max="11" width="7.625" style="588" customWidth="1"/>
    <col min="12" max="12" width="8.25390625" style="588" customWidth="1"/>
    <col min="13" max="13" width="8.125" style="588" customWidth="1"/>
    <col min="14" max="14" width="9.625" style="589" customWidth="1"/>
    <col min="15" max="16384" width="9.625" style="588" customWidth="1"/>
  </cols>
  <sheetData>
    <row r="1" spans="4:19" ht="12.75" customHeight="1"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590"/>
      <c r="P1" s="590"/>
      <c r="Q1" s="591"/>
      <c r="R1" s="591"/>
      <c r="S1" s="591"/>
    </row>
    <row r="2" spans="6:19" ht="12.75" customHeight="1"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591"/>
      <c r="R2" s="591"/>
      <c r="S2" s="591"/>
    </row>
    <row r="3" spans="6:19" ht="12.75" customHeight="1"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591"/>
      <c r="R3" s="591"/>
      <c r="S3" s="591"/>
    </row>
    <row r="4" spans="1:15" s="589" customFormat="1" ht="15.75">
      <c r="A4" s="829" t="s">
        <v>623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</row>
    <row r="5" spans="13:15" ht="11.25" customHeight="1">
      <c r="M5" s="830" t="s">
        <v>123</v>
      </c>
      <c r="N5" s="830"/>
      <c r="O5" s="830"/>
    </row>
    <row r="6" spans="1:15" ht="26.25" customHeight="1">
      <c r="A6" s="831" t="s">
        <v>471</v>
      </c>
      <c r="B6" s="831" t="s">
        <v>513</v>
      </c>
      <c r="C6" s="831"/>
      <c r="D6" s="831"/>
      <c r="E6" s="831"/>
      <c r="F6" s="826" t="s">
        <v>253</v>
      </c>
      <c r="G6" s="826"/>
      <c r="H6" s="826"/>
      <c r="I6" s="826"/>
      <c r="J6" s="826" t="s">
        <v>514</v>
      </c>
      <c r="K6" s="827" t="s">
        <v>515</v>
      </c>
      <c r="L6" s="826" t="s">
        <v>516</v>
      </c>
      <c r="M6" s="827" t="s">
        <v>517</v>
      </c>
      <c r="N6" s="826" t="s">
        <v>518</v>
      </c>
      <c r="O6" s="828" t="s">
        <v>519</v>
      </c>
    </row>
    <row r="7" spans="1:15" ht="21">
      <c r="A7" s="831"/>
      <c r="B7" s="592" t="s">
        <v>520</v>
      </c>
      <c r="C7" s="593" t="s">
        <v>521</v>
      </c>
      <c r="D7" s="594" t="s">
        <v>522</v>
      </c>
      <c r="E7" s="595" t="s">
        <v>523</v>
      </c>
      <c r="F7" s="596" t="s">
        <v>524</v>
      </c>
      <c r="G7" s="597" t="s">
        <v>525</v>
      </c>
      <c r="H7" s="598" t="s">
        <v>526</v>
      </c>
      <c r="I7" s="599" t="s">
        <v>527</v>
      </c>
      <c r="J7" s="826"/>
      <c r="K7" s="827"/>
      <c r="L7" s="826"/>
      <c r="M7" s="827"/>
      <c r="N7" s="826"/>
      <c r="O7" s="828"/>
    </row>
    <row r="8" spans="1:15" ht="11.25">
      <c r="A8" s="600" t="s">
        <v>480</v>
      </c>
      <c r="B8" s="601">
        <v>20204</v>
      </c>
      <c r="C8" s="602">
        <v>21994</v>
      </c>
      <c r="D8" s="601">
        <v>15941</v>
      </c>
      <c r="E8" s="602">
        <v>16807</v>
      </c>
      <c r="F8" s="601">
        <v>61917</v>
      </c>
      <c r="G8" s="602">
        <v>65358</v>
      </c>
      <c r="H8" s="601">
        <v>38960</v>
      </c>
      <c r="I8" s="602">
        <v>41569</v>
      </c>
      <c r="J8" s="601">
        <v>231875</v>
      </c>
      <c r="K8" s="602">
        <v>248691</v>
      </c>
      <c r="L8" s="601">
        <v>119511</v>
      </c>
      <c r="M8" s="602">
        <v>105791</v>
      </c>
      <c r="N8" s="603">
        <f>SUM(B8+D8+F8+J8+L8+H8)</f>
        <v>488408</v>
      </c>
      <c r="O8" s="604">
        <f aca="true" t="shared" si="0" ref="O8:O41">SUM(C8+E8+G8+I8+K8+M8)</f>
        <v>500210</v>
      </c>
    </row>
    <row r="9" spans="1:15" ht="11.25">
      <c r="A9" s="600" t="s">
        <v>481</v>
      </c>
      <c r="B9" s="601">
        <v>5455</v>
      </c>
      <c r="C9" s="602">
        <v>5828</v>
      </c>
      <c r="D9" s="601">
        <v>4304</v>
      </c>
      <c r="E9" s="602">
        <v>4510</v>
      </c>
      <c r="F9" s="601">
        <v>16814</v>
      </c>
      <c r="G9" s="602">
        <v>17356</v>
      </c>
      <c r="H9" s="601">
        <v>11725</v>
      </c>
      <c r="I9" s="602">
        <v>11168</v>
      </c>
      <c r="J9" s="601">
        <v>66695</v>
      </c>
      <c r="K9" s="602">
        <v>70556</v>
      </c>
      <c r="L9" s="601">
        <v>23135</v>
      </c>
      <c r="M9" s="602">
        <v>21509</v>
      </c>
      <c r="N9" s="603">
        <f>SUM(B9+D9+F9+J9+L9+H9)</f>
        <v>128128</v>
      </c>
      <c r="O9" s="604">
        <f t="shared" si="0"/>
        <v>130927</v>
      </c>
    </row>
    <row r="10" spans="1:15" ht="11.25">
      <c r="A10" s="600" t="s">
        <v>378</v>
      </c>
      <c r="B10" s="601">
        <v>6500</v>
      </c>
      <c r="C10" s="602">
        <v>8000</v>
      </c>
      <c r="D10" s="601">
        <v>9000</v>
      </c>
      <c r="E10" s="602">
        <v>9500</v>
      </c>
      <c r="F10" s="601">
        <v>8592</v>
      </c>
      <c r="G10" s="602">
        <v>8342</v>
      </c>
      <c r="H10" s="601">
        <v>10599</v>
      </c>
      <c r="I10" s="602">
        <v>12384</v>
      </c>
      <c r="J10" s="601">
        <v>115971</v>
      </c>
      <c r="K10" s="602">
        <v>110366</v>
      </c>
      <c r="L10" s="601">
        <v>268987</v>
      </c>
      <c r="M10" s="602">
        <v>261213</v>
      </c>
      <c r="N10" s="603">
        <f>SUM(B10+D10+F10+J10+L10+H10)</f>
        <v>419649</v>
      </c>
      <c r="O10" s="604">
        <f t="shared" si="0"/>
        <v>409805</v>
      </c>
    </row>
    <row r="11" spans="1:15" ht="11.25">
      <c r="A11" s="605" t="s">
        <v>482</v>
      </c>
      <c r="B11" s="606">
        <v>0</v>
      </c>
      <c r="C11" s="607">
        <v>0</v>
      </c>
      <c r="D11" s="606">
        <v>0</v>
      </c>
      <c r="E11" s="607">
        <v>0</v>
      </c>
      <c r="F11" s="606">
        <v>0</v>
      </c>
      <c r="G11" s="607">
        <v>0</v>
      </c>
      <c r="H11" s="606"/>
      <c r="I11" s="607">
        <v>0</v>
      </c>
      <c r="J11" s="606">
        <v>0</v>
      </c>
      <c r="K11" s="607">
        <v>0</v>
      </c>
      <c r="L11" s="606">
        <v>269761</v>
      </c>
      <c r="M11" s="607">
        <v>250955</v>
      </c>
      <c r="N11" s="603">
        <f>SUM(B11+D11+F11+J11+L11)</f>
        <v>269761</v>
      </c>
      <c r="O11" s="604">
        <f t="shared" si="0"/>
        <v>250955</v>
      </c>
    </row>
    <row r="12" spans="1:15" ht="11.25">
      <c r="A12" s="605" t="s">
        <v>82</v>
      </c>
      <c r="B12" s="606">
        <v>0</v>
      </c>
      <c r="C12" s="607">
        <v>0</v>
      </c>
      <c r="D12" s="606">
        <v>0</v>
      </c>
      <c r="E12" s="607">
        <v>0</v>
      </c>
      <c r="F12" s="606">
        <v>0</v>
      </c>
      <c r="G12" s="607">
        <v>0</v>
      </c>
      <c r="H12" s="606"/>
      <c r="I12" s="607">
        <v>0</v>
      </c>
      <c r="J12" s="606">
        <v>0</v>
      </c>
      <c r="K12" s="607">
        <v>0</v>
      </c>
      <c r="L12" s="606">
        <v>258888</v>
      </c>
      <c r="M12" s="607">
        <v>275938</v>
      </c>
      <c r="N12" s="603">
        <f>SUM(B12+D12+F12+J12+L12)</f>
        <v>258888</v>
      </c>
      <c r="O12" s="604">
        <f t="shared" si="0"/>
        <v>275938</v>
      </c>
    </row>
    <row r="13" spans="1:15" ht="11.25">
      <c r="A13" s="605" t="s">
        <v>483</v>
      </c>
      <c r="B13" s="606">
        <v>0</v>
      </c>
      <c r="C13" s="607">
        <v>0</v>
      </c>
      <c r="D13" s="606">
        <v>0</v>
      </c>
      <c r="E13" s="607">
        <v>0</v>
      </c>
      <c r="F13" s="606">
        <v>0</v>
      </c>
      <c r="G13" s="607">
        <v>0</v>
      </c>
      <c r="H13" s="606"/>
      <c r="I13" s="607">
        <v>0</v>
      </c>
      <c r="J13" s="606">
        <v>14127</v>
      </c>
      <c r="K13" s="607">
        <v>2121</v>
      </c>
      <c r="L13" s="606">
        <v>38776</v>
      </c>
      <c r="M13" s="607">
        <v>62486</v>
      </c>
      <c r="N13" s="603">
        <f>SUM(B13+D13+F13+J13+L13)</f>
        <v>52903</v>
      </c>
      <c r="O13" s="604">
        <f t="shared" si="0"/>
        <v>64607</v>
      </c>
    </row>
    <row r="14" spans="1:15" ht="11.25">
      <c r="A14" s="605" t="s">
        <v>484</v>
      </c>
      <c r="B14" s="606">
        <v>0</v>
      </c>
      <c r="C14" s="607">
        <v>0</v>
      </c>
      <c r="D14" s="606">
        <v>0</v>
      </c>
      <c r="E14" s="607">
        <v>0</v>
      </c>
      <c r="F14" s="606">
        <v>0</v>
      </c>
      <c r="G14" s="607">
        <v>0</v>
      </c>
      <c r="H14" s="606"/>
      <c r="I14" s="607">
        <v>0</v>
      </c>
      <c r="J14" s="606">
        <v>0</v>
      </c>
      <c r="K14" s="607">
        <v>0</v>
      </c>
      <c r="L14" s="606">
        <v>0</v>
      </c>
      <c r="M14" s="607">
        <v>0</v>
      </c>
      <c r="N14" s="603">
        <f>SUM(B14+D14+F14+J14+L14)</f>
        <v>0</v>
      </c>
      <c r="O14" s="604">
        <f t="shared" si="0"/>
        <v>0</v>
      </c>
    </row>
    <row r="15" spans="1:15" ht="12" thickBot="1">
      <c r="A15" s="714" t="s">
        <v>383</v>
      </c>
      <c r="B15" s="715">
        <v>0</v>
      </c>
      <c r="C15" s="716">
        <v>0</v>
      </c>
      <c r="D15" s="715">
        <v>0</v>
      </c>
      <c r="E15" s="716">
        <v>0</v>
      </c>
      <c r="F15" s="715">
        <v>0</v>
      </c>
      <c r="G15" s="716">
        <v>0</v>
      </c>
      <c r="H15" s="715"/>
      <c r="I15" s="716">
        <v>0</v>
      </c>
      <c r="J15" s="715">
        <v>0</v>
      </c>
      <c r="K15" s="716">
        <v>0</v>
      </c>
      <c r="L15" s="715">
        <v>27458</v>
      </c>
      <c r="M15" s="716">
        <v>0</v>
      </c>
      <c r="N15" s="717">
        <f>SUM(B15+D15+F15+J15+L15)</f>
        <v>27458</v>
      </c>
      <c r="O15" s="718">
        <f t="shared" si="0"/>
        <v>0</v>
      </c>
    </row>
    <row r="16" spans="1:15" ht="12" thickBot="1">
      <c r="A16" s="720" t="s">
        <v>485</v>
      </c>
      <c r="B16" s="721">
        <f aca="true" t="shared" si="1" ref="B16:N16">SUM(B8:B15)</f>
        <v>32159</v>
      </c>
      <c r="C16" s="722">
        <f t="shared" si="1"/>
        <v>35822</v>
      </c>
      <c r="D16" s="721">
        <f t="shared" si="1"/>
        <v>29245</v>
      </c>
      <c r="E16" s="722">
        <f t="shared" si="1"/>
        <v>30817</v>
      </c>
      <c r="F16" s="721">
        <f t="shared" si="1"/>
        <v>87323</v>
      </c>
      <c r="G16" s="722">
        <f t="shared" si="1"/>
        <v>91056</v>
      </c>
      <c r="H16" s="721">
        <f>SUM(H8:H15)</f>
        <v>61284</v>
      </c>
      <c r="I16" s="722">
        <f t="shared" si="1"/>
        <v>65121</v>
      </c>
      <c r="J16" s="721">
        <f t="shared" si="1"/>
        <v>428668</v>
      </c>
      <c r="K16" s="722">
        <f t="shared" si="1"/>
        <v>431734</v>
      </c>
      <c r="L16" s="721">
        <f t="shared" si="1"/>
        <v>1006516</v>
      </c>
      <c r="M16" s="722">
        <f t="shared" si="1"/>
        <v>977892</v>
      </c>
      <c r="N16" s="721">
        <f t="shared" si="1"/>
        <v>1645195</v>
      </c>
      <c r="O16" s="722">
        <f t="shared" si="0"/>
        <v>1632442</v>
      </c>
    </row>
    <row r="17" spans="1:15" ht="11.25">
      <c r="A17" s="610" t="s">
        <v>486</v>
      </c>
      <c r="B17" s="611">
        <v>0</v>
      </c>
      <c r="C17" s="612">
        <v>0</v>
      </c>
      <c r="D17" s="611">
        <v>0</v>
      </c>
      <c r="E17" s="612">
        <v>0</v>
      </c>
      <c r="F17" s="614">
        <v>0</v>
      </c>
      <c r="G17" s="613">
        <v>0</v>
      </c>
      <c r="H17" s="614"/>
      <c r="I17" s="613">
        <v>0</v>
      </c>
      <c r="J17" s="611">
        <v>0</v>
      </c>
      <c r="K17" s="612">
        <v>0</v>
      </c>
      <c r="L17" s="611">
        <v>55910</v>
      </c>
      <c r="M17" s="612">
        <v>4365</v>
      </c>
      <c r="N17" s="719">
        <f aca="true" t="shared" si="2" ref="N17:N24">SUM(B17+D17+F17+J17+L17)</f>
        <v>55910</v>
      </c>
      <c r="O17" s="609">
        <f t="shared" si="0"/>
        <v>4365</v>
      </c>
    </row>
    <row r="18" spans="1:15" ht="11.25">
      <c r="A18" s="600" t="s">
        <v>487</v>
      </c>
      <c r="B18" s="601">
        <v>0</v>
      </c>
      <c r="C18" s="602">
        <v>0</v>
      </c>
      <c r="D18" s="601">
        <v>0</v>
      </c>
      <c r="E18" s="602">
        <v>0</v>
      </c>
      <c r="F18" s="606">
        <v>0</v>
      </c>
      <c r="G18" s="607">
        <v>0</v>
      </c>
      <c r="H18" s="606"/>
      <c r="I18" s="607">
        <v>0</v>
      </c>
      <c r="J18" s="601">
        <v>0</v>
      </c>
      <c r="K18" s="602">
        <v>0</v>
      </c>
      <c r="L18" s="601">
        <v>10000</v>
      </c>
      <c r="M18" s="602">
        <v>5000</v>
      </c>
      <c r="N18" s="603">
        <f t="shared" si="2"/>
        <v>10000</v>
      </c>
      <c r="O18" s="604">
        <f t="shared" si="0"/>
        <v>5000</v>
      </c>
    </row>
    <row r="19" spans="1:15" ht="11.25">
      <c r="A19" s="600" t="s">
        <v>488</v>
      </c>
      <c r="B19" s="601">
        <v>0</v>
      </c>
      <c r="C19" s="602">
        <v>0</v>
      </c>
      <c r="D19" s="601">
        <v>0</v>
      </c>
      <c r="E19" s="602">
        <v>0</v>
      </c>
      <c r="F19" s="606">
        <v>0</v>
      </c>
      <c r="G19" s="607">
        <v>0</v>
      </c>
      <c r="H19" s="606"/>
      <c r="I19" s="607">
        <v>0</v>
      </c>
      <c r="J19" s="601">
        <v>0</v>
      </c>
      <c r="K19" s="602">
        <v>0</v>
      </c>
      <c r="L19" s="601">
        <v>2700</v>
      </c>
      <c r="M19" s="602">
        <v>0</v>
      </c>
      <c r="N19" s="603">
        <f t="shared" si="2"/>
        <v>2700</v>
      </c>
      <c r="O19" s="604">
        <f t="shared" si="0"/>
        <v>0</v>
      </c>
    </row>
    <row r="20" spans="1:15" ht="11.25">
      <c r="A20" s="600" t="s">
        <v>489</v>
      </c>
      <c r="B20" s="601">
        <v>0</v>
      </c>
      <c r="C20" s="602">
        <v>0</v>
      </c>
      <c r="D20" s="601">
        <v>0</v>
      </c>
      <c r="E20" s="602">
        <v>0</v>
      </c>
      <c r="F20" s="606">
        <v>0</v>
      </c>
      <c r="G20" s="607">
        <v>0</v>
      </c>
      <c r="H20" s="606"/>
      <c r="I20" s="607">
        <v>0</v>
      </c>
      <c r="J20" s="601">
        <v>0</v>
      </c>
      <c r="K20" s="602">
        <v>0</v>
      </c>
      <c r="L20" s="601">
        <v>0</v>
      </c>
      <c r="M20" s="602">
        <v>0</v>
      </c>
      <c r="N20" s="603">
        <f t="shared" si="2"/>
        <v>0</v>
      </c>
      <c r="O20" s="604">
        <f t="shared" si="0"/>
        <v>0</v>
      </c>
    </row>
    <row r="21" spans="1:15" ht="11.25">
      <c r="A21" s="600" t="s">
        <v>490</v>
      </c>
      <c r="B21" s="601">
        <v>0</v>
      </c>
      <c r="C21" s="602">
        <v>0</v>
      </c>
      <c r="D21" s="601">
        <v>0</v>
      </c>
      <c r="E21" s="615">
        <v>0</v>
      </c>
      <c r="F21" s="601">
        <v>0</v>
      </c>
      <c r="G21" s="616">
        <v>0</v>
      </c>
      <c r="H21" s="617"/>
      <c r="I21" s="616">
        <v>0</v>
      </c>
      <c r="J21" s="617">
        <v>0</v>
      </c>
      <c r="K21" s="616">
        <v>0</v>
      </c>
      <c r="L21" s="601">
        <v>0</v>
      </c>
      <c r="M21" s="602">
        <v>0</v>
      </c>
      <c r="N21" s="603">
        <f t="shared" si="2"/>
        <v>0</v>
      </c>
      <c r="O21" s="604">
        <f t="shared" si="0"/>
        <v>0</v>
      </c>
    </row>
    <row r="22" spans="1:15" ht="11.25">
      <c r="A22" s="600" t="s">
        <v>528</v>
      </c>
      <c r="B22" s="601">
        <v>0</v>
      </c>
      <c r="C22" s="602">
        <v>0</v>
      </c>
      <c r="D22" s="601">
        <v>0</v>
      </c>
      <c r="E22" s="602">
        <v>0</v>
      </c>
      <c r="F22" s="611">
        <v>0</v>
      </c>
      <c r="G22" s="612">
        <v>0</v>
      </c>
      <c r="H22" s="611"/>
      <c r="I22" s="612">
        <v>0</v>
      </c>
      <c r="J22" s="601">
        <v>0</v>
      </c>
      <c r="K22" s="602">
        <v>0</v>
      </c>
      <c r="L22" s="601">
        <v>0</v>
      </c>
      <c r="M22" s="602">
        <v>102705</v>
      </c>
      <c r="N22" s="603">
        <f t="shared" si="2"/>
        <v>0</v>
      </c>
      <c r="O22" s="604">
        <f t="shared" si="0"/>
        <v>102705</v>
      </c>
    </row>
    <row r="23" spans="1:15" ht="11.25">
      <c r="A23" s="605" t="s">
        <v>529</v>
      </c>
      <c r="B23" s="606">
        <v>0</v>
      </c>
      <c r="C23" s="607">
        <v>0</v>
      </c>
      <c r="D23" s="606">
        <v>0</v>
      </c>
      <c r="E23" s="607">
        <v>0</v>
      </c>
      <c r="F23" s="606">
        <v>0</v>
      </c>
      <c r="G23" s="607">
        <v>0</v>
      </c>
      <c r="H23" s="606"/>
      <c r="I23" s="607">
        <v>0</v>
      </c>
      <c r="J23" s="606">
        <v>5000</v>
      </c>
      <c r="K23" s="607">
        <v>0</v>
      </c>
      <c r="L23" s="606">
        <v>517321</v>
      </c>
      <c r="M23" s="607">
        <v>314982</v>
      </c>
      <c r="N23" s="603">
        <f t="shared" si="2"/>
        <v>522321</v>
      </c>
      <c r="O23" s="604">
        <f t="shared" si="0"/>
        <v>314982</v>
      </c>
    </row>
    <row r="24" spans="1:15" ht="12" thickBot="1">
      <c r="A24" s="714" t="s">
        <v>493</v>
      </c>
      <c r="B24" s="715">
        <v>0</v>
      </c>
      <c r="C24" s="716">
        <v>0</v>
      </c>
      <c r="D24" s="715">
        <v>0</v>
      </c>
      <c r="E24" s="716">
        <v>0</v>
      </c>
      <c r="F24" s="715">
        <v>0</v>
      </c>
      <c r="G24" s="716">
        <v>0</v>
      </c>
      <c r="H24" s="715"/>
      <c r="I24" s="716">
        <v>0</v>
      </c>
      <c r="J24" s="715">
        <v>0</v>
      </c>
      <c r="K24" s="716">
        <v>0</v>
      </c>
      <c r="L24" s="715">
        <v>1446077</v>
      </c>
      <c r="M24" s="716">
        <v>87187</v>
      </c>
      <c r="N24" s="717">
        <f t="shared" si="2"/>
        <v>1446077</v>
      </c>
      <c r="O24" s="718">
        <f t="shared" si="0"/>
        <v>87187</v>
      </c>
    </row>
    <row r="25" spans="1:15" ht="12" thickBot="1">
      <c r="A25" s="720" t="s">
        <v>494</v>
      </c>
      <c r="B25" s="723">
        <f aca="true" t="shared" si="3" ref="B25:N25">SUM(B17:B24)</f>
        <v>0</v>
      </c>
      <c r="C25" s="724">
        <f t="shared" si="3"/>
        <v>0</v>
      </c>
      <c r="D25" s="723">
        <f t="shared" si="3"/>
        <v>0</v>
      </c>
      <c r="E25" s="724">
        <f t="shared" si="3"/>
        <v>0</v>
      </c>
      <c r="F25" s="723">
        <f t="shared" si="3"/>
        <v>0</v>
      </c>
      <c r="G25" s="724">
        <f t="shared" si="3"/>
        <v>0</v>
      </c>
      <c r="H25" s="723">
        <f>SUM(H17:H24)</f>
        <v>0</v>
      </c>
      <c r="I25" s="724">
        <f t="shared" si="3"/>
        <v>0</v>
      </c>
      <c r="J25" s="723">
        <f t="shared" si="3"/>
        <v>5000</v>
      </c>
      <c r="K25" s="724">
        <f t="shared" si="3"/>
        <v>0</v>
      </c>
      <c r="L25" s="723">
        <f t="shared" si="3"/>
        <v>2032008</v>
      </c>
      <c r="M25" s="724">
        <f t="shared" si="3"/>
        <v>514239</v>
      </c>
      <c r="N25" s="723">
        <f t="shared" si="3"/>
        <v>2037008</v>
      </c>
      <c r="O25" s="724">
        <f t="shared" si="0"/>
        <v>514239</v>
      </c>
    </row>
    <row r="26" spans="1:15" ht="12" thickBot="1">
      <c r="A26" s="720" t="s">
        <v>495</v>
      </c>
      <c r="B26" s="721">
        <f aca="true" t="shared" si="4" ref="B26:N26">SUM(B16+B25)</f>
        <v>32159</v>
      </c>
      <c r="C26" s="722">
        <f t="shared" si="4"/>
        <v>35822</v>
      </c>
      <c r="D26" s="721">
        <f t="shared" si="4"/>
        <v>29245</v>
      </c>
      <c r="E26" s="722">
        <f t="shared" si="4"/>
        <v>30817</v>
      </c>
      <c r="F26" s="721">
        <f t="shared" si="4"/>
        <v>87323</v>
      </c>
      <c r="G26" s="722">
        <f t="shared" si="4"/>
        <v>91056</v>
      </c>
      <c r="H26" s="721">
        <f>H16+H25</f>
        <v>61284</v>
      </c>
      <c r="I26" s="722">
        <f t="shared" si="4"/>
        <v>65121</v>
      </c>
      <c r="J26" s="721">
        <f t="shared" si="4"/>
        <v>433668</v>
      </c>
      <c r="K26" s="722">
        <f t="shared" si="4"/>
        <v>431734</v>
      </c>
      <c r="L26" s="721">
        <f t="shared" si="4"/>
        <v>3038524</v>
      </c>
      <c r="M26" s="722">
        <f t="shared" si="4"/>
        <v>1492131</v>
      </c>
      <c r="N26" s="721">
        <f t="shared" si="4"/>
        <v>3682203</v>
      </c>
      <c r="O26" s="722">
        <f t="shared" si="0"/>
        <v>2146681</v>
      </c>
    </row>
    <row r="27" spans="1:15" ht="11.25">
      <c r="A27" s="610" t="s">
        <v>412</v>
      </c>
      <c r="B27" s="611">
        <v>3000</v>
      </c>
      <c r="C27" s="612">
        <v>3700</v>
      </c>
      <c r="D27" s="611">
        <v>1500</v>
      </c>
      <c r="E27" s="612">
        <v>1500</v>
      </c>
      <c r="F27" s="611">
        <v>0</v>
      </c>
      <c r="G27" s="612">
        <v>0</v>
      </c>
      <c r="H27" s="611">
        <v>4170</v>
      </c>
      <c r="I27" s="612">
        <v>4684</v>
      </c>
      <c r="J27" s="611">
        <v>11090</v>
      </c>
      <c r="K27" s="612">
        <v>11090</v>
      </c>
      <c r="L27" s="611">
        <v>118530</v>
      </c>
      <c r="M27" s="612">
        <v>104522</v>
      </c>
      <c r="N27" s="719">
        <f>SUM(B27+D27+F27+J27+L27+H27)</f>
        <v>138290</v>
      </c>
      <c r="O27" s="609">
        <f t="shared" si="0"/>
        <v>125496</v>
      </c>
    </row>
    <row r="28" spans="1:15" ht="11.25">
      <c r="A28" s="610" t="s">
        <v>496</v>
      </c>
      <c r="B28" s="611">
        <v>0</v>
      </c>
      <c r="C28" s="612">
        <v>0</v>
      </c>
      <c r="D28" s="611">
        <v>0</v>
      </c>
      <c r="E28" s="612">
        <v>0</v>
      </c>
      <c r="F28" s="611">
        <v>0</v>
      </c>
      <c r="G28" s="612">
        <v>0</v>
      </c>
      <c r="H28" s="611"/>
      <c r="I28" s="612">
        <v>0</v>
      </c>
      <c r="J28" s="611">
        <v>11115</v>
      </c>
      <c r="K28" s="612">
        <v>12067</v>
      </c>
      <c r="L28" s="611">
        <v>62194</v>
      </c>
      <c r="M28" s="612">
        <v>72693</v>
      </c>
      <c r="N28" s="603">
        <f aca="true" t="shared" si="5" ref="N28:N39">SUM(B28+D28+F28+J28+L28)</f>
        <v>73309</v>
      </c>
      <c r="O28" s="604">
        <f t="shared" si="0"/>
        <v>84760</v>
      </c>
    </row>
    <row r="29" spans="1:15" ht="11.25">
      <c r="A29" s="610" t="s">
        <v>497</v>
      </c>
      <c r="B29" s="611">
        <v>0</v>
      </c>
      <c r="C29" s="612">
        <v>0</v>
      </c>
      <c r="D29" s="611">
        <v>0</v>
      </c>
      <c r="E29" s="612">
        <v>0</v>
      </c>
      <c r="F29" s="611">
        <v>0</v>
      </c>
      <c r="G29" s="612">
        <v>0</v>
      </c>
      <c r="H29" s="611"/>
      <c r="I29" s="612">
        <v>0</v>
      </c>
      <c r="J29" s="611">
        <v>0</v>
      </c>
      <c r="K29" s="612">
        <v>0</v>
      </c>
      <c r="L29" s="611">
        <v>0</v>
      </c>
      <c r="M29" s="612">
        <v>0</v>
      </c>
      <c r="N29" s="603">
        <f t="shared" si="5"/>
        <v>0</v>
      </c>
      <c r="O29" s="604">
        <f t="shared" si="0"/>
        <v>0</v>
      </c>
    </row>
    <row r="30" spans="1:15" ht="11.25">
      <c r="A30" s="600" t="s">
        <v>498</v>
      </c>
      <c r="B30" s="601">
        <v>0</v>
      </c>
      <c r="C30" s="602">
        <v>0</v>
      </c>
      <c r="D30" s="601">
        <v>0</v>
      </c>
      <c r="E30" s="602">
        <v>0</v>
      </c>
      <c r="F30" s="611">
        <v>0</v>
      </c>
      <c r="G30" s="612">
        <v>0</v>
      </c>
      <c r="H30" s="611"/>
      <c r="I30" s="612">
        <v>0</v>
      </c>
      <c r="J30" s="601">
        <v>0</v>
      </c>
      <c r="K30" s="602">
        <v>0</v>
      </c>
      <c r="L30" s="601">
        <v>40000</v>
      </c>
      <c r="M30" s="602">
        <v>40000</v>
      </c>
      <c r="N30" s="603">
        <f t="shared" si="5"/>
        <v>40000</v>
      </c>
      <c r="O30" s="604">
        <f t="shared" si="0"/>
        <v>40000</v>
      </c>
    </row>
    <row r="31" spans="1:15" ht="11.25">
      <c r="A31" s="600" t="s">
        <v>530</v>
      </c>
      <c r="B31" s="601">
        <v>0</v>
      </c>
      <c r="C31" s="602">
        <v>0</v>
      </c>
      <c r="D31" s="601">
        <v>0</v>
      </c>
      <c r="E31" s="602">
        <v>0</v>
      </c>
      <c r="F31" s="611">
        <v>0</v>
      </c>
      <c r="G31" s="612">
        <v>0</v>
      </c>
      <c r="H31" s="611"/>
      <c r="I31" s="612">
        <v>0</v>
      </c>
      <c r="J31" s="601">
        <v>0</v>
      </c>
      <c r="K31" s="602">
        <v>0</v>
      </c>
      <c r="L31" s="601">
        <v>1337168</v>
      </c>
      <c r="M31" s="602">
        <v>0</v>
      </c>
      <c r="N31" s="603">
        <f t="shared" si="5"/>
        <v>1337168</v>
      </c>
      <c r="O31" s="604">
        <f t="shared" si="0"/>
        <v>0</v>
      </c>
    </row>
    <row r="32" spans="1:15" ht="11.25">
      <c r="A32" s="600" t="s">
        <v>500</v>
      </c>
      <c r="B32" s="601">
        <v>0</v>
      </c>
      <c r="C32" s="602">
        <v>0</v>
      </c>
      <c r="D32" s="601">
        <v>0</v>
      </c>
      <c r="E32" s="602">
        <v>0</v>
      </c>
      <c r="F32" s="611">
        <v>0</v>
      </c>
      <c r="G32" s="612">
        <v>0</v>
      </c>
      <c r="H32" s="611"/>
      <c r="I32" s="612">
        <v>0</v>
      </c>
      <c r="J32" s="601">
        <v>0</v>
      </c>
      <c r="K32" s="602">
        <v>0</v>
      </c>
      <c r="L32" s="601">
        <v>462607</v>
      </c>
      <c r="M32" s="602">
        <v>282582</v>
      </c>
      <c r="N32" s="603">
        <f t="shared" si="5"/>
        <v>462607</v>
      </c>
      <c r="O32" s="604">
        <f t="shared" si="0"/>
        <v>282582</v>
      </c>
    </row>
    <row r="33" spans="1:15" ht="11.25">
      <c r="A33" s="600" t="s">
        <v>501</v>
      </c>
      <c r="B33" s="601">
        <v>0</v>
      </c>
      <c r="C33" s="602">
        <v>0</v>
      </c>
      <c r="D33" s="601">
        <v>0</v>
      </c>
      <c r="E33" s="602">
        <v>0</v>
      </c>
      <c r="F33" s="611">
        <v>0</v>
      </c>
      <c r="G33" s="612">
        <v>0</v>
      </c>
      <c r="H33" s="611"/>
      <c r="I33" s="612">
        <v>0</v>
      </c>
      <c r="J33" s="601">
        <v>0</v>
      </c>
      <c r="K33" s="602">
        <v>0</v>
      </c>
      <c r="L33" s="601">
        <v>500</v>
      </c>
      <c r="M33" s="602">
        <v>500</v>
      </c>
      <c r="N33" s="603">
        <f t="shared" si="5"/>
        <v>500</v>
      </c>
      <c r="O33" s="604">
        <f t="shared" si="0"/>
        <v>500</v>
      </c>
    </row>
    <row r="34" spans="1:15" ht="11.25">
      <c r="A34" s="600" t="s">
        <v>502</v>
      </c>
      <c r="B34" s="601">
        <v>0</v>
      </c>
      <c r="C34" s="602">
        <v>0</v>
      </c>
      <c r="D34" s="601">
        <v>0</v>
      </c>
      <c r="E34" s="602">
        <v>0</v>
      </c>
      <c r="F34" s="611">
        <v>0</v>
      </c>
      <c r="G34" s="612">
        <v>0</v>
      </c>
      <c r="H34" s="611"/>
      <c r="I34" s="612">
        <v>0</v>
      </c>
      <c r="J34" s="601">
        <v>0</v>
      </c>
      <c r="K34" s="602">
        <v>0</v>
      </c>
      <c r="L34" s="601">
        <v>86561</v>
      </c>
      <c r="M34" s="602">
        <v>225828</v>
      </c>
      <c r="N34" s="603">
        <f t="shared" si="5"/>
        <v>86561</v>
      </c>
      <c r="O34" s="604">
        <f t="shared" si="0"/>
        <v>225828</v>
      </c>
    </row>
    <row r="35" spans="1:15" ht="11.25">
      <c r="A35" s="600" t="s">
        <v>503</v>
      </c>
      <c r="B35" s="601">
        <v>0</v>
      </c>
      <c r="C35" s="602">
        <v>0</v>
      </c>
      <c r="D35" s="601">
        <v>0</v>
      </c>
      <c r="E35" s="602">
        <v>0</v>
      </c>
      <c r="F35" s="611">
        <v>0</v>
      </c>
      <c r="G35" s="612">
        <v>0</v>
      </c>
      <c r="H35" s="611"/>
      <c r="I35" s="612">
        <v>0</v>
      </c>
      <c r="J35" s="601">
        <v>0</v>
      </c>
      <c r="K35" s="602">
        <v>0</v>
      </c>
      <c r="L35" s="601">
        <v>3100</v>
      </c>
      <c r="M35" s="602">
        <v>3100</v>
      </c>
      <c r="N35" s="603">
        <f t="shared" si="5"/>
        <v>3100</v>
      </c>
      <c r="O35" s="604">
        <f t="shared" si="0"/>
        <v>3100</v>
      </c>
    </row>
    <row r="36" spans="1:15" ht="11.25">
      <c r="A36" s="600" t="s">
        <v>504</v>
      </c>
      <c r="B36" s="601">
        <v>0</v>
      </c>
      <c r="C36" s="602">
        <v>0</v>
      </c>
      <c r="D36" s="601">
        <v>0</v>
      </c>
      <c r="E36" s="602">
        <v>0</v>
      </c>
      <c r="F36" s="611">
        <v>0</v>
      </c>
      <c r="G36" s="612">
        <v>0</v>
      </c>
      <c r="H36" s="611"/>
      <c r="I36" s="612">
        <v>0</v>
      </c>
      <c r="J36" s="601">
        <v>0</v>
      </c>
      <c r="K36" s="602">
        <v>0</v>
      </c>
      <c r="L36" s="601">
        <v>657000</v>
      </c>
      <c r="M36" s="602">
        <v>693876</v>
      </c>
      <c r="N36" s="603">
        <f t="shared" si="5"/>
        <v>657000</v>
      </c>
      <c r="O36" s="604">
        <f t="shared" si="0"/>
        <v>693876</v>
      </c>
    </row>
    <row r="37" spans="1:15" ht="11.25">
      <c r="A37" s="600" t="s">
        <v>505</v>
      </c>
      <c r="B37" s="601">
        <v>0</v>
      </c>
      <c r="C37" s="602">
        <v>0</v>
      </c>
      <c r="D37" s="601">
        <v>0</v>
      </c>
      <c r="E37" s="602">
        <v>0</v>
      </c>
      <c r="F37" s="611">
        <v>0</v>
      </c>
      <c r="G37" s="612">
        <v>0</v>
      </c>
      <c r="H37" s="611"/>
      <c r="I37" s="612">
        <v>0</v>
      </c>
      <c r="J37" s="601">
        <v>0</v>
      </c>
      <c r="K37" s="602">
        <v>0</v>
      </c>
      <c r="L37" s="601">
        <v>42000</v>
      </c>
      <c r="M37" s="602">
        <v>42000</v>
      </c>
      <c r="N37" s="603">
        <f t="shared" si="5"/>
        <v>42000</v>
      </c>
      <c r="O37" s="604">
        <f t="shared" si="0"/>
        <v>42000</v>
      </c>
    </row>
    <row r="38" spans="1:15" ht="11.25">
      <c r="A38" s="600" t="s">
        <v>506</v>
      </c>
      <c r="B38" s="601">
        <v>0</v>
      </c>
      <c r="C38" s="602">
        <v>0</v>
      </c>
      <c r="D38" s="601">
        <v>0</v>
      </c>
      <c r="E38" s="602">
        <v>0</v>
      </c>
      <c r="F38" s="611">
        <v>0</v>
      </c>
      <c r="G38" s="612">
        <v>0</v>
      </c>
      <c r="H38" s="611"/>
      <c r="I38" s="612">
        <v>0</v>
      </c>
      <c r="J38" s="601">
        <v>0</v>
      </c>
      <c r="K38" s="602">
        <v>0</v>
      </c>
      <c r="L38" s="601">
        <v>0</v>
      </c>
      <c r="M38" s="602">
        <v>0</v>
      </c>
      <c r="N38" s="603">
        <f t="shared" si="5"/>
        <v>0</v>
      </c>
      <c r="O38" s="604">
        <f t="shared" si="0"/>
        <v>0</v>
      </c>
    </row>
    <row r="39" spans="1:15" ht="11.25">
      <c r="A39" s="600" t="s">
        <v>507</v>
      </c>
      <c r="B39" s="601">
        <v>0</v>
      </c>
      <c r="C39" s="602">
        <v>0</v>
      </c>
      <c r="D39" s="601">
        <v>0</v>
      </c>
      <c r="E39" s="602">
        <v>0</v>
      </c>
      <c r="F39" s="611">
        <v>0</v>
      </c>
      <c r="G39" s="612">
        <v>0</v>
      </c>
      <c r="H39" s="611"/>
      <c r="I39" s="612">
        <v>0</v>
      </c>
      <c r="J39" s="601">
        <v>0</v>
      </c>
      <c r="K39" s="602">
        <v>0</v>
      </c>
      <c r="L39" s="601">
        <v>134035</v>
      </c>
      <c r="M39" s="602">
        <v>42091</v>
      </c>
      <c r="N39" s="603">
        <f t="shared" si="5"/>
        <v>134035</v>
      </c>
      <c r="O39" s="604">
        <f t="shared" si="0"/>
        <v>42091</v>
      </c>
    </row>
    <row r="40" spans="1:15" ht="12" thickBot="1">
      <c r="A40" s="714" t="s">
        <v>531</v>
      </c>
      <c r="B40" s="715">
        <v>6408</v>
      </c>
      <c r="C40" s="716">
        <v>6350</v>
      </c>
      <c r="D40" s="715">
        <v>6409</v>
      </c>
      <c r="E40" s="716">
        <v>6350</v>
      </c>
      <c r="F40" s="715">
        <v>73621</v>
      </c>
      <c r="G40" s="716">
        <v>70655</v>
      </c>
      <c r="H40" s="715">
        <v>32444</v>
      </c>
      <c r="I40" s="716">
        <v>32508</v>
      </c>
      <c r="J40" s="715">
        <v>177883</v>
      </c>
      <c r="K40" s="716">
        <v>175634</v>
      </c>
      <c r="L40" s="715">
        <v>410868</v>
      </c>
      <c r="M40" s="716">
        <v>314951</v>
      </c>
      <c r="N40" s="717">
        <f>SUM(B40+D40+F40+J40+L40+H40)</f>
        <v>707633</v>
      </c>
      <c r="O40" s="718">
        <f t="shared" si="0"/>
        <v>606448</v>
      </c>
    </row>
    <row r="41" spans="1:15" s="619" customFormat="1" ht="11.25" thickBot="1">
      <c r="A41" s="720" t="s">
        <v>509</v>
      </c>
      <c r="B41" s="721">
        <f aca="true" t="shared" si="6" ref="B41:N41">SUM(B27:B40)</f>
        <v>9408</v>
      </c>
      <c r="C41" s="722">
        <f t="shared" si="6"/>
        <v>10050</v>
      </c>
      <c r="D41" s="721">
        <f t="shared" si="6"/>
        <v>7909</v>
      </c>
      <c r="E41" s="722">
        <f>SUM(E27:E40)</f>
        <v>7850</v>
      </c>
      <c r="F41" s="721">
        <f>SUM(F27:F40)</f>
        <v>73621</v>
      </c>
      <c r="G41" s="722">
        <f t="shared" si="6"/>
        <v>70655</v>
      </c>
      <c r="H41" s="721">
        <f>SUM(H27:H40)</f>
        <v>36614</v>
      </c>
      <c r="I41" s="722">
        <f t="shared" si="6"/>
        <v>37192</v>
      </c>
      <c r="J41" s="721">
        <f t="shared" si="6"/>
        <v>200088</v>
      </c>
      <c r="K41" s="722">
        <f t="shared" si="6"/>
        <v>198791</v>
      </c>
      <c r="L41" s="721">
        <f t="shared" si="6"/>
        <v>3354563</v>
      </c>
      <c r="M41" s="722">
        <f t="shared" si="6"/>
        <v>1822143</v>
      </c>
      <c r="N41" s="721">
        <f t="shared" si="6"/>
        <v>3682203</v>
      </c>
      <c r="O41" s="722">
        <f t="shared" si="0"/>
        <v>2146681</v>
      </c>
    </row>
    <row r="42" spans="1:15" s="621" customFormat="1" ht="12" customHeight="1">
      <c r="A42" s="610" t="s">
        <v>510</v>
      </c>
      <c r="B42" s="611">
        <f aca="true" t="shared" si="7" ref="B42:M42">SUM(B26-B27-B28-B35-B29-B30-B31-B32-B33-B34-B36-B37-B38-B39)</f>
        <v>29159</v>
      </c>
      <c r="C42" s="612">
        <f t="shared" si="7"/>
        <v>32122</v>
      </c>
      <c r="D42" s="611">
        <f t="shared" si="7"/>
        <v>27745</v>
      </c>
      <c r="E42" s="612">
        <f t="shared" si="7"/>
        <v>29317</v>
      </c>
      <c r="F42" s="611">
        <f t="shared" si="7"/>
        <v>87323</v>
      </c>
      <c r="G42" s="612">
        <f t="shared" si="7"/>
        <v>91056</v>
      </c>
      <c r="H42" s="611">
        <f t="shared" si="7"/>
        <v>57114</v>
      </c>
      <c r="I42" s="612">
        <f t="shared" si="7"/>
        <v>60437</v>
      </c>
      <c r="J42" s="611">
        <f t="shared" si="7"/>
        <v>411463</v>
      </c>
      <c r="K42" s="612">
        <f t="shared" si="7"/>
        <v>408577</v>
      </c>
      <c r="L42" s="611">
        <f t="shared" si="7"/>
        <v>94829</v>
      </c>
      <c r="M42" s="612">
        <f t="shared" si="7"/>
        <v>-15061</v>
      </c>
      <c r="N42" s="608"/>
      <c r="O42" s="620"/>
    </row>
    <row r="43" spans="1:15" ht="11.25">
      <c r="A43" s="610" t="s">
        <v>511</v>
      </c>
      <c r="B43" s="611">
        <f aca="true" t="shared" si="8" ref="B43:M43">SUM(B42-B40)</f>
        <v>22751</v>
      </c>
      <c r="C43" s="612">
        <f t="shared" si="8"/>
        <v>25772</v>
      </c>
      <c r="D43" s="611">
        <f t="shared" si="8"/>
        <v>21336</v>
      </c>
      <c r="E43" s="612">
        <f t="shared" si="8"/>
        <v>22967</v>
      </c>
      <c r="F43" s="611">
        <f t="shared" si="8"/>
        <v>13702</v>
      </c>
      <c r="G43" s="612">
        <f t="shared" si="8"/>
        <v>20401</v>
      </c>
      <c r="H43" s="611">
        <f t="shared" si="8"/>
        <v>24670</v>
      </c>
      <c r="I43" s="612">
        <f t="shared" si="8"/>
        <v>27929</v>
      </c>
      <c r="J43" s="611">
        <f t="shared" si="8"/>
        <v>233580</v>
      </c>
      <c r="K43" s="612">
        <f t="shared" si="8"/>
        <v>232943</v>
      </c>
      <c r="L43" s="611">
        <f t="shared" si="8"/>
        <v>-316039</v>
      </c>
      <c r="M43" s="612">
        <f t="shared" si="8"/>
        <v>-330012</v>
      </c>
      <c r="N43" s="618"/>
      <c r="O43" s="622"/>
    </row>
    <row r="44" spans="1:15" ht="11.25">
      <c r="A44" s="600" t="s">
        <v>512</v>
      </c>
      <c r="B44" s="623">
        <f aca="true" t="shared" si="9" ref="B44:M44">SUM(B43/B26)</f>
        <v>0.7074535899748127</v>
      </c>
      <c r="C44" s="624">
        <f t="shared" si="9"/>
        <v>0.7194461504103623</v>
      </c>
      <c r="D44" s="623">
        <f t="shared" si="9"/>
        <v>0.7295606086510514</v>
      </c>
      <c r="E44" s="624">
        <f t="shared" si="9"/>
        <v>0.7452704675990525</v>
      </c>
      <c r="F44" s="623">
        <f t="shared" si="9"/>
        <v>0.15691169565864663</v>
      </c>
      <c r="G44" s="624">
        <f t="shared" si="9"/>
        <v>0.22404893691794062</v>
      </c>
      <c r="H44" s="623">
        <f t="shared" si="9"/>
        <v>0.40255205273807193</v>
      </c>
      <c r="I44" s="624">
        <f t="shared" si="9"/>
        <v>0.4288785491623286</v>
      </c>
      <c r="J44" s="623">
        <f t="shared" si="9"/>
        <v>0.5386147928830349</v>
      </c>
      <c r="K44" s="624">
        <f t="shared" si="9"/>
        <v>0.5395521316366095</v>
      </c>
      <c r="L44" s="623">
        <f t="shared" si="9"/>
        <v>-0.10401069729908337</v>
      </c>
      <c r="M44" s="624">
        <f t="shared" si="9"/>
        <v>-0.22116824863232518</v>
      </c>
      <c r="N44" s="618"/>
      <c r="O44" s="622"/>
    </row>
  </sheetData>
  <sheetProtection selectLockedCells="1" selectUnlockedCells="1"/>
  <mergeCells count="12">
    <mergeCell ref="D1:N1"/>
    <mergeCell ref="A4:O4"/>
    <mergeCell ref="M5:O5"/>
    <mergeCell ref="A6:A7"/>
    <mergeCell ref="B6:E6"/>
    <mergeCell ref="F6:I6"/>
    <mergeCell ref="J6:J7"/>
    <mergeCell ref="K6:K7"/>
    <mergeCell ref="L6:L7"/>
    <mergeCell ref="M6:M7"/>
    <mergeCell ref="N6:N7"/>
    <mergeCell ref="O6:O7"/>
  </mergeCells>
  <printOptions horizontalCentered="1" verticalCentered="1"/>
  <pageMargins left="0.2361111111111111" right="0.2361111111111111" top="0.2361111111111111" bottom="0.354166666666666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5"/>
  <dimension ref="A1:G36"/>
  <sheetViews>
    <sheetView view="pageBreakPreview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2.25390625" style="625" customWidth="1"/>
    <col min="2" max="2" width="3.75390625" style="625" customWidth="1"/>
    <col min="3" max="3" width="89.375" style="626" customWidth="1"/>
    <col min="4" max="4" width="13.75390625" style="627" customWidth="1"/>
    <col min="5" max="5" width="17.75390625" style="628" customWidth="1"/>
    <col min="6" max="6" width="5.75390625" style="625" customWidth="1"/>
    <col min="7" max="7" width="16.00390625" style="629" customWidth="1"/>
    <col min="8" max="8" width="14.75390625" style="625" customWidth="1"/>
    <col min="9" max="9" width="12.25390625" style="625" customWidth="1"/>
    <col min="10" max="10" width="8.875" style="625" customWidth="1"/>
    <col min="11" max="12" width="11.25390625" style="625" customWidth="1"/>
    <col min="13" max="16384" width="8.875" style="625" customWidth="1"/>
  </cols>
  <sheetData>
    <row r="1" spans="3:5" ht="15.75">
      <c r="C1" s="832" t="s">
        <v>639</v>
      </c>
      <c r="D1" s="832"/>
      <c r="E1" s="832"/>
    </row>
    <row r="6" spans="2:7" ht="15.75">
      <c r="B6" s="833" t="s">
        <v>532</v>
      </c>
      <c r="C6" s="833"/>
      <c r="D6" s="833"/>
      <c r="E6" s="833"/>
      <c r="F6" s="631"/>
      <c r="G6" s="632"/>
    </row>
    <row r="7" spans="2:7" ht="15.75">
      <c r="B7" s="630"/>
      <c r="C7" s="630"/>
      <c r="E7" s="633"/>
      <c r="F7" s="631"/>
      <c r="G7" s="632"/>
    </row>
    <row r="8" spans="2:7" ht="15.75">
      <c r="B8" s="630"/>
      <c r="C8" s="630"/>
      <c r="E8" s="633"/>
      <c r="F8" s="631"/>
      <c r="G8" s="632"/>
    </row>
    <row r="9" spans="2:7" ht="15.75">
      <c r="B9" s="634"/>
      <c r="C9" s="634"/>
      <c r="E9" s="635" t="s">
        <v>533</v>
      </c>
      <c r="F9" s="631"/>
      <c r="G9" s="632"/>
    </row>
    <row r="10" spans="1:7" s="638" customFormat="1" ht="15.75">
      <c r="A10" s="834" t="s">
        <v>534</v>
      </c>
      <c r="B10" s="834"/>
      <c r="C10" s="834"/>
      <c r="D10" s="636"/>
      <c r="E10" s="637">
        <f>SUM(E11:E36)</f>
        <v>87187000</v>
      </c>
      <c r="G10" s="639"/>
    </row>
    <row r="11" spans="1:5" ht="15.75">
      <c r="A11" s="640"/>
      <c r="B11" s="641"/>
      <c r="C11" s="641" t="s">
        <v>535</v>
      </c>
      <c r="D11" s="636"/>
      <c r="E11" s="642">
        <v>87187000</v>
      </c>
    </row>
    <row r="12" spans="1:5" ht="15.75">
      <c r="A12" s="640"/>
      <c r="B12" s="641"/>
      <c r="C12" s="641"/>
      <c r="D12" s="636"/>
      <c r="E12" s="642"/>
    </row>
    <row r="13" spans="1:5" ht="15.75">
      <c r="A13" s="640"/>
      <c r="B13" s="641"/>
      <c r="C13" s="641"/>
      <c r="D13" s="636"/>
      <c r="E13" s="642"/>
    </row>
    <row r="14" spans="1:5" ht="15.75" hidden="1">
      <c r="A14" s="640"/>
      <c r="B14" s="641"/>
      <c r="C14" s="641"/>
      <c r="D14" s="636"/>
      <c r="E14" s="642"/>
    </row>
    <row r="15" spans="1:5" ht="15.75" hidden="1">
      <c r="A15" s="643"/>
      <c r="B15" s="644"/>
      <c r="C15" s="645"/>
      <c r="D15" s="646"/>
      <c r="E15" s="647"/>
    </row>
    <row r="16" spans="1:5" ht="15.75" hidden="1">
      <c r="A16" s="648"/>
      <c r="B16" s="649"/>
      <c r="C16" s="649"/>
      <c r="D16" s="650"/>
      <c r="E16" s="642"/>
    </row>
    <row r="17" spans="1:7" s="651" customFormat="1" ht="15.75" hidden="1">
      <c r="A17" s="648"/>
      <c r="B17" s="649"/>
      <c r="C17" s="649"/>
      <c r="D17" s="650"/>
      <c r="E17" s="642"/>
      <c r="G17" s="628"/>
    </row>
    <row r="18" spans="1:5" ht="15.75" hidden="1">
      <c r="A18" s="652"/>
      <c r="B18" s="649"/>
      <c r="C18" s="649"/>
      <c r="D18" s="650"/>
      <c r="E18" s="642"/>
    </row>
    <row r="19" spans="1:5" ht="15.75" hidden="1">
      <c r="A19" s="643"/>
      <c r="B19" s="653"/>
      <c r="C19" s="645"/>
      <c r="D19" s="646"/>
      <c r="E19" s="654"/>
    </row>
    <row r="20" spans="1:5" ht="15.75" hidden="1">
      <c r="A20" s="643"/>
      <c r="B20" s="653"/>
      <c r="C20" s="645"/>
      <c r="D20" s="646"/>
      <c r="E20" s="647"/>
    </row>
    <row r="21" spans="1:5" ht="15.75" hidden="1">
      <c r="A21" s="643"/>
      <c r="B21" s="653"/>
      <c r="C21" s="645"/>
      <c r="D21" s="646"/>
      <c r="E21" s="654"/>
    </row>
    <row r="22" spans="1:5" ht="15.75" hidden="1">
      <c r="A22" s="643"/>
      <c r="B22" s="653"/>
      <c r="C22" s="645"/>
      <c r="D22" s="646"/>
      <c r="E22" s="647"/>
    </row>
    <row r="23" spans="1:5" ht="15.75" hidden="1">
      <c r="A23" s="643"/>
      <c r="B23" s="653"/>
      <c r="C23" s="645"/>
      <c r="D23" s="646"/>
      <c r="E23" s="654"/>
    </row>
    <row r="24" spans="1:5" ht="15.75" hidden="1">
      <c r="A24" s="643"/>
      <c r="B24" s="653"/>
      <c r="C24" s="645"/>
      <c r="D24" s="646"/>
      <c r="E24" s="647"/>
    </row>
    <row r="25" spans="1:5" ht="15.75" hidden="1">
      <c r="A25" s="643"/>
      <c r="B25" s="653"/>
      <c r="C25" s="645"/>
      <c r="D25" s="646"/>
      <c r="E25" s="647"/>
    </row>
    <row r="26" spans="1:5" ht="15.75" hidden="1">
      <c r="A26" s="652"/>
      <c r="B26" s="655"/>
      <c r="C26" s="656"/>
      <c r="D26" s="657"/>
      <c r="E26" s="658"/>
    </row>
    <row r="27" spans="1:5" ht="15.75" hidden="1">
      <c r="A27" s="648"/>
      <c r="B27" s="649"/>
      <c r="C27" s="649"/>
      <c r="D27" s="650"/>
      <c r="E27" s="642"/>
    </row>
    <row r="28" spans="1:5" ht="15.75" hidden="1">
      <c r="A28" s="655"/>
      <c r="B28" s="649"/>
      <c r="C28" s="649"/>
      <c r="D28" s="650"/>
      <c r="E28" s="642"/>
    </row>
    <row r="29" spans="1:5" ht="15.75" hidden="1">
      <c r="A29" s="640"/>
      <c r="B29" s="653"/>
      <c r="C29" s="641"/>
      <c r="D29" s="646"/>
      <c r="E29" s="647"/>
    </row>
    <row r="30" spans="1:5" ht="15.75" hidden="1">
      <c r="A30" s="655"/>
      <c r="B30" s="653"/>
      <c r="C30" s="653"/>
      <c r="D30" s="650"/>
      <c r="E30" s="642"/>
    </row>
    <row r="31" spans="1:5" ht="15.75" hidden="1">
      <c r="A31" s="648"/>
      <c r="B31" s="649"/>
      <c r="C31" s="649"/>
      <c r="D31" s="659"/>
      <c r="E31" s="642"/>
    </row>
    <row r="32" spans="1:5" ht="15.75" hidden="1">
      <c r="A32" s="648"/>
      <c r="B32" s="653"/>
      <c r="C32" s="649"/>
      <c r="D32" s="659"/>
      <c r="E32" s="642"/>
    </row>
    <row r="33" spans="1:7" s="651" customFormat="1" ht="15.75" hidden="1">
      <c r="A33" s="648"/>
      <c r="B33" s="653"/>
      <c r="C33" s="653"/>
      <c r="D33" s="646"/>
      <c r="E33" s="642"/>
      <c r="G33" s="628"/>
    </row>
    <row r="34" spans="1:7" s="651" customFormat="1" ht="15.75" hidden="1">
      <c r="A34" s="648"/>
      <c r="B34" s="653"/>
      <c r="C34" s="653"/>
      <c r="D34" s="659"/>
      <c r="E34" s="642"/>
      <c r="G34" s="628"/>
    </row>
    <row r="35" spans="1:7" s="651" customFormat="1" ht="15.75" hidden="1">
      <c r="A35" s="648"/>
      <c r="B35" s="653"/>
      <c r="C35" s="653"/>
      <c r="D35" s="646"/>
      <c r="E35" s="642"/>
      <c r="G35" s="628"/>
    </row>
    <row r="36" spans="1:5" ht="15.75" hidden="1">
      <c r="A36" s="640"/>
      <c r="B36" s="641"/>
      <c r="C36" s="641"/>
      <c r="D36" s="636"/>
      <c r="E36" s="642"/>
    </row>
  </sheetData>
  <sheetProtection selectLockedCells="1" selectUnlockedCells="1"/>
  <mergeCells count="3">
    <mergeCell ref="C1:E1"/>
    <mergeCell ref="B6:E6"/>
    <mergeCell ref="A10:C10"/>
  </mergeCells>
  <printOptions horizontalCentered="1"/>
  <pageMargins left="0.15763888888888888" right="0.8597222222222223" top="0.5298611111111111" bottom="0.5902777777777778" header="0.5118055555555555" footer="0.5118055555555555"/>
  <pageSetup horizontalDpi="300" verticalDpi="300" orientation="portrait" paperSize="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workbookViewId="0" topLeftCell="A1">
      <selection activeCell="F2" sqref="F2"/>
    </sheetView>
  </sheetViews>
  <sheetFormatPr defaultColWidth="9.00390625" defaultRowHeight="12.75"/>
  <cols>
    <col min="1" max="1" width="9.625" style="725" bestFit="1" customWidth="1"/>
    <col min="2" max="2" width="44.25390625" style="725" customWidth="1"/>
    <col min="3" max="3" width="12.375" style="725" bestFit="1" customWidth="1"/>
    <col min="4" max="4" width="11.25390625" style="725" bestFit="1" customWidth="1"/>
    <col min="5" max="5" width="9.25390625" style="725" bestFit="1" customWidth="1"/>
    <col min="6" max="6" width="12.00390625" style="725" customWidth="1"/>
    <col min="7" max="7" width="9.25390625" style="725" bestFit="1" customWidth="1"/>
    <col min="8" max="10" width="11.375" style="725" bestFit="1" customWidth="1"/>
    <col min="11" max="16384" width="8.875" style="725" customWidth="1"/>
  </cols>
  <sheetData>
    <row r="1" ht="12.75">
      <c r="I1" s="733" t="s">
        <v>640</v>
      </c>
    </row>
    <row r="3" spans="1:9" ht="12.75">
      <c r="A3" s="835" t="s">
        <v>559</v>
      </c>
      <c r="B3" s="835"/>
      <c r="C3" s="835"/>
      <c r="D3" s="835"/>
      <c r="E3" s="835"/>
      <c r="F3" s="835"/>
      <c r="G3" s="835"/>
      <c r="H3" s="835"/>
      <c r="I3" s="835"/>
    </row>
    <row r="4" spans="1:9" ht="12.75">
      <c r="A4" s="726"/>
      <c r="B4" s="726"/>
      <c r="C4" s="726"/>
      <c r="D4" s="726"/>
      <c r="E4" s="726"/>
      <c r="F4" s="726"/>
      <c r="G4" s="726"/>
      <c r="H4" s="726"/>
      <c r="I4" s="726"/>
    </row>
    <row r="5" spans="1:10" ht="60">
      <c r="A5" s="727" t="s">
        <v>560</v>
      </c>
      <c r="B5" s="727" t="s">
        <v>561</v>
      </c>
      <c r="C5" s="727" t="s">
        <v>562</v>
      </c>
      <c r="D5" s="727" t="s">
        <v>563</v>
      </c>
      <c r="E5" s="727" t="s">
        <v>564</v>
      </c>
      <c r="F5" s="727" t="s">
        <v>565</v>
      </c>
      <c r="G5" s="727" t="s">
        <v>566</v>
      </c>
      <c r="H5" s="727" t="s">
        <v>567</v>
      </c>
      <c r="I5" s="727" t="s">
        <v>568</v>
      </c>
      <c r="J5" s="728"/>
    </row>
    <row r="6" spans="1:9" ht="24">
      <c r="A6" s="729" t="s">
        <v>569</v>
      </c>
      <c r="B6" s="729" t="s">
        <v>570</v>
      </c>
      <c r="C6" s="730">
        <v>166817</v>
      </c>
      <c r="D6" s="730">
        <v>0</v>
      </c>
      <c r="E6" s="730">
        <v>0</v>
      </c>
      <c r="F6" s="730">
        <v>0</v>
      </c>
      <c r="G6" s="730">
        <v>0</v>
      </c>
      <c r="H6" s="730">
        <v>166817</v>
      </c>
      <c r="I6" s="730">
        <v>166817</v>
      </c>
    </row>
    <row r="7" spans="1:10" ht="24">
      <c r="A7" s="729" t="s">
        <v>571</v>
      </c>
      <c r="B7" s="729" t="s">
        <v>572</v>
      </c>
      <c r="C7" s="730">
        <v>709184</v>
      </c>
      <c r="D7" s="730">
        <v>106377</v>
      </c>
      <c r="E7" s="730">
        <v>14047</v>
      </c>
      <c r="F7" s="730">
        <v>0</v>
      </c>
      <c r="G7" s="730">
        <v>41331</v>
      </c>
      <c r="H7" s="730">
        <v>213277</v>
      </c>
      <c r="I7" s="730">
        <v>268655</v>
      </c>
      <c r="J7" s="731"/>
    </row>
    <row r="8" spans="1:10" ht="36">
      <c r="A8" s="729" t="s">
        <v>573</v>
      </c>
      <c r="B8" s="729" t="s">
        <v>574</v>
      </c>
      <c r="C8" s="730">
        <v>54080</v>
      </c>
      <c r="D8" s="730">
        <v>5408</v>
      </c>
      <c r="E8" s="730">
        <v>1454</v>
      </c>
      <c r="F8" s="730">
        <v>0</v>
      </c>
      <c r="G8" s="730">
        <v>0</v>
      </c>
      <c r="H8" s="730">
        <v>24742</v>
      </c>
      <c r="I8" s="730">
        <v>26196</v>
      </c>
      <c r="J8" s="731"/>
    </row>
    <row r="9" spans="1:10" ht="36">
      <c r="A9" s="729" t="s">
        <v>575</v>
      </c>
      <c r="B9" s="729" t="s">
        <v>576</v>
      </c>
      <c r="C9" s="730">
        <v>174030</v>
      </c>
      <c r="D9" s="730">
        <v>4090</v>
      </c>
      <c r="E9" s="730">
        <v>4090</v>
      </c>
      <c r="F9" s="730">
        <v>0</v>
      </c>
      <c r="G9" s="730">
        <v>0</v>
      </c>
      <c r="H9" s="730">
        <v>120315</v>
      </c>
      <c r="I9" s="730">
        <f>SUM(E9:H9)</f>
        <v>124405</v>
      </c>
      <c r="J9" s="731"/>
    </row>
    <row r="10" spans="1:10" ht="48">
      <c r="A10" s="729" t="s">
        <v>577</v>
      </c>
      <c r="B10" s="729" t="s">
        <v>578</v>
      </c>
      <c r="C10" s="730">
        <v>2561461</v>
      </c>
      <c r="D10" s="730">
        <v>282582</v>
      </c>
      <c r="E10" s="730">
        <v>0</v>
      </c>
      <c r="F10" s="730">
        <v>282582</v>
      </c>
      <c r="G10" s="730">
        <v>0</v>
      </c>
      <c r="H10" s="730">
        <v>2278879</v>
      </c>
      <c r="I10" s="730">
        <v>2561461</v>
      </c>
      <c r="J10" s="731"/>
    </row>
    <row r="11" spans="1:10" ht="24">
      <c r="A11" s="729" t="s">
        <v>579</v>
      </c>
      <c r="B11" s="729" t="s">
        <v>580</v>
      </c>
      <c r="C11" s="730">
        <v>269750</v>
      </c>
      <c r="D11" s="730">
        <v>0</v>
      </c>
      <c r="E11" s="730">
        <v>0</v>
      </c>
      <c r="F11" s="730">
        <v>0</v>
      </c>
      <c r="G11" s="730">
        <v>0</v>
      </c>
      <c r="H11" s="730">
        <v>27415</v>
      </c>
      <c r="I11" s="730">
        <v>27415</v>
      </c>
      <c r="J11" s="731"/>
    </row>
    <row r="12" spans="1:10" ht="36">
      <c r="A12" s="729" t="s">
        <v>581</v>
      </c>
      <c r="B12" s="729" t="s">
        <v>582</v>
      </c>
      <c r="C12" s="730">
        <v>962503</v>
      </c>
      <c r="D12" s="730">
        <v>192662</v>
      </c>
      <c r="E12" s="730">
        <v>0</v>
      </c>
      <c r="F12" s="730">
        <v>11873</v>
      </c>
      <c r="G12" s="730">
        <v>0</v>
      </c>
      <c r="H12" s="730">
        <v>59035</v>
      </c>
      <c r="I12" s="730">
        <v>70908</v>
      </c>
      <c r="J12" s="731"/>
    </row>
    <row r="13" spans="1:10" ht="48">
      <c r="A13" s="729" t="s">
        <v>583</v>
      </c>
      <c r="B13" s="729" t="s">
        <v>584</v>
      </c>
      <c r="C13" s="730">
        <v>54300</v>
      </c>
      <c r="D13" s="730">
        <v>8145</v>
      </c>
      <c r="E13" s="730">
        <v>0</v>
      </c>
      <c r="F13" s="730">
        <v>0</v>
      </c>
      <c r="G13" s="730">
        <v>7823</v>
      </c>
      <c r="H13" s="730">
        <v>31241</v>
      </c>
      <c r="I13" s="730">
        <v>39065</v>
      </c>
      <c r="J13" s="731"/>
    </row>
    <row r="14" spans="1:10" ht="48">
      <c r="A14" s="729" t="s">
        <v>585</v>
      </c>
      <c r="B14" s="729" t="s">
        <v>586</v>
      </c>
      <c r="C14" s="730">
        <v>55124</v>
      </c>
      <c r="D14" s="730">
        <v>8269</v>
      </c>
      <c r="E14" s="730">
        <v>0</v>
      </c>
      <c r="F14" s="730">
        <v>0</v>
      </c>
      <c r="G14" s="730">
        <v>7963</v>
      </c>
      <c r="H14" s="730">
        <v>31791</v>
      </c>
      <c r="I14" s="730">
        <v>39754</v>
      </c>
      <c r="J14" s="731"/>
    </row>
    <row r="15" spans="1:10" ht="48">
      <c r="A15" s="729" t="s">
        <v>587</v>
      </c>
      <c r="B15" s="729" t="s">
        <v>588</v>
      </c>
      <c r="C15" s="730">
        <v>189243</v>
      </c>
      <c r="D15" s="730">
        <v>9462</v>
      </c>
      <c r="E15" s="730">
        <v>9462</v>
      </c>
      <c r="F15" s="730">
        <v>0</v>
      </c>
      <c r="G15" s="730">
        <v>0</v>
      </c>
      <c r="H15" s="730">
        <v>179781</v>
      </c>
      <c r="I15" s="730">
        <v>189243</v>
      </c>
      <c r="J15" s="731"/>
    </row>
    <row r="16" spans="1:10" ht="36">
      <c r="A16" s="729" t="s">
        <v>589</v>
      </c>
      <c r="B16" s="729" t="s">
        <v>590</v>
      </c>
      <c r="C16" s="730">
        <v>21398</v>
      </c>
      <c r="D16" s="730">
        <v>0</v>
      </c>
      <c r="E16" s="730">
        <v>0</v>
      </c>
      <c r="F16" s="730">
        <v>0</v>
      </c>
      <c r="G16" s="730">
        <v>0</v>
      </c>
      <c r="H16" s="730">
        <v>21398</v>
      </c>
      <c r="I16" s="730">
        <v>21398</v>
      </c>
      <c r="J16" s="731"/>
    </row>
    <row r="17" spans="1:10" ht="24">
      <c r="A17" s="729" t="s">
        <v>591</v>
      </c>
      <c r="B17" s="729" t="s">
        <v>592</v>
      </c>
      <c r="C17" s="730">
        <v>21992</v>
      </c>
      <c r="D17" s="730">
        <v>0</v>
      </c>
      <c r="E17" s="730">
        <v>0</v>
      </c>
      <c r="F17" s="730">
        <v>0</v>
      </c>
      <c r="G17" s="730">
        <v>0</v>
      </c>
      <c r="H17" s="730">
        <v>13680</v>
      </c>
      <c r="I17" s="730">
        <v>13680</v>
      </c>
      <c r="J17" s="731"/>
    </row>
    <row r="18" spans="1:9" ht="12.75">
      <c r="A18" s="728"/>
      <c r="B18" s="728"/>
      <c r="C18" s="732"/>
      <c r="D18" s="732"/>
      <c r="E18" s="732"/>
      <c r="F18" s="732"/>
      <c r="G18" s="732"/>
      <c r="H18" s="732"/>
      <c r="I18" s="732"/>
    </row>
    <row r="19" spans="1:9" ht="12.75">
      <c r="A19" s="728"/>
      <c r="B19" s="728"/>
      <c r="C19" s="732"/>
      <c r="D19" s="732"/>
      <c r="E19" s="732"/>
      <c r="F19" s="732"/>
      <c r="G19" s="732"/>
      <c r="H19" s="732"/>
      <c r="I19" s="732"/>
    </row>
    <row r="20" spans="1:9" ht="12.75">
      <c r="A20" s="728"/>
      <c r="B20" s="728"/>
      <c r="C20" s="732"/>
      <c r="D20" s="732"/>
      <c r="E20" s="732"/>
      <c r="F20" s="732"/>
      <c r="G20" s="732"/>
      <c r="H20" s="732"/>
      <c r="I20" s="732"/>
    </row>
    <row r="21" spans="1:9" ht="12.75">
      <c r="A21" s="728"/>
      <c r="B21" s="728"/>
      <c r="C21" s="732"/>
      <c r="D21" s="732"/>
      <c r="E21" s="732"/>
      <c r="F21" s="732"/>
      <c r="G21" s="732"/>
      <c r="H21" s="732"/>
      <c r="I21" s="732"/>
    </row>
    <row r="22" spans="1:9" ht="12.75">
      <c r="A22" s="728"/>
      <c r="B22" s="728"/>
      <c r="C22" s="732"/>
      <c r="D22" s="732"/>
      <c r="E22" s="732"/>
      <c r="F22" s="732"/>
      <c r="G22" s="732"/>
      <c r="H22" s="732"/>
      <c r="I22" s="732"/>
    </row>
    <row r="23" spans="2:9" ht="12.75">
      <c r="B23" s="728"/>
      <c r="C23" s="732"/>
      <c r="D23" s="732"/>
      <c r="E23" s="732"/>
      <c r="F23" s="732"/>
      <c r="G23" s="732"/>
      <c r="H23" s="732"/>
      <c r="I23" s="732"/>
    </row>
    <row r="24" spans="2:9" ht="12.75">
      <c r="B24" s="728"/>
      <c r="C24" s="731"/>
      <c r="D24" s="731"/>
      <c r="E24" s="731"/>
      <c r="F24" s="731"/>
      <c r="G24" s="731"/>
      <c r="H24" s="731"/>
      <c r="I24" s="731"/>
    </row>
    <row r="25" spans="2:9" ht="12.75">
      <c r="B25" s="728"/>
      <c r="C25" s="731"/>
      <c r="D25" s="731"/>
      <c r="E25" s="731"/>
      <c r="F25" s="731"/>
      <c r="G25" s="731"/>
      <c r="H25" s="731"/>
      <c r="I25" s="731"/>
    </row>
    <row r="26" spans="3:9" ht="12.75">
      <c r="C26" s="731"/>
      <c r="D26" s="731"/>
      <c r="E26" s="731"/>
      <c r="F26" s="731"/>
      <c r="G26" s="731"/>
      <c r="H26" s="731"/>
      <c r="I26" s="731"/>
    </row>
  </sheetData>
  <mergeCells count="1">
    <mergeCell ref="A3:I3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8"/>
  <dimension ref="A1:C15"/>
  <sheetViews>
    <sheetView tabSelected="1" view="pageBreakPreview" zoomScale="60" workbookViewId="0" topLeftCell="A1">
      <selection activeCell="C3" sqref="C3"/>
    </sheetView>
  </sheetViews>
  <sheetFormatPr defaultColWidth="9.00390625" defaultRowHeight="12.75"/>
  <cols>
    <col min="1" max="1" width="35.75390625" style="357" customWidth="1"/>
    <col min="2" max="2" width="47.25390625" style="357" customWidth="1"/>
    <col min="3" max="3" width="18.125" style="357" customWidth="1"/>
    <col min="4" max="16384" width="9.125" style="357" customWidth="1"/>
  </cols>
  <sheetData>
    <row r="1" ht="12.75">
      <c r="C1" s="427" t="s">
        <v>641</v>
      </c>
    </row>
    <row r="4" spans="1:3" ht="15.75">
      <c r="A4" s="810" t="s">
        <v>536</v>
      </c>
      <c r="B4" s="810"/>
      <c r="C4" s="810"/>
    </row>
    <row r="5" spans="1:3" ht="15.75">
      <c r="A5" s="810" t="s">
        <v>337</v>
      </c>
      <c r="B5" s="810"/>
      <c r="C5" s="810"/>
    </row>
    <row r="8" ht="12.75">
      <c r="C8" s="356" t="s">
        <v>123</v>
      </c>
    </row>
    <row r="9" spans="1:3" ht="51">
      <c r="A9" s="439" t="s">
        <v>537</v>
      </c>
      <c r="B9" s="439" t="s">
        <v>538</v>
      </c>
      <c r="C9" s="439" t="s">
        <v>539</v>
      </c>
    </row>
    <row r="10" spans="1:3" ht="12.75">
      <c r="A10" s="660" t="s">
        <v>540</v>
      </c>
      <c r="B10" s="660" t="s">
        <v>141</v>
      </c>
      <c r="C10" s="660" t="s">
        <v>142</v>
      </c>
    </row>
    <row r="11" spans="1:3" ht="12.75">
      <c r="A11" s="661" t="s">
        <v>541</v>
      </c>
      <c r="B11" s="559" t="s">
        <v>542</v>
      </c>
      <c r="C11" s="662">
        <v>10550</v>
      </c>
    </row>
    <row r="12" spans="1:3" ht="12.75">
      <c r="A12" s="661" t="s">
        <v>543</v>
      </c>
      <c r="B12" s="559" t="s">
        <v>544</v>
      </c>
      <c r="C12" s="663">
        <v>15430</v>
      </c>
    </row>
    <row r="13" spans="1:3" ht="12.75">
      <c r="A13" s="661" t="s">
        <v>545</v>
      </c>
      <c r="B13" s="559" t="s">
        <v>546</v>
      </c>
      <c r="C13" s="663">
        <v>88</v>
      </c>
    </row>
    <row r="14" spans="1:3" ht="31.5">
      <c r="A14" s="664" t="s">
        <v>547</v>
      </c>
      <c r="B14" s="665" t="s">
        <v>548</v>
      </c>
      <c r="C14" s="666">
        <v>852</v>
      </c>
    </row>
    <row r="15" spans="1:3" ht="12.75">
      <c r="A15" s="667"/>
      <c r="B15" s="438" t="s">
        <v>549</v>
      </c>
      <c r="C15" s="481">
        <f>SUM(C11:C14)</f>
        <v>26920</v>
      </c>
    </row>
  </sheetData>
  <sheetProtection selectLockedCells="1" selectUnlockedCells="1"/>
  <mergeCells count="2">
    <mergeCell ref="A4:C4"/>
    <mergeCell ref="A5:C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ivatal kiadás"/>
  <dimension ref="A1:BH23"/>
  <sheetViews>
    <sheetView view="pageBreakPreview" zoomScale="75" zoomScaleNormal="75" zoomScaleSheetLayoutView="75" workbookViewId="0" topLeftCell="A1">
      <selection activeCell="Z3" sqref="Z3"/>
    </sheetView>
  </sheetViews>
  <sheetFormatPr defaultColWidth="9.00390625" defaultRowHeight="12.75"/>
  <cols>
    <col min="1" max="1" width="6.375" style="37" customWidth="1"/>
    <col min="2" max="2" width="47.625" style="37" customWidth="1"/>
    <col min="3" max="3" width="0" style="38" hidden="1" customWidth="1"/>
    <col min="4" max="4" width="0" style="37" hidden="1" customWidth="1"/>
    <col min="5" max="5" width="0" style="38" hidden="1" customWidth="1"/>
    <col min="6" max="6" width="0" style="39" hidden="1" customWidth="1"/>
    <col min="7" max="7" width="0" style="38" hidden="1" customWidth="1"/>
    <col min="8" max="8" width="0" style="37" hidden="1" customWidth="1"/>
    <col min="9" max="21" width="0" style="38" hidden="1" customWidth="1"/>
    <col min="22" max="22" width="11.00390625" style="38" customWidth="1"/>
    <col min="23" max="23" width="12.875" style="38" customWidth="1"/>
    <col min="24" max="24" width="11.00390625" style="38" customWidth="1"/>
    <col min="25" max="25" width="11.875" style="38" customWidth="1"/>
    <col min="26" max="60" width="9.125" style="38" customWidth="1"/>
    <col min="61" max="16384" width="9.125" style="37" customWidth="1"/>
  </cols>
  <sheetData>
    <row r="1" spans="2:25" ht="15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40"/>
      <c r="X1" s="40"/>
      <c r="Y1" s="40"/>
    </row>
    <row r="2" spans="2:26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7" t="s">
        <v>626</v>
      </c>
    </row>
    <row r="3" spans="2:16" ht="1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26" ht="15.75">
      <c r="A4" s="771" t="s">
        <v>26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</row>
    <row r="5" spans="1:26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5">
      <c r="B6" s="42"/>
    </row>
    <row r="7" spans="26:47" ht="15">
      <c r="Z7" s="43" t="s">
        <v>1</v>
      </c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</row>
    <row r="8" spans="1:26" ht="39.75" customHeight="1">
      <c r="A8" s="773" t="s">
        <v>2</v>
      </c>
      <c r="B8" s="773"/>
      <c r="C8" s="45" t="s">
        <v>3</v>
      </c>
      <c r="D8" s="45" t="s">
        <v>4</v>
      </c>
      <c r="E8" s="45" t="s">
        <v>5</v>
      </c>
      <c r="F8" s="46" t="s">
        <v>6</v>
      </c>
      <c r="G8" s="47" t="s">
        <v>3</v>
      </c>
      <c r="H8" s="48" t="s">
        <v>7</v>
      </c>
      <c r="I8" s="48" t="s">
        <v>7</v>
      </c>
      <c r="J8" s="48" t="s">
        <v>7</v>
      </c>
      <c r="K8" s="47" t="s">
        <v>3</v>
      </c>
      <c r="L8" s="12" t="s">
        <v>8</v>
      </c>
      <c r="M8" s="12" t="s">
        <v>9</v>
      </c>
      <c r="N8" s="12" t="s">
        <v>4</v>
      </c>
      <c r="O8" s="12" t="s">
        <v>4</v>
      </c>
      <c r="P8" s="12" t="s">
        <v>4</v>
      </c>
      <c r="Q8" s="12" t="s">
        <v>9</v>
      </c>
      <c r="R8" s="12" t="s">
        <v>7</v>
      </c>
      <c r="S8" s="12" t="s">
        <v>7</v>
      </c>
      <c r="T8" s="12" t="s">
        <v>7</v>
      </c>
      <c r="U8" s="12" t="s">
        <v>9</v>
      </c>
      <c r="V8" s="12" t="s">
        <v>10</v>
      </c>
      <c r="W8" s="669" t="s">
        <v>550</v>
      </c>
      <c r="X8" s="669" t="s">
        <v>551</v>
      </c>
      <c r="Y8" s="669" t="s">
        <v>552</v>
      </c>
      <c r="Z8" s="49" t="s">
        <v>11</v>
      </c>
    </row>
    <row r="9" spans="1:26" ht="13.5" customHeight="1">
      <c r="A9" s="50"/>
      <c r="B9" s="50" t="s">
        <v>12</v>
      </c>
      <c r="C9" s="51"/>
      <c r="D9" s="51"/>
      <c r="E9" s="51"/>
      <c r="F9" s="52"/>
      <c r="G9" s="53"/>
      <c r="H9" s="54"/>
      <c r="I9" s="54"/>
      <c r="J9" s="54"/>
      <c r="K9" s="53"/>
      <c r="L9" s="51"/>
      <c r="M9" s="51"/>
      <c r="N9" s="51"/>
      <c r="O9" s="51"/>
      <c r="P9" s="51"/>
      <c r="Q9" s="51"/>
      <c r="R9" s="51"/>
      <c r="S9" s="51"/>
      <c r="T9" s="51"/>
      <c r="U9" s="51"/>
      <c r="V9" s="51" t="s">
        <v>13</v>
      </c>
      <c r="W9" s="670" t="s">
        <v>151</v>
      </c>
      <c r="X9" s="670" t="s">
        <v>152</v>
      </c>
      <c r="Y9" s="670" t="s">
        <v>153</v>
      </c>
      <c r="Z9" s="55" t="s">
        <v>14</v>
      </c>
    </row>
    <row r="10" spans="1:26" ht="14.25">
      <c r="A10" s="56" t="s">
        <v>27</v>
      </c>
      <c r="C10" s="38">
        <v>0</v>
      </c>
      <c r="D10" s="38" t="e">
        <f>#REF!+C10</f>
        <v>#REF!</v>
      </c>
      <c r="E10" s="38">
        <v>67</v>
      </c>
      <c r="F10" s="39" t="e">
        <f>E10/D10*100</f>
        <v>#REF!</v>
      </c>
      <c r="G10" s="38">
        <v>0</v>
      </c>
      <c r="H10" s="38" t="e">
        <f>D10+G10</f>
        <v>#REF!</v>
      </c>
      <c r="I10" s="38">
        <v>153</v>
      </c>
      <c r="J10" s="38" t="e">
        <f>I10/H10*100</f>
        <v>#REF!</v>
      </c>
      <c r="K10" s="38">
        <v>0</v>
      </c>
      <c r="L10" s="38">
        <v>500</v>
      </c>
      <c r="M10" s="38">
        <v>0</v>
      </c>
      <c r="N10" s="38">
        <f>M10+L10</f>
        <v>500</v>
      </c>
      <c r="O10" s="38">
        <v>1</v>
      </c>
      <c r="P10" s="38">
        <f>O10/N10*100</f>
        <v>0.2</v>
      </c>
      <c r="Q10" s="38">
        <v>0</v>
      </c>
      <c r="R10" s="38">
        <f>Q10+N10</f>
        <v>500</v>
      </c>
      <c r="S10" s="38">
        <v>116</v>
      </c>
      <c r="T10" s="38">
        <f>S10/R10*100</f>
        <v>23.200000000000003</v>
      </c>
      <c r="U10" s="38">
        <v>0</v>
      </c>
      <c r="V10" s="38">
        <v>800</v>
      </c>
      <c r="W10" s="38">
        <v>0</v>
      </c>
      <c r="X10" s="38">
        <v>0</v>
      </c>
      <c r="Y10" s="38">
        <v>800</v>
      </c>
      <c r="Z10" s="57" t="s">
        <v>28</v>
      </c>
    </row>
    <row r="11" spans="1:26" ht="14.25">
      <c r="A11" s="56" t="s">
        <v>555</v>
      </c>
      <c r="C11" s="38">
        <v>0</v>
      </c>
      <c r="D11" s="38" t="e">
        <f>#REF!+C11</f>
        <v>#REF!</v>
      </c>
      <c r="E11" s="38">
        <v>1080</v>
      </c>
      <c r="F11" s="39" t="e">
        <f>E11/D11*100</f>
        <v>#REF!</v>
      </c>
      <c r="G11" s="38">
        <v>0</v>
      </c>
      <c r="H11" s="38" t="e">
        <f>D11+G11</f>
        <v>#REF!</v>
      </c>
      <c r="I11" s="38">
        <v>2160</v>
      </c>
      <c r="J11" s="38" t="e">
        <f>I11/H11*100</f>
        <v>#REF!</v>
      </c>
      <c r="K11" s="38">
        <v>0</v>
      </c>
      <c r="L11" s="38">
        <v>5093</v>
      </c>
      <c r="M11" s="38">
        <v>0</v>
      </c>
      <c r="N11" s="38">
        <f>M11+L11</f>
        <v>5093</v>
      </c>
      <c r="O11" s="38">
        <v>1143</v>
      </c>
      <c r="P11" s="38">
        <f>O11/N11*100</f>
        <v>22.442568230905163</v>
      </c>
      <c r="Q11" s="38">
        <v>0</v>
      </c>
      <c r="R11" s="38">
        <f>Q11+N11</f>
        <v>5093</v>
      </c>
      <c r="S11" s="38">
        <v>2324</v>
      </c>
      <c r="T11" s="38">
        <f>S11/R11*100</f>
        <v>45.631258590221876</v>
      </c>
      <c r="U11" s="38">
        <v>0</v>
      </c>
      <c r="V11" s="38">
        <v>7000</v>
      </c>
      <c r="W11" s="38">
        <v>0</v>
      </c>
      <c r="X11" s="38">
        <v>0</v>
      </c>
      <c r="Y11" s="38">
        <v>7000</v>
      </c>
      <c r="Z11" s="57" t="s">
        <v>28</v>
      </c>
    </row>
    <row r="12" spans="1:60" s="59" customFormat="1" ht="15">
      <c r="A12" s="58" t="s">
        <v>29</v>
      </c>
      <c r="C12" s="60" t="e">
        <f>SUM((#REF!),SUM(C10:C11))</f>
        <v>#REF!</v>
      </c>
      <c r="D12" s="60" t="e">
        <f>SUM((#REF!),SUM(D10:D11))</f>
        <v>#REF!</v>
      </c>
      <c r="E12" s="60" t="e">
        <f>SUM((#REF!),SUM(E10:E11))</f>
        <v>#REF!</v>
      </c>
      <c r="F12" s="60" t="e">
        <f>SUM((#REF!),SUM(F10:F11))</f>
        <v>#REF!</v>
      </c>
      <c r="G12" s="60" t="e">
        <f>SUM((#REF!),SUM(G10:G11))</f>
        <v>#REF!</v>
      </c>
      <c r="H12" s="60" t="e">
        <f>SUM((#REF!),SUM(H10:H11))</f>
        <v>#REF!</v>
      </c>
      <c r="I12" s="60" t="e">
        <f>SUM((#REF!),SUM(I10:I11))</f>
        <v>#REF!</v>
      </c>
      <c r="J12" s="60" t="e">
        <f>SUM((#REF!),SUM(J10:J11))</f>
        <v>#REF!</v>
      </c>
      <c r="K12" s="60" t="e">
        <f>SUM((#REF!),SUM(K10:K11))</f>
        <v>#REF!</v>
      </c>
      <c r="L12" s="60" t="e">
        <f>SUM((#REF!),SUM(L10:L11))</f>
        <v>#REF!</v>
      </c>
      <c r="M12" s="60" t="e">
        <f>SUM((#REF!),SUM(M10:M11))</f>
        <v>#REF!</v>
      </c>
      <c r="N12" s="60" t="e">
        <f>SUM((#REF!),SUM(N10:N11))</f>
        <v>#REF!</v>
      </c>
      <c r="O12" s="60" t="e">
        <f>SUM((#REF!),SUM(O10:O11))</f>
        <v>#REF!</v>
      </c>
      <c r="P12" s="60" t="e">
        <f>SUM((#REF!),SUM(P10:P11))</f>
        <v>#REF!</v>
      </c>
      <c r="Q12" s="60" t="e">
        <f>SUM((#REF!),SUM(Q10:Q11))</f>
        <v>#REF!</v>
      </c>
      <c r="R12" s="60" t="e">
        <f>Q12+N12</f>
        <v>#REF!</v>
      </c>
      <c r="S12" s="60" t="e">
        <f>SUM(#REF!)+SUM(S10:S11)</f>
        <v>#REF!</v>
      </c>
      <c r="T12" s="60" t="e">
        <f>S12/R12*100</f>
        <v>#REF!</v>
      </c>
      <c r="U12" s="60" t="e">
        <f>SUM((#REF!),SUM(U10:U11))</f>
        <v>#REF!</v>
      </c>
      <c r="V12" s="60">
        <f>SUM(V10:V11)</f>
        <v>7800</v>
      </c>
      <c r="W12" s="60">
        <f>SUM(W10:W11)</f>
        <v>0</v>
      </c>
      <c r="X12" s="60">
        <f>SUM(X10:X11)</f>
        <v>0</v>
      </c>
      <c r="Y12" s="60">
        <f>SUM(Y10:Y11)</f>
        <v>7800</v>
      </c>
      <c r="Z12" s="61" t="s">
        <v>28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s="64" customFormat="1" ht="15">
      <c r="A13" s="58" t="s">
        <v>30</v>
      </c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>
        <v>2121</v>
      </c>
      <c r="W13" s="60">
        <v>0</v>
      </c>
      <c r="X13" s="60">
        <v>2121</v>
      </c>
      <c r="Y13" s="60">
        <v>0</v>
      </c>
      <c r="Z13" s="61" t="s">
        <v>31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</row>
    <row r="14" spans="1:26" ht="15">
      <c r="A14" s="65" t="s">
        <v>556</v>
      </c>
      <c r="D14" s="38"/>
      <c r="H14" s="38"/>
      <c r="Z14" s="57"/>
    </row>
    <row r="15" spans="1:26" ht="14.25">
      <c r="A15" s="37" t="s">
        <v>33</v>
      </c>
      <c r="C15" s="38">
        <v>3512</v>
      </c>
      <c r="D15" s="38" t="e">
        <f>#REF!+C15</f>
        <v>#REF!</v>
      </c>
      <c r="E15" s="38">
        <v>79237</v>
      </c>
      <c r="F15" s="39" t="e">
        <f>E15/D15*100</f>
        <v>#REF!</v>
      </c>
      <c r="G15" s="38">
        <v>16899</v>
      </c>
      <c r="H15" s="38" t="e">
        <f>D15+G15</f>
        <v>#REF!</v>
      </c>
      <c r="I15" s="38">
        <v>148649</v>
      </c>
      <c r="J15" s="38" t="e">
        <f aca="true" t="shared" si="0" ref="J15:J20">I15/H15*100</f>
        <v>#REF!</v>
      </c>
      <c r="K15" s="38">
        <v>2246</v>
      </c>
      <c r="L15" s="38">
        <v>254134</v>
      </c>
      <c r="M15" s="38">
        <v>1269</v>
      </c>
      <c r="N15" s="38">
        <f aca="true" t="shared" si="1" ref="N15:N20">M15+L15</f>
        <v>255403</v>
      </c>
      <c r="O15" s="38">
        <v>62179</v>
      </c>
      <c r="P15" s="38">
        <f aca="true" t="shared" si="2" ref="P15:P20">O15/N15*100</f>
        <v>24.345446216371773</v>
      </c>
      <c r="Q15" s="38">
        <f>1271+2175+5638</f>
        <v>9084</v>
      </c>
      <c r="R15" s="38">
        <f aca="true" t="shared" si="3" ref="R15:R23">Q15+N15</f>
        <v>264487</v>
      </c>
      <c r="S15" s="38">
        <v>120308</v>
      </c>
      <c r="T15" s="38">
        <f aca="true" t="shared" si="4" ref="T15:T23">S15/R15*100</f>
        <v>45.487301833360426</v>
      </c>
      <c r="U15" s="38">
        <v>4241</v>
      </c>
      <c r="V15" s="38">
        <v>248691</v>
      </c>
      <c r="W15" s="38">
        <v>52610</v>
      </c>
      <c r="X15" s="38">
        <v>189951</v>
      </c>
      <c r="Y15" s="38">
        <v>6130</v>
      </c>
      <c r="Z15" s="57" t="s">
        <v>34</v>
      </c>
    </row>
    <row r="16" spans="1:26" ht="14.25">
      <c r="A16" s="37" t="s">
        <v>35</v>
      </c>
      <c r="C16" s="38">
        <v>1126</v>
      </c>
      <c r="D16" s="38" t="e">
        <f>#REF!+C16</f>
        <v>#REF!</v>
      </c>
      <c r="E16" s="38">
        <v>25000</v>
      </c>
      <c r="F16" s="39" t="e">
        <f>E16/D16*100</f>
        <v>#REF!</v>
      </c>
      <c r="G16" s="38">
        <v>5354</v>
      </c>
      <c r="H16" s="38" t="e">
        <f>D16+G16</f>
        <v>#REF!</v>
      </c>
      <c r="I16" s="38">
        <v>45264</v>
      </c>
      <c r="J16" s="38" t="e">
        <f t="shared" si="0"/>
        <v>#REF!</v>
      </c>
      <c r="K16" s="38">
        <v>-210</v>
      </c>
      <c r="L16" s="38">
        <v>63297</v>
      </c>
      <c r="M16" s="38">
        <v>342</v>
      </c>
      <c r="N16" s="38">
        <f t="shared" si="1"/>
        <v>63639</v>
      </c>
      <c r="O16" s="38">
        <v>17931</v>
      </c>
      <c r="P16" s="38">
        <f t="shared" si="2"/>
        <v>28.17611841795126</v>
      </c>
      <c r="Q16" s="38">
        <f>105+587+1501</f>
        <v>2193</v>
      </c>
      <c r="R16" s="38">
        <f t="shared" si="3"/>
        <v>65832</v>
      </c>
      <c r="S16" s="38">
        <v>32088</v>
      </c>
      <c r="T16" s="38">
        <f t="shared" si="4"/>
        <v>48.74225300765585</v>
      </c>
      <c r="U16" s="38">
        <v>-158</v>
      </c>
      <c r="V16" s="38">
        <v>70556</v>
      </c>
      <c r="W16" s="38">
        <v>14594</v>
      </c>
      <c r="X16" s="38">
        <v>53275</v>
      </c>
      <c r="Y16" s="38">
        <v>2687</v>
      </c>
      <c r="Z16" s="57" t="s">
        <v>36</v>
      </c>
    </row>
    <row r="17" spans="1:26" ht="14.25">
      <c r="A17" s="66" t="s">
        <v>37</v>
      </c>
      <c r="B17" s="66"/>
      <c r="C17" s="67">
        <v>0</v>
      </c>
      <c r="D17" s="67" t="e">
        <f>#REF!+C17</f>
        <v>#REF!</v>
      </c>
      <c r="E17" s="67">
        <v>26815</v>
      </c>
      <c r="F17" s="68" t="e">
        <f>E17/D17*100</f>
        <v>#REF!</v>
      </c>
      <c r="G17" s="67">
        <v>3066</v>
      </c>
      <c r="H17" s="67" t="e">
        <f>D17+G17</f>
        <v>#REF!</v>
      </c>
      <c r="I17" s="67">
        <v>56185</v>
      </c>
      <c r="J17" s="67" t="e">
        <f t="shared" si="0"/>
        <v>#REF!</v>
      </c>
      <c r="K17" s="67">
        <v>3595</v>
      </c>
      <c r="L17" s="67">
        <v>101026</v>
      </c>
      <c r="M17" s="67">
        <v>0</v>
      </c>
      <c r="N17" s="67">
        <f t="shared" si="1"/>
        <v>101026</v>
      </c>
      <c r="O17" s="67">
        <v>35971</v>
      </c>
      <c r="P17" s="67">
        <f t="shared" si="2"/>
        <v>35.605685665076315</v>
      </c>
      <c r="Q17" s="67">
        <f>3855+1474</f>
        <v>5329</v>
      </c>
      <c r="R17" s="67">
        <f t="shared" si="3"/>
        <v>106355</v>
      </c>
      <c r="S17" s="67">
        <v>67276</v>
      </c>
      <c r="T17" s="67">
        <f t="shared" si="4"/>
        <v>63.256076348079546</v>
      </c>
      <c r="U17" s="67">
        <f>-366+2144-113+10155</f>
        <v>11820</v>
      </c>
      <c r="V17" s="67">
        <v>97631</v>
      </c>
      <c r="W17" s="67">
        <v>26392</v>
      </c>
      <c r="X17" s="686">
        <v>71239</v>
      </c>
      <c r="Y17" s="67">
        <v>0</v>
      </c>
      <c r="Z17" s="69" t="s">
        <v>28</v>
      </c>
    </row>
    <row r="18" spans="1:26" ht="14.25">
      <c r="A18" s="64" t="s">
        <v>38</v>
      </c>
      <c r="C18" s="63">
        <f aca="true" t="shared" si="5" ref="C18:I18">SUM(C15:C17)</f>
        <v>4638</v>
      </c>
      <c r="D18" s="63" t="e">
        <f t="shared" si="5"/>
        <v>#REF!</v>
      </c>
      <c r="E18" s="63">
        <f t="shared" si="5"/>
        <v>131052</v>
      </c>
      <c r="F18" s="63" t="e">
        <f t="shared" si="5"/>
        <v>#REF!</v>
      </c>
      <c r="G18" s="63">
        <f t="shared" si="5"/>
        <v>25319</v>
      </c>
      <c r="H18" s="63" t="e">
        <f t="shared" si="5"/>
        <v>#REF!</v>
      </c>
      <c r="I18" s="38">
        <f t="shared" si="5"/>
        <v>250098</v>
      </c>
      <c r="J18" s="38" t="e">
        <f t="shared" si="0"/>
        <v>#REF!</v>
      </c>
      <c r="K18" s="38">
        <v>9737</v>
      </c>
      <c r="L18" s="38">
        <f>SUM(L15:L17)</f>
        <v>418457</v>
      </c>
      <c r="M18" s="38">
        <f>SUM(M15:M17)</f>
        <v>1611</v>
      </c>
      <c r="N18" s="38">
        <f t="shared" si="1"/>
        <v>420068</v>
      </c>
      <c r="O18" s="38">
        <f>SUM(O15:O17)</f>
        <v>116081</v>
      </c>
      <c r="P18" s="38">
        <f t="shared" si="2"/>
        <v>27.63385927992611</v>
      </c>
      <c r="Q18" s="38">
        <f>SUM(Q15:Q17)</f>
        <v>16606</v>
      </c>
      <c r="R18" s="38">
        <f t="shared" si="3"/>
        <v>436674</v>
      </c>
      <c r="S18" s="38">
        <f>SUM(S15:S17)</f>
        <v>219672</v>
      </c>
      <c r="T18" s="38">
        <f t="shared" si="4"/>
        <v>50.305720056609736</v>
      </c>
      <c r="U18" s="38">
        <f>SUM(U15:U17)</f>
        <v>15903</v>
      </c>
      <c r="V18" s="38">
        <f>SUM(V15:V17)</f>
        <v>416878</v>
      </c>
      <c r="W18" s="38">
        <f>SUM(W15:W17)</f>
        <v>93596</v>
      </c>
      <c r="X18" s="38">
        <f>SUM(X15:X17)</f>
        <v>314465</v>
      </c>
      <c r="Y18" s="38">
        <f>SUM(Y15:Y17)</f>
        <v>8817</v>
      </c>
      <c r="Z18" s="57"/>
    </row>
    <row r="19" spans="1:26" ht="14.25">
      <c r="A19" s="37" t="s">
        <v>39</v>
      </c>
      <c r="C19" s="38">
        <v>0</v>
      </c>
      <c r="D19" s="38" t="e">
        <f>#REF!+C19</f>
        <v>#REF!</v>
      </c>
      <c r="E19" s="38">
        <v>699</v>
      </c>
      <c r="F19" s="70" t="e">
        <f>E19/D19*100</f>
        <v>#REF!</v>
      </c>
      <c r="G19" s="38">
        <v>0</v>
      </c>
      <c r="H19" s="38" t="e">
        <f>D19+G19</f>
        <v>#REF!</v>
      </c>
      <c r="I19" s="38">
        <v>1155</v>
      </c>
      <c r="J19" s="38" t="e">
        <f t="shared" si="0"/>
        <v>#REF!</v>
      </c>
      <c r="K19" s="38">
        <v>0</v>
      </c>
      <c r="L19" s="38">
        <v>3500</v>
      </c>
      <c r="M19" s="38">
        <v>0</v>
      </c>
      <c r="N19" s="38">
        <f t="shared" si="1"/>
        <v>3500</v>
      </c>
      <c r="O19" s="38">
        <v>782</v>
      </c>
      <c r="P19" s="38">
        <f t="shared" si="2"/>
        <v>22.34285714285714</v>
      </c>
      <c r="Q19" s="38">
        <v>0</v>
      </c>
      <c r="R19" s="38">
        <f t="shared" si="3"/>
        <v>3500</v>
      </c>
      <c r="S19" s="38">
        <v>1541</v>
      </c>
      <c r="T19" s="38">
        <f t="shared" si="4"/>
        <v>44.028571428571425</v>
      </c>
      <c r="U19" s="38">
        <v>0</v>
      </c>
      <c r="V19" s="38">
        <v>300</v>
      </c>
      <c r="W19" s="38">
        <v>0</v>
      </c>
      <c r="X19" s="38">
        <v>0</v>
      </c>
      <c r="Y19" s="38">
        <v>300</v>
      </c>
      <c r="Z19" s="57" t="s">
        <v>28</v>
      </c>
    </row>
    <row r="20" spans="1:26" ht="14.25">
      <c r="A20" s="37" t="s">
        <v>40</v>
      </c>
      <c r="C20" s="38">
        <v>0</v>
      </c>
      <c r="D20" s="38" t="e">
        <f>#REF!+C20</f>
        <v>#REF!</v>
      </c>
      <c r="E20" s="38">
        <v>3485</v>
      </c>
      <c r="F20" s="70" t="e">
        <f>E20/D20*100</f>
        <v>#REF!</v>
      </c>
      <c r="G20" s="38">
        <v>-112</v>
      </c>
      <c r="H20" s="38" t="e">
        <f>D20+G20</f>
        <v>#REF!</v>
      </c>
      <c r="I20" s="38">
        <v>6572</v>
      </c>
      <c r="J20" s="38" t="e">
        <f t="shared" si="0"/>
        <v>#REF!</v>
      </c>
      <c r="K20" s="38">
        <v>640</v>
      </c>
      <c r="L20" s="38">
        <v>13250</v>
      </c>
      <c r="M20" s="38">
        <v>0</v>
      </c>
      <c r="N20" s="38">
        <f t="shared" si="1"/>
        <v>13250</v>
      </c>
      <c r="O20" s="38">
        <v>25616</v>
      </c>
      <c r="P20" s="38">
        <f t="shared" si="2"/>
        <v>193.32830188679245</v>
      </c>
      <c r="Q20" s="38">
        <f>41+22306</f>
        <v>22347</v>
      </c>
      <c r="R20" s="38">
        <f t="shared" si="3"/>
        <v>35597</v>
      </c>
      <c r="S20" s="38">
        <v>28869</v>
      </c>
      <c r="T20" s="38">
        <f t="shared" si="4"/>
        <v>81.09953085934208</v>
      </c>
      <c r="U20" s="38">
        <v>0</v>
      </c>
      <c r="V20" s="67">
        <v>4635</v>
      </c>
      <c r="W20" s="749">
        <v>0</v>
      </c>
      <c r="X20" s="749">
        <v>0</v>
      </c>
      <c r="Y20" s="749">
        <v>4635</v>
      </c>
      <c r="Z20" s="57" t="s">
        <v>28</v>
      </c>
    </row>
    <row r="21" spans="1:60" s="59" customFormat="1" ht="14.25">
      <c r="A21" s="59" t="s">
        <v>41</v>
      </c>
      <c r="C21" s="62" t="e">
        <f>#REF!+C19+C20</f>
        <v>#REF!</v>
      </c>
      <c r="D21" s="62" t="e">
        <f>#REF!+D19+D20</f>
        <v>#REF!</v>
      </c>
      <c r="E21" s="62" t="e">
        <f>#REF!+E19+E20</f>
        <v>#REF!</v>
      </c>
      <c r="F21" s="62" t="e">
        <f>#REF!+F19+F20</f>
        <v>#REF!</v>
      </c>
      <c r="G21" s="62" t="e">
        <f>#REF!+G19+G20</f>
        <v>#REF!</v>
      </c>
      <c r="H21" s="62" t="e">
        <f>#REF!+H19+H20</f>
        <v>#REF!</v>
      </c>
      <c r="I21" s="62" t="e">
        <f>#REF!+I19+I20</f>
        <v>#REF!</v>
      </c>
      <c r="J21" s="62" t="e">
        <f>#REF!+J19+J20</f>
        <v>#REF!</v>
      </c>
      <c r="K21" s="62" t="e">
        <f>#REF!+K19+K20</f>
        <v>#REF!</v>
      </c>
      <c r="L21" s="62" t="e">
        <f>#REF!+L19+L20</f>
        <v>#REF!</v>
      </c>
      <c r="M21" s="62" t="e">
        <f>#REF!+M19+M20</f>
        <v>#REF!</v>
      </c>
      <c r="N21" s="62" t="e">
        <f>M21+L21</f>
        <v>#REF!</v>
      </c>
      <c r="O21" s="62" t="e">
        <f>#REF!+O19+O20+#REF!</f>
        <v>#REF!</v>
      </c>
      <c r="P21" s="62" t="e">
        <f>O21/N21*100</f>
        <v>#REF!</v>
      </c>
      <c r="Q21" s="62" t="e">
        <f>#REF!+Q19+Q20+#REF!</f>
        <v>#REF!</v>
      </c>
      <c r="R21" s="62" t="e">
        <f t="shared" si="3"/>
        <v>#REF!</v>
      </c>
      <c r="S21" s="62" t="e">
        <f>#REF!+S19+S20+#REF!</f>
        <v>#REF!</v>
      </c>
      <c r="T21" s="62" t="e">
        <f t="shared" si="4"/>
        <v>#REF!</v>
      </c>
      <c r="U21" s="62" t="e">
        <f>#REF!+U19+U20+#REF!</f>
        <v>#REF!</v>
      </c>
      <c r="V21" s="38">
        <f>SUM(V19:V20)</f>
        <v>4935</v>
      </c>
      <c r="W21" s="38">
        <f>SUM(W19:W20)</f>
        <v>0</v>
      </c>
      <c r="X21" s="38">
        <f>SUM(X19:X20)</f>
        <v>0</v>
      </c>
      <c r="Y21" s="38">
        <f>SUM(Y19:Y20)</f>
        <v>4935</v>
      </c>
      <c r="Z21" s="61" t="s">
        <v>28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s="72" customFormat="1" ht="15">
      <c r="A22" s="71" t="s">
        <v>624</v>
      </c>
      <c r="C22" s="73" t="e">
        <f aca="true" t="shared" si="6" ref="C22:M22">C18+C21</f>
        <v>#REF!</v>
      </c>
      <c r="D22" s="73" t="e">
        <f t="shared" si="6"/>
        <v>#REF!</v>
      </c>
      <c r="E22" s="73" t="e">
        <f t="shared" si="6"/>
        <v>#REF!</v>
      </c>
      <c r="F22" s="73" t="e">
        <f t="shared" si="6"/>
        <v>#REF!</v>
      </c>
      <c r="G22" s="73" t="e">
        <f t="shared" si="6"/>
        <v>#REF!</v>
      </c>
      <c r="H22" s="73" t="e">
        <f t="shared" si="6"/>
        <v>#REF!</v>
      </c>
      <c r="I22" s="73" t="e">
        <f t="shared" si="6"/>
        <v>#REF!</v>
      </c>
      <c r="J22" s="73" t="e">
        <f t="shared" si="6"/>
        <v>#REF!</v>
      </c>
      <c r="K22" s="73" t="e">
        <f t="shared" si="6"/>
        <v>#REF!</v>
      </c>
      <c r="L22" s="73" t="e">
        <f t="shared" si="6"/>
        <v>#REF!</v>
      </c>
      <c r="M22" s="74" t="e">
        <f t="shared" si="6"/>
        <v>#REF!</v>
      </c>
      <c r="N22" s="60" t="e">
        <f>M22+L22</f>
        <v>#REF!</v>
      </c>
      <c r="O22" s="74" t="e">
        <f>O18+O21</f>
        <v>#REF!</v>
      </c>
      <c r="P22" s="75" t="e">
        <f>O22/N22*100</f>
        <v>#REF!</v>
      </c>
      <c r="Q22" s="74" t="e">
        <f>Q18+Q21</f>
        <v>#REF!</v>
      </c>
      <c r="R22" s="74" t="e">
        <f t="shared" si="3"/>
        <v>#REF!</v>
      </c>
      <c r="S22" s="74" t="e">
        <f>S18+S21</f>
        <v>#REF!</v>
      </c>
      <c r="T22" s="60" t="e">
        <f t="shared" si="4"/>
        <v>#REF!</v>
      </c>
      <c r="U22" s="74" t="e">
        <f>U18+U21</f>
        <v>#REF!</v>
      </c>
      <c r="V22" s="60">
        <f>V18+V21</f>
        <v>421813</v>
      </c>
      <c r="W22" s="60">
        <f>W18+W21</f>
        <v>93596</v>
      </c>
      <c r="X22" s="60">
        <f>X18+X21</f>
        <v>314465</v>
      </c>
      <c r="Y22" s="60">
        <f>Y18+Y21</f>
        <v>13752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</row>
    <row r="23" spans="1:60" s="76" customFormat="1" ht="15">
      <c r="A23" s="76" t="s">
        <v>43</v>
      </c>
      <c r="C23" s="60" t="e">
        <f>SUM(C12+#REF!+#REF!+#REF!+C22)</f>
        <v>#REF!</v>
      </c>
      <c r="D23" s="60" t="e">
        <f>SUM(D12+#REF!+#REF!+#REF!+D22)</f>
        <v>#REF!</v>
      </c>
      <c r="E23" s="60" t="e">
        <f>SUM(E12+#REF!+#REF!+#REF!+E22)</f>
        <v>#REF!</v>
      </c>
      <c r="F23" s="60" t="e">
        <f>SUM(F12+#REF!+#REF!+#REF!+F22)</f>
        <v>#REF!</v>
      </c>
      <c r="G23" s="60" t="e">
        <f>SUM(G12+#REF!+#REF!+#REF!+G22)</f>
        <v>#REF!</v>
      </c>
      <c r="H23" s="60" t="e">
        <f>SUM(H12+#REF!+#REF!+#REF!+H22)</f>
        <v>#REF!</v>
      </c>
      <c r="I23" s="60" t="e">
        <f>SUM(I12+#REF!+#REF!+#REF!+I22)</f>
        <v>#REF!</v>
      </c>
      <c r="J23" s="60" t="e">
        <f>SUM(J12+#REF!+#REF!+#REF!+J22)</f>
        <v>#REF!</v>
      </c>
      <c r="K23" s="60" t="e">
        <f>SUM(K12+#REF!+#REF!+#REF!+K22)</f>
        <v>#REF!</v>
      </c>
      <c r="L23" s="60" t="e">
        <f>SUM(L12+#REF!+#REF!+#REF!+L22)</f>
        <v>#REF!</v>
      </c>
      <c r="M23" s="60" t="e">
        <f>M12+#REF!+#REF!+#REF!+M22</f>
        <v>#REF!</v>
      </c>
      <c r="N23" s="60" t="e">
        <f>M23+L23</f>
        <v>#REF!</v>
      </c>
      <c r="O23" s="60" t="e">
        <f>O12+#REF!+#REF!+#REF!+O22</f>
        <v>#REF!</v>
      </c>
      <c r="P23" s="60" t="e">
        <f>O23/N23*100</f>
        <v>#REF!</v>
      </c>
      <c r="Q23" s="60" t="e">
        <f>Q12+#REF!+#REF!+#REF!+Q22</f>
        <v>#REF!</v>
      </c>
      <c r="R23" s="60" t="e">
        <f t="shared" si="3"/>
        <v>#REF!</v>
      </c>
      <c r="S23" s="60" t="e">
        <f>S12+#REF!+#REF!+#REF!+S22</f>
        <v>#REF!</v>
      </c>
      <c r="T23" s="60" t="e">
        <f t="shared" si="4"/>
        <v>#REF!</v>
      </c>
      <c r="U23" s="60" t="e">
        <f>U12+#REF!+#REF!+#REF!+U22</f>
        <v>#REF!</v>
      </c>
      <c r="V23" s="60">
        <f>V12+V13+V22</f>
        <v>431734</v>
      </c>
      <c r="W23" s="60">
        <f>W12+W13+W22</f>
        <v>93596</v>
      </c>
      <c r="X23" s="60">
        <f>X12+X13+X22</f>
        <v>316586</v>
      </c>
      <c r="Y23" s="60">
        <f>Y12+Y13+Y22</f>
        <v>21552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</row>
  </sheetData>
  <sheetProtection selectLockedCells="1" selectUnlockedCells="1"/>
  <mergeCells count="3">
    <mergeCell ref="B1:V1"/>
    <mergeCell ref="A4:Z4"/>
    <mergeCell ref="A8:B8"/>
  </mergeCells>
  <printOptions horizontalCentered="1"/>
  <pageMargins left="0.5" right="0.22013888888888888" top="0.25" bottom="0.2902777777777778" header="0.5118055555555555" footer="0.5118055555555555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Önk.kiadás"/>
  <dimension ref="A2:BH66"/>
  <sheetViews>
    <sheetView view="pageBreakPreview" zoomScale="75" zoomScaleNormal="75" zoomScaleSheetLayoutView="75" workbookViewId="0" topLeftCell="A1">
      <selection activeCell="Z3" sqref="Z3"/>
    </sheetView>
  </sheetViews>
  <sheetFormatPr defaultColWidth="9.00390625" defaultRowHeight="12.75"/>
  <cols>
    <col min="1" max="1" width="6.375" style="37" customWidth="1"/>
    <col min="2" max="2" width="58.875" style="37" customWidth="1"/>
    <col min="3" max="3" width="0" style="38" hidden="1" customWidth="1"/>
    <col min="4" max="4" width="0" style="37" hidden="1" customWidth="1"/>
    <col min="5" max="5" width="0" style="38" hidden="1" customWidth="1"/>
    <col min="6" max="6" width="0" style="39" hidden="1" customWidth="1"/>
    <col min="7" max="7" width="0" style="38" hidden="1" customWidth="1"/>
    <col min="8" max="8" width="0" style="37" hidden="1" customWidth="1"/>
    <col min="9" max="21" width="0" style="38" hidden="1" customWidth="1"/>
    <col min="22" max="22" width="11.00390625" style="38" customWidth="1"/>
    <col min="23" max="23" width="12.875" style="38" customWidth="1"/>
    <col min="24" max="24" width="12.125" style="38" customWidth="1"/>
    <col min="25" max="25" width="11.125" style="38" customWidth="1"/>
    <col min="26" max="60" width="9.125" style="38" customWidth="1"/>
    <col min="61" max="16384" width="9.125" style="37" customWidth="1"/>
  </cols>
  <sheetData>
    <row r="2" ht="15">
      <c r="Z2" s="7" t="s">
        <v>627</v>
      </c>
    </row>
    <row r="3" ht="15">
      <c r="Z3" s="7"/>
    </row>
    <row r="4" spans="1:26" ht="15.75">
      <c r="A4" s="771" t="s">
        <v>44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</row>
    <row r="5" ht="15">
      <c r="B5" s="42"/>
    </row>
    <row r="6" spans="26:47" ht="15">
      <c r="Z6" s="43" t="s">
        <v>1</v>
      </c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</row>
    <row r="7" spans="1:26" ht="39.75" customHeight="1">
      <c r="A7" s="773" t="s">
        <v>2</v>
      </c>
      <c r="B7" s="773"/>
      <c r="C7" s="45" t="s">
        <v>3</v>
      </c>
      <c r="D7" s="45" t="s">
        <v>4</v>
      </c>
      <c r="E7" s="45" t="s">
        <v>5</v>
      </c>
      <c r="F7" s="46" t="s">
        <v>6</v>
      </c>
      <c r="G7" s="47" t="s">
        <v>3</v>
      </c>
      <c r="H7" s="48" t="s">
        <v>7</v>
      </c>
      <c r="I7" s="48" t="s">
        <v>7</v>
      </c>
      <c r="J7" s="48" t="s">
        <v>7</v>
      </c>
      <c r="K7" s="47" t="s">
        <v>3</v>
      </c>
      <c r="L7" s="12" t="s">
        <v>8</v>
      </c>
      <c r="M7" s="12" t="s">
        <v>9</v>
      </c>
      <c r="N7" s="12" t="s">
        <v>4</v>
      </c>
      <c r="O7" s="12" t="s">
        <v>4</v>
      </c>
      <c r="P7" s="12" t="s">
        <v>4</v>
      </c>
      <c r="Q7" s="12" t="s">
        <v>9</v>
      </c>
      <c r="R7" s="12" t="s">
        <v>7</v>
      </c>
      <c r="S7" s="12" t="s">
        <v>7</v>
      </c>
      <c r="T7" s="12" t="s">
        <v>7</v>
      </c>
      <c r="U7" s="12" t="s">
        <v>9</v>
      </c>
      <c r="V7" s="12" t="s">
        <v>10</v>
      </c>
      <c r="W7" s="669" t="s">
        <v>550</v>
      </c>
      <c r="X7" s="669" t="s">
        <v>551</v>
      </c>
      <c r="Y7" s="669" t="s">
        <v>552</v>
      </c>
      <c r="Z7" s="45" t="s">
        <v>11</v>
      </c>
    </row>
    <row r="8" spans="1:26" ht="12.75" customHeight="1">
      <c r="A8" s="44"/>
      <c r="B8" s="50" t="s">
        <v>12</v>
      </c>
      <c r="C8" s="51"/>
      <c r="D8" s="51"/>
      <c r="E8" s="51"/>
      <c r="F8" s="52"/>
      <c r="G8" s="53"/>
      <c r="H8" s="54"/>
      <c r="I8" s="54"/>
      <c r="J8" s="54"/>
      <c r="K8" s="53"/>
      <c r="L8" s="51"/>
      <c r="M8" s="51"/>
      <c r="N8" s="51"/>
      <c r="O8" s="51"/>
      <c r="P8" s="51"/>
      <c r="Q8" s="51"/>
      <c r="R8" s="51"/>
      <c r="S8" s="51"/>
      <c r="T8" s="51"/>
      <c r="U8" s="51"/>
      <c r="V8" s="51" t="s">
        <v>13</v>
      </c>
      <c r="W8" s="670" t="s">
        <v>151</v>
      </c>
      <c r="X8" s="670" t="s">
        <v>152</v>
      </c>
      <c r="Y8" s="670" t="s">
        <v>153</v>
      </c>
      <c r="Z8" s="51" t="s">
        <v>14</v>
      </c>
    </row>
    <row r="9" spans="1:26" ht="14.25">
      <c r="A9" s="56" t="s">
        <v>553</v>
      </c>
      <c r="C9" s="38">
        <v>0</v>
      </c>
      <c r="D9" s="38" t="e">
        <f>#REF!+C9</f>
        <v>#REF!</v>
      </c>
      <c r="E9" s="38">
        <v>67</v>
      </c>
      <c r="F9" s="39" t="e">
        <f>E9/D9*100</f>
        <v>#REF!</v>
      </c>
      <c r="G9" s="38">
        <v>0</v>
      </c>
      <c r="H9" s="38" t="e">
        <f>D9+G9</f>
        <v>#REF!</v>
      </c>
      <c r="I9" s="38">
        <v>153</v>
      </c>
      <c r="J9" s="38" t="e">
        <f>I9/H9*100</f>
        <v>#REF!</v>
      </c>
      <c r="K9" s="38">
        <v>0</v>
      </c>
      <c r="L9" s="38">
        <v>500</v>
      </c>
      <c r="M9" s="38">
        <v>0</v>
      </c>
      <c r="N9" s="38">
        <f>M9+L9</f>
        <v>500</v>
      </c>
      <c r="O9" s="38">
        <v>1</v>
      </c>
      <c r="P9" s="38">
        <f>O9/N9*100</f>
        <v>0.2</v>
      </c>
      <c r="Q9" s="38">
        <v>0</v>
      </c>
      <c r="R9" s="38">
        <f>Q9+N9</f>
        <v>500</v>
      </c>
      <c r="S9" s="38">
        <v>116</v>
      </c>
      <c r="T9" s="38">
        <f>S9/R9*100</f>
        <v>23.200000000000003</v>
      </c>
      <c r="U9" s="38">
        <v>0</v>
      </c>
      <c r="V9" s="38">
        <v>28000</v>
      </c>
      <c r="W9" s="38">
        <v>0</v>
      </c>
      <c r="X9" s="38">
        <v>28000</v>
      </c>
      <c r="Y9" s="38">
        <v>0</v>
      </c>
      <c r="Z9" s="57" t="s">
        <v>28</v>
      </c>
    </row>
    <row r="10" spans="1:26" ht="14.25">
      <c r="A10" s="56" t="s">
        <v>45</v>
      </c>
      <c r="C10" s="38">
        <v>0</v>
      </c>
      <c r="D10" s="38" t="e">
        <f>#REF!+C10</f>
        <v>#REF!</v>
      </c>
      <c r="E10" s="38">
        <v>1080</v>
      </c>
      <c r="F10" s="39" t="e">
        <f>E10/D10*100</f>
        <v>#REF!</v>
      </c>
      <c r="G10" s="38">
        <v>0</v>
      </c>
      <c r="H10" s="38" t="e">
        <f>D10+G10</f>
        <v>#REF!</v>
      </c>
      <c r="I10" s="38">
        <v>2160</v>
      </c>
      <c r="J10" s="38" t="e">
        <f>I10/H10*100</f>
        <v>#REF!</v>
      </c>
      <c r="K10" s="38">
        <v>0</v>
      </c>
      <c r="L10" s="38">
        <v>5093</v>
      </c>
      <c r="M10" s="38">
        <v>0</v>
      </c>
      <c r="N10" s="38">
        <f>M10+L10</f>
        <v>5093</v>
      </c>
      <c r="O10" s="38">
        <v>1143</v>
      </c>
      <c r="P10" s="38">
        <f>O10/N10*100</f>
        <v>22.442568230905163</v>
      </c>
      <c r="Q10" s="38">
        <v>0</v>
      </c>
      <c r="R10" s="38">
        <f>Q10+N10</f>
        <v>5093</v>
      </c>
      <c r="S10" s="38">
        <v>2324</v>
      </c>
      <c r="T10" s="38">
        <f>S10/R10*100</f>
        <v>45.631258590221876</v>
      </c>
      <c r="U10" s="38">
        <v>0</v>
      </c>
      <c r="V10" s="38">
        <v>485</v>
      </c>
      <c r="W10" s="38">
        <v>0</v>
      </c>
      <c r="X10" s="38">
        <v>485</v>
      </c>
      <c r="Y10" s="38">
        <v>0</v>
      </c>
      <c r="Z10" s="57" t="s">
        <v>28</v>
      </c>
    </row>
    <row r="11" spans="1:26" ht="14.25">
      <c r="A11" s="77" t="s">
        <v>46</v>
      </c>
      <c r="B11" s="66"/>
      <c r="C11" s="67"/>
      <c r="D11" s="67"/>
      <c r="E11" s="67"/>
      <c r="F11" s="68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>
        <f>SUM(V12:V14)</f>
        <v>14200</v>
      </c>
      <c r="W11" s="67">
        <f>SUM(W12:W14)</f>
        <v>0</v>
      </c>
      <c r="X11" s="67">
        <f>SUM(X12:X14)</f>
        <v>12200</v>
      </c>
      <c r="Y11" s="67">
        <f>SUM(Y12:Y14)</f>
        <v>2000</v>
      </c>
      <c r="Z11" s="69" t="s">
        <v>28</v>
      </c>
    </row>
    <row r="12" spans="1:26" ht="14.25">
      <c r="A12" s="56" t="s">
        <v>47</v>
      </c>
      <c r="D12" s="38"/>
      <c r="H12" s="38"/>
      <c r="V12" s="38">
        <v>2200</v>
      </c>
      <c r="W12" s="38">
        <v>0</v>
      </c>
      <c r="X12" s="38">
        <v>2200</v>
      </c>
      <c r="Y12" s="38">
        <v>0</v>
      </c>
      <c r="Z12" s="57" t="s">
        <v>28</v>
      </c>
    </row>
    <row r="13" spans="1:26" ht="14.25">
      <c r="A13" s="56" t="s">
        <v>48</v>
      </c>
      <c r="D13" s="38"/>
      <c r="H13" s="38"/>
      <c r="V13" s="38">
        <v>10000</v>
      </c>
      <c r="W13" s="38">
        <v>0</v>
      </c>
      <c r="X13" s="38">
        <v>10000</v>
      </c>
      <c r="Y13" s="38">
        <v>0</v>
      </c>
      <c r="Z13" s="57" t="s">
        <v>28</v>
      </c>
    </row>
    <row r="14" spans="1:26" ht="14.25">
      <c r="A14" s="77" t="s">
        <v>49</v>
      </c>
      <c r="B14" s="66"/>
      <c r="C14" s="67"/>
      <c r="D14" s="67"/>
      <c r="E14" s="67"/>
      <c r="F14" s="68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>
        <v>2000</v>
      </c>
      <c r="W14" s="67">
        <v>0</v>
      </c>
      <c r="X14" s="67">
        <v>0</v>
      </c>
      <c r="Y14" s="67">
        <v>2000</v>
      </c>
      <c r="Z14" s="69" t="s">
        <v>28</v>
      </c>
    </row>
    <row r="15" spans="1:26" ht="14.25">
      <c r="A15" s="56" t="s">
        <v>50</v>
      </c>
      <c r="D15" s="38"/>
      <c r="H15" s="38"/>
      <c r="V15" s="38">
        <v>2500</v>
      </c>
      <c r="W15" s="38">
        <v>0</v>
      </c>
      <c r="X15" s="38">
        <v>2500</v>
      </c>
      <c r="Y15" s="38">
        <v>0</v>
      </c>
      <c r="Z15" s="57" t="s">
        <v>28</v>
      </c>
    </row>
    <row r="16" spans="1:26" ht="14.25">
      <c r="A16" s="56" t="s">
        <v>51</v>
      </c>
      <c r="D16" s="38"/>
      <c r="H16" s="38"/>
      <c r="V16" s="38">
        <v>50000</v>
      </c>
      <c r="W16" s="38">
        <v>0</v>
      </c>
      <c r="X16" s="38">
        <v>50000</v>
      </c>
      <c r="Y16" s="38">
        <v>0</v>
      </c>
      <c r="Z16" s="57" t="s">
        <v>28</v>
      </c>
    </row>
    <row r="17" spans="1:26" ht="14.25">
      <c r="A17" s="56" t="s">
        <v>52</v>
      </c>
      <c r="D17" s="38"/>
      <c r="H17" s="38"/>
      <c r="V17" s="38">
        <v>300</v>
      </c>
      <c r="W17" s="38">
        <v>0</v>
      </c>
      <c r="X17" s="38">
        <v>300</v>
      </c>
      <c r="Y17" s="38">
        <v>0</v>
      </c>
      <c r="Z17" s="57" t="s">
        <v>28</v>
      </c>
    </row>
    <row r="18" spans="1:26" ht="14.25">
      <c r="A18" s="56" t="s">
        <v>53</v>
      </c>
      <c r="D18" s="38"/>
      <c r="H18" s="38"/>
      <c r="V18" s="38">
        <v>5461</v>
      </c>
      <c r="W18" s="38">
        <v>0</v>
      </c>
      <c r="X18" s="38">
        <v>0</v>
      </c>
      <c r="Y18" s="38">
        <v>5461</v>
      </c>
      <c r="Z18" s="57" t="s">
        <v>28</v>
      </c>
    </row>
    <row r="19" spans="1:26" ht="14.25">
      <c r="A19" s="56" t="s">
        <v>54</v>
      </c>
      <c r="D19" s="38"/>
      <c r="H19" s="38"/>
      <c r="V19" s="38">
        <v>7497</v>
      </c>
      <c r="W19" s="38">
        <v>0</v>
      </c>
      <c r="X19" s="38">
        <v>7497</v>
      </c>
      <c r="Y19" s="38">
        <v>0</v>
      </c>
      <c r="Z19" s="57" t="s">
        <v>28</v>
      </c>
    </row>
    <row r="20" spans="1:26" ht="14.25">
      <c r="A20" s="56" t="s">
        <v>554</v>
      </c>
      <c r="D20" s="38"/>
      <c r="H20" s="38"/>
      <c r="V20" s="38">
        <v>15000</v>
      </c>
      <c r="W20" s="38">
        <v>0</v>
      </c>
      <c r="X20" s="38">
        <v>15000</v>
      </c>
      <c r="Y20" s="38">
        <v>0</v>
      </c>
      <c r="Z20" s="57" t="s">
        <v>28</v>
      </c>
    </row>
    <row r="21" spans="1:26" ht="14.25">
      <c r="A21" s="56" t="s">
        <v>55</v>
      </c>
      <c r="D21" s="38"/>
      <c r="H21" s="38"/>
      <c r="V21" s="38">
        <v>12000</v>
      </c>
      <c r="W21" s="38">
        <v>0</v>
      </c>
      <c r="X21" s="38">
        <v>12000</v>
      </c>
      <c r="Y21" s="38">
        <v>0</v>
      </c>
      <c r="Z21" s="57" t="s">
        <v>28</v>
      </c>
    </row>
    <row r="22" spans="1:26" ht="14.25">
      <c r="A22" s="56" t="s">
        <v>56</v>
      </c>
      <c r="D22" s="38"/>
      <c r="H22" s="38"/>
      <c r="V22" s="38">
        <v>50000</v>
      </c>
      <c r="W22" s="38">
        <v>0</v>
      </c>
      <c r="X22" s="38">
        <v>50000</v>
      </c>
      <c r="Y22" s="38">
        <v>0</v>
      </c>
      <c r="Z22" s="57" t="s">
        <v>28</v>
      </c>
    </row>
    <row r="23" spans="1:26" ht="14.25">
      <c r="A23" s="56" t="s">
        <v>57</v>
      </c>
      <c r="D23" s="38"/>
      <c r="H23" s="38"/>
      <c r="V23" s="38">
        <v>7024</v>
      </c>
      <c r="W23" s="38">
        <v>0</v>
      </c>
      <c r="X23" s="38">
        <v>7024</v>
      </c>
      <c r="Y23" s="38">
        <v>0</v>
      </c>
      <c r="Z23" s="57" t="s">
        <v>34</v>
      </c>
    </row>
    <row r="24" spans="1:26" ht="14.25">
      <c r="A24" s="56" t="s">
        <v>58</v>
      </c>
      <c r="D24" s="38"/>
      <c r="H24" s="38"/>
      <c r="V24" s="38">
        <v>1848</v>
      </c>
      <c r="W24" s="38">
        <v>0</v>
      </c>
      <c r="X24" s="38">
        <v>1848</v>
      </c>
      <c r="Y24" s="38">
        <v>0</v>
      </c>
      <c r="Z24" s="57" t="s">
        <v>36</v>
      </c>
    </row>
    <row r="25" spans="1:26" ht="14.25">
      <c r="A25" s="56" t="s">
        <v>59</v>
      </c>
      <c r="D25" s="38"/>
      <c r="H25" s="38"/>
      <c r="V25" s="38">
        <v>53782</v>
      </c>
      <c r="W25" s="38">
        <v>0</v>
      </c>
      <c r="X25" s="38">
        <v>0</v>
      </c>
      <c r="Y25" s="38">
        <v>53782</v>
      </c>
      <c r="Z25" s="57" t="s">
        <v>34</v>
      </c>
    </row>
    <row r="26" spans="1:26" ht="14.25">
      <c r="A26" s="56" t="s">
        <v>60</v>
      </c>
      <c r="D26" s="38"/>
      <c r="H26" s="38"/>
      <c r="V26" s="38">
        <v>7261</v>
      </c>
      <c r="W26" s="38">
        <v>0</v>
      </c>
      <c r="X26" s="38">
        <v>0</v>
      </c>
      <c r="Y26" s="38">
        <v>7261</v>
      </c>
      <c r="Z26" s="57" t="s">
        <v>36</v>
      </c>
    </row>
    <row r="27" spans="1:26" ht="14.25">
      <c r="A27" s="56" t="s">
        <v>61</v>
      </c>
      <c r="D27" s="38"/>
      <c r="H27" s="38"/>
      <c r="V27" s="38">
        <v>1832</v>
      </c>
      <c r="W27" s="38">
        <v>0</v>
      </c>
      <c r="X27" s="38">
        <v>0</v>
      </c>
      <c r="Y27" s="38">
        <v>1832</v>
      </c>
      <c r="Z27" s="57" t="s">
        <v>28</v>
      </c>
    </row>
    <row r="28" spans="1:26" ht="14.25">
      <c r="A28" s="56" t="s">
        <v>62</v>
      </c>
      <c r="D28" s="38"/>
      <c r="H28" s="38"/>
      <c r="V28" s="38">
        <v>3442</v>
      </c>
      <c r="W28" s="38">
        <v>0</v>
      </c>
      <c r="X28" s="38">
        <v>0</v>
      </c>
      <c r="Y28" s="38">
        <v>3442</v>
      </c>
      <c r="Z28" s="57" t="s">
        <v>28</v>
      </c>
    </row>
    <row r="29" spans="1:26" ht="14.25">
      <c r="A29" s="56" t="s">
        <v>63</v>
      </c>
      <c r="D29" s="38"/>
      <c r="H29" s="38"/>
      <c r="V29" s="38">
        <v>2078</v>
      </c>
      <c r="W29" s="38">
        <v>0</v>
      </c>
      <c r="X29" s="38">
        <v>0</v>
      </c>
      <c r="Y29" s="38">
        <v>2078</v>
      </c>
      <c r="Z29" s="57" t="s">
        <v>28</v>
      </c>
    </row>
    <row r="30" spans="1:26" ht="14.25">
      <c r="A30" s="56" t="s">
        <v>64</v>
      </c>
      <c r="D30" s="38"/>
      <c r="H30" s="38"/>
      <c r="V30" s="38">
        <v>1349</v>
      </c>
      <c r="W30" s="38">
        <v>0</v>
      </c>
      <c r="X30" s="38">
        <v>0</v>
      </c>
      <c r="Y30" s="38">
        <v>1349</v>
      </c>
      <c r="Z30" s="57" t="s">
        <v>65</v>
      </c>
    </row>
    <row r="31" spans="1:60" s="59" customFormat="1" ht="15">
      <c r="A31" s="58" t="s">
        <v>29</v>
      </c>
      <c r="C31" s="60" t="e">
        <f>SUM((#REF!),SUM(C9:C10))</f>
        <v>#REF!</v>
      </c>
      <c r="D31" s="60" t="e">
        <f>SUM((#REF!),SUM(D9:D10))</f>
        <v>#REF!</v>
      </c>
      <c r="E31" s="60" t="e">
        <f>SUM((#REF!),SUM(E9:E10))</f>
        <v>#REF!</v>
      </c>
      <c r="F31" s="60" t="e">
        <f>SUM((#REF!),SUM(F9:F10))</f>
        <v>#REF!</v>
      </c>
      <c r="G31" s="60" t="e">
        <f>SUM((#REF!),SUM(G9:G10))</f>
        <v>#REF!</v>
      </c>
      <c r="H31" s="60" t="e">
        <f>SUM((#REF!),SUM(H9:H10))</f>
        <v>#REF!</v>
      </c>
      <c r="I31" s="60" t="e">
        <f>SUM((#REF!),SUM(I9:I10))</f>
        <v>#REF!</v>
      </c>
      <c r="J31" s="60" t="e">
        <f>SUM((#REF!),SUM(J9:J10))</f>
        <v>#REF!</v>
      </c>
      <c r="K31" s="60" t="e">
        <f>SUM((#REF!),SUM(K9:K10))</f>
        <v>#REF!</v>
      </c>
      <c r="L31" s="60" t="e">
        <f>SUM((#REF!),SUM(L9:L10))</f>
        <v>#REF!</v>
      </c>
      <c r="M31" s="60" t="e">
        <f>SUM((#REF!),SUM(M9:M10))</f>
        <v>#REF!</v>
      </c>
      <c r="N31" s="60" t="e">
        <f>SUM((#REF!),SUM(N9:N10))</f>
        <v>#REF!</v>
      </c>
      <c r="O31" s="60" t="e">
        <f>SUM((#REF!),SUM(O9:O10))</f>
        <v>#REF!</v>
      </c>
      <c r="P31" s="60" t="e">
        <f>SUM((#REF!),SUM(P9:P10))</f>
        <v>#REF!</v>
      </c>
      <c r="Q31" s="60" t="e">
        <f>SUM((#REF!),SUM(Q9:Q10))</f>
        <v>#REF!</v>
      </c>
      <c r="R31" s="60" t="e">
        <f>Q31+N31</f>
        <v>#REF!</v>
      </c>
      <c r="S31" s="60" t="e">
        <f>SUM(#REF!)+SUM(S9:S10)</f>
        <v>#REF!</v>
      </c>
      <c r="T31" s="60" t="e">
        <f>S31/R31*100</f>
        <v>#REF!</v>
      </c>
      <c r="U31" s="60" t="e">
        <f>SUM((#REF!),SUM(U9:U10))</f>
        <v>#REF!</v>
      </c>
      <c r="V31" s="60">
        <f>V9+V10+V11+V15+V16+V17+V18+V19+V20+V21+V22+V23+V24+V25+V26+V27+V28+V29+V30</f>
        <v>264059</v>
      </c>
      <c r="W31" s="60">
        <f>W9+W10+W11+W15+W16+W17+W18+W19+W20+W21+W22+W23+W24+W25+W26+W27+W28+W29+W30</f>
        <v>0</v>
      </c>
      <c r="X31" s="60">
        <f>X9+X10+X11+X15+X16+X17+X18+X19+X20+X21+X22+X23+X24+X25+X26+X27+X28+X29+X30</f>
        <v>186854</v>
      </c>
      <c r="Y31" s="60">
        <f>Y9+Y10+Y11+Y15+Y16+Y17+Y18+Y19+Y20+Y21+Y22+Y23+Y24+Y25+Y26+Y27+Y28+Y29+Y30</f>
        <v>77205</v>
      </c>
      <c r="Z31" s="61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26" ht="14.25">
      <c r="A32" s="56" t="s">
        <v>66</v>
      </c>
      <c r="C32" s="38">
        <v>0</v>
      </c>
      <c r="D32" s="38" t="e">
        <f>#REF!+C32</f>
        <v>#REF!</v>
      </c>
      <c r="E32" s="38">
        <v>6840</v>
      </c>
      <c r="F32" s="39" t="e">
        <f>E32/D32*100</f>
        <v>#REF!</v>
      </c>
      <c r="G32" s="38">
        <f>256-1857</f>
        <v>-1601</v>
      </c>
      <c r="H32" s="38" t="e">
        <f>D32+G32</f>
        <v>#REF!</v>
      </c>
      <c r="I32" s="38">
        <v>9645</v>
      </c>
      <c r="J32" s="63" t="e">
        <f>I32/H32*100</f>
        <v>#REF!</v>
      </c>
      <c r="K32" s="38">
        <v>0</v>
      </c>
      <c r="L32" s="38">
        <v>26054</v>
      </c>
      <c r="M32" s="38">
        <v>0</v>
      </c>
      <c r="N32" s="38">
        <f aca="true" t="shared" si="0" ref="N32:N50">M32+L32</f>
        <v>26054</v>
      </c>
      <c r="O32" s="38">
        <v>1518</v>
      </c>
      <c r="P32" s="38">
        <f aca="true" t="shared" si="1" ref="P32:P50">O32/N32*100</f>
        <v>5.8263606356029785</v>
      </c>
      <c r="Q32" s="38">
        <f>23-1364-120</f>
        <v>-1461</v>
      </c>
      <c r="R32" s="38">
        <f>Q32+N32</f>
        <v>24593</v>
      </c>
      <c r="S32" s="38">
        <v>11457</v>
      </c>
      <c r="T32" s="38">
        <f>S32/R32*100</f>
        <v>46.5864270320823</v>
      </c>
      <c r="U32" s="38">
        <v>-489</v>
      </c>
      <c r="V32" s="38">
        <v>30000</v>
      </c>
      <c r="W32" s="38">
        <v>0</v>
      </c>
      <c r="X32" s="38">
        <v>30000</v>
      </c>
      <c r="Y32" s="38">
        <v>0</v>
      </c>
      <c r="Z32" s="57" t="s">
        <v>67</v>
      </c>
    </row>
    <row r="33" spans="1:26" ht="14.25">
      <c r="A33" s="56" t="s">
        <v>68</v>
      </c>
      <c r="C33" s="38">
        <v>0</v>
      </c>
      <c r="D33" s="38" t="e">
        <f>#REF!+C33</f>
        <v>#REF!</v>
      </c>
      <c r="E33" s="38">
        <v>0</v>
      </c>
      <c r="F33" s="39" t="e">
        <f>E33/D33*100</f>
        <v>#REF!</v>
      </c>
      <c r="G33" s="38">
        <v>0</v>
      </c>
      <c r="H33" s="38" t="e">
        <f>D33+G33</f>
        <v>#REF!</v>
      </c>
      <c r="I33" s="38">
        <v>470</v>
      </c>
      <c r="J33" s="63" t="e">
        <f>I33/H33*100</f>
        <v>#REF!</v>
      </c>
      <c r="K33" s="38">
        <v>0</v>
      </c>
      <c r="L33" s="38">
        <v>450</v>
      </c>
      <c r="M33" s="38">
        <v>0</v>
      </c>
      <c r="N33" s="38">
        <f t="shared" si="0"/>
        <v>450</v>
      </c>
      <c r="O33" s="38">
        <v>0</v>
      </c>
      <c r="P33" s="38">
        <f t="shared" si="1"/>
        <v>0</v>
      </c>
      <c r="Q33" s="38">
        <v>0</v>
      </c>
      <c r="R33" s="38">
        <f>Q33+N33</f>
        <v>450</v>
      </c>
      <c r="S33" s="38">
        <v>450</v>
      </c>
      <c r="T33" s="38">
        <f>S33/R33*100</f>
        <v>100</v>
      </c>
      <c r="U33" s="38">
        <v>0</v>
      </c>
      <c r="V33" s="38">
        <v>1000</v>
      </c>
      <c r="W33" s="38">
        <v>0</v>
      </c>
      <c r="X33" s="38">
        <v>0</v>
      </c>
      <c r="Y33" s="38">
        <v>1000</v>
      </c>
      <c r="Z33" s="57" t="s">
        <v>67</v>
      </c>
    </row>
    <row r="34" spans="1:26" ht="14.25">
      <c r="A34" s="56" t="s">
        <v>69</v>
      </c>
      <c r="C34" s="38">
        <v>0</v>
      </c>
      <c r="D34" s="38" t="e">
        <f>#REF!+C34</f>
        <v>#REF!</v>
      </c>
      <c r="E34" s="38">
        <v>235</v>
      </c>
      <c r="F34" s="39" t="e">
        <f>E34/D34*100</f>
        <v>#REF!</v>
      </c>
      <c r="G34" s="38">
        <v>0</v>
      </c>
      <c r="H34" s="38" t="e">
        <f>D34+G34</f>
        <v>#REF!</v>
      </c>
      <c r="I34" s="38">
        <v>235</v>
      </c>
      <c r="J34" s="63" t="e">
        <f>I34/H34*100</f>
        <v>#REF!</v>
      </c>
      <c r="K34" s="38">
        <v>0</v>
      </c>
      <c r="L34" s="38">
        <v>450</v>
      </c>
      <c r="M34" s="38">
        <v>0</v>
      </c>
      <c r="N34" s="38">
        <f t="shared" si="0"/>
        <v>450</v>
      </c>
      <c r="O34" s="38">
        <v>450</v>
      </c>
      <c r="P34" s="38">
        <f t="shared" si="1"/>
        <v>100</v>
      </c>
      <c r="Q34" s="38">
        <v>0</v>
      </c>
      <c r="R34" s="38">
        <f>Q34+N34</f>
        <v>450</v>
      </c>
      <c r="S34" s="38">
        <v>450</v>
      </c>
      <c r="T34" s="38">
        <f>S34/R34*100</f>
        <v>100</v>
      </c>
      <c r="U34" s="38">
        <v>0</v>
      </c>
      <c r="V34" s="38">
        <v>2000</v>
      </c>
      <c r="W34" s="38">
        <v>0</v>
      </c>
      <c r="X34" s="38">
        <v>2000</v>
      </c>
      <c r="Y34" s="38">
        <v>0</v>
      </c>
      <c r="Z34" s="57" t="s">
        <v>67</v>
      </c>
    </row>
    <row r="35" spans="1:26" ht="14.25">
      <c r="A35" s="56" t="s">
        <v>70</v>
      </c>
      <c r="C35" s="38">
        <v>0</v>
      </c>
      <c r="D35" s="38" t="e">
        <f>#REF!+C35</f>
        <v>#REF!</v>
      </c>
      <c r="E35" s="38">
        <v>9566</v>
      </c>
      <c r="F35" s="39" t="e">
        <f>E35/D35*100</f>
        <v>#REF!</v>
      </c>
      <c r="G35" s="38">
        <v>0</v>
      </c>
      <c r="H35" s="38" t="e">
        <f>D35+G35</f>
        <v>#REF!</v>
      </c>
      <c r="I35" s="38">
        <v>21058</v>
      </c>
      <c r="J35" s="63" t="e">
        <f>I35/H35*100</f>
        <v>#REF!</v>
      </c>
      <c r="K35" s="38">
        <v>-2000</v>
      </c>
      <c r="L35" s="38">
        <v>76154</v>
      </c>
      <c r="M35" s="38">
        <v>0</v>
      </c>
      <c r="N35" s="38">
        <f t="shared" si="0"/>
        <v>76154</v>
      </c>
      <c r="O35" s="38">
        <v>0</v>
      </c>
      <c r="P35" s="38">
        <f t="shared" si="1"/>
        <v>0</v>
      </c>
      <c r="Q35" s="38">
        <v>-900</v>
      </c>
      <c r="R35" s="38">
        <f>Q35+N35</f>
        <v>75254</v>
      </c>
      <c r="S35" s="38">
        <v>21124</v>
      </c>
      <c r="T35" s="38">
        <f>S35/R35*100</f>
        <v>28.07026869003641</v>
      </c>
      <c r="U35" s="38">
        <v>0</v>
      </c>
      <c r="V35" s="38">
        <v>108000</v>
      </c>
      <c r="W35" s="38">
        <v>0</v>
      </c>
      <c r="X35" s="38">
        <v>108000</v>
      </c>
      <c r="Y35" s="38">
        <v>0</v>
      </c>
      <c r="Z35" s="57" t="s">
        <v>67</v>
      </c>
    </row>
    <row r="36" spans="1:26" ht="14.25">
      <c r="A36" s="56" t="s">
        <v>71</v>
      </c>
      <c r="D36" s="38"/>
      <c r="H36" s="38"/>
      <c r="J36" s="63"/>
      <c r="V36" s="38">
        <v>6320</v>
      </c>
      <c r="W36" s="38">
        <v>0</v>
      </c>
      <c r="X36" s="38">
        <v>0</v>
      </c>
      <c r="Y36" s="38">
        <v>6320</v>
      </c>
      <c r="Z36" s="57" t="s">
        <v>67</v>
      </c>
    </row>
    <row r="37" spans="1:26" ht="14.25">
      <c r="A37" s="56" t="s">
        <v>72</v>
      </c>
      <c r="D37" s="38"/>
      <c r="H37" s="38"/>
      <c r="J37" s="63"/>
      <c r="V37" s="38">
        <v>46000</v>
      </c>
      <c r="W37" s="38">
        <v>0</v>
      </c>
      <c r="X37" s="38">
        <v>0</v>
      </c>
      <c r="Y37" s="38">
        <v>46000</v>
      </c>
      <c r="Z37" s="57" t="s">
        <v>67</v>
      </c>
    </row>
    <row r="38" spans="1:26" ht="14.25">
      <c r="A38" s="56" t="s">
        <v>73</v>
      </c>
      <c r="D38" s="38"/>
      <c r="H38" s="38"/>
      <c r="J38" s="63"/>
      <c r="V38" s="38">
        <v>6800</v>
      </c>
      <c r="W38" s="38">
        <v>0</v>
      </c>
      <c r="X38" s="38">
        <v>0</v>
      </c>
      <c r="Y38" s="38">
        <v>6800</v>
      </c>
      <c r="Z38" s="57" t="s">
        <v>67</v>
      </c>
    </row>
    <row r="39" spans="1:26" ht="14.25">
      <c r="A39" s="56" t="s">
        <v>74</v>
      </c>
      <c r="D39" s="38"/>
      <c r="H39" s="38"/>
      <c r="J39" s="63"/>
      <c r="V39" s="38">
        <v>65000</v>
      </c>
      <c r="W39" s="38">
        <v>0</v>
      </c>
      <c r="X39" s="38">
        <v>0</v>
      </c>
      <c r="Y39" s="38">
        <v>65000</v>
      </c>
      <c r="Z39" s="57" t="s">
        <v>67</v>
      </c>
    </row>
    <row r="40" spans="1:26" ht="14.25">
      <c r="A40" s="56" t="s">
        <v>75</v>
      </c>
      <c r="D40" s="38"/>
      <c r="H40" s="38"/>
      <c r="J40" s="63"/>
      <c r="V40" s="38">
        <v>200</v>
      </c>
      <c r="W40" s="38">
        <v>0</v>
      </c>
      <c r="X40" s="38">
        <v>0</v>
      </c>
      <c r="Y40" s="38">
        <v>200</v>
      </c>
      <c r="Z40" s="57" t="s">
        <v>67</v>
      </c>
    </row>
    <row r="41" spans="1:26" ht="14.25">
      <c r="A41" s="56" t="s">
        <v>76</v>
      </c>
      <c r="D41" s="38"/>
      <c r="H41" s="38"/>
      <c r="J41" s="63"/>
      <c r="V41" s="38">
        <v>545</v>
      </c>
      <c r="W41" s="38">
        <v>0</v>
      </c>
      <c r="X41" s="38">
        <v>545</v>
      </c>
      <c r="Y41" s="38">
        <v>0</v>
      </c>
      <c r="Z41" s="57" t="s">
        <v>67</v>
      </c>
    </row>
    <row r="42" spans="1:26" ht="14.25">
      <c r="A42" s="56" t="s">
        <v>77</v>
      </c>
      <c r="D42" s="38"/>
      <c r="H42" s="38"/>
      <c r="J42" s="63"/>
      <c r="V42" s="38">
        <v>344</v>
      </c>
      <c r="W42" s="38">
        <v>0</v>
      </c>
      <c r="X42" s="38">
        <v>344</v>
      </c>
      <c r="Y42" s="38">
        <v>0</v>
      </c>
      <c r="Z42" s="57" t="s">
        <v>67</v>
      </c>
    </row>
    <row r="43" spans="1:26" ht="14.25">
      <c r="A43" s="56" t="s">
        <v>78</v>
      </c>
      <c r="D43" s="38"/>
      <c r="H43" s="38"/>
      <c r="J43" s="63"/>
      <c r="V43" s="38">
        <v>334</v>
      </c>
      <c r="W43" s="38">
        <v>0</v>
      </c>
      <c r="X43" s="38">
        <v>334</v>
      </c>
      <c r="Y43" s="38">
        <v>0</v>
      </c>
      <c r="Z43" s="57" t="s">
        <v>67</v>
      </c>
    </row>
    <row r="44" spans="1:26" ht="14.25">
      <c r="A44" s="56" t="s">
        <v>79</v>
      </c>
      <c r="C44" s="38">
        <v>-30</v>
      </c>
      <c r="D44" s="38" t="e">
        <f>#REF!+C44</f>
        <v>#REF!</v>
      </c>
      <c r="E44" s="38">
        <v>0</v>
      </c>
      <c r="F44" s="39" t="e">
        <f>E44/D44*100</f>
        <v>#REF!</v>
      </c>
      <c r="G44" s="38">
        <v>0</v>
      </c>
      <c r="H44" s="38" t="e">
        <f>D44+G44</f>
        <v>#REF!</v>
      </c>
      <c r="I44" s="38">
        <v>120</v>
      </c>
      <c r="J44" s="63" t="e">
        <f>I44/H44*100</f>
        <v>#REF!</v>
      </c>
      <c r="K44" s="38">
        <v>0</v>
      </c>
      <c r="L44" s="38">
        <v>425</v>
      </c>
      <c r="M44" s="38">
        <v>0</v>
      </c>
      <c r="N44" s="38">
        <f t="shared" si="0"/>
        <v>425</v>
      </c>
      <c r="O44" s="38">
        <v>0</v>
      </c>
      <c r="P44" s="38">
        <f t="shared" si="1"/>
        <v>0</v>
      </c>
      <c r="Q44" s="38">
        <v>120</v>
      </c>
      <c r="R44" s="38">
        <f>Q44+N44</f>
        <v>545</v>
      </c>
      <c r="S44" s="38">
        <v>35</v>
      </c>
      <c r="T44" s="38">
        <f>S44/R44*100</f>
        <v>6.422018348623854</v>
      </c>
      <c r="U44" s="38">
        <v>0</v>
      </c>
      <c r="V44" s="38">
        <v>500</v>
      </c>
      <c r="W44" s="38">
        <v>0</v>
      </c>
      <c r="X44" s="38">
        <v>0</v>
      </c>
      <c r="Y44" s="38">
        <v>500</v>
      </c>
      <c r="Z44" s="57" t="s">
        <v>67</v>
      </c>
    </row>
    <row r="45" spans="1:26" ht="14.25">
      <c r="A45" s="56" t="s">
        <v>80</v>
      </c>
      <c r="C45" s="38">
        <v>0</v>
      </c>
      <c r="D45" s="38" t="e">
        <f>#REF!+C45</f>
        <v>#REF!</v>
      </c>
      <c r="E45" s="38">
        <v>3950</v>
      </c>
      <c r="F45" s="39" t="e">
        <f>E45/D45*100</f>
        <v>#REF!</v>
      </c>
      <c r="G45" s="38">
        <v>0</v>
      </c>
      <c r="H45" s="38" t="e">
        <f>D45+G45</f>
        <v>#REF!</v>
      </c>
      <c r="I45" s="38">
        <v>3950</v>
      </c>
      <c r="J45" s="38" t="e">
        <f>I45/H45*100</f>
        <v>#REF!</v>
      </c>
      <c r="K45" s="38">
        <v>0</v>
      </c>
      <c r="L45" s="38">
        <v>3755</v>
      </c>
      <c r="M45" s="38">
        <v>0</v>
      </c>
      <c r="N45" s="38">
        <f t="shared" si="0"/>
        <v>3755</v>
      </c>
      <c r="O45" s="38">
        <v>3755</v>
      </c>
      <c r="P45" s="38">
        <f t="shared" si="1"/>
        <v>100</v>
      </c>
      <c r="Q45" s="38">
        <v>0</v>
      </c>
      <c r="R45" s="38">
        <f>Q45+N45</f>
        <v>3755</v>
      </c>
      <c r="S45" s="38">
        <v>3755</v>
      </c>
      <c r="T45" s="38">
        <f>S45/R45*100</f>
        <v>100</v>
      </c>
      <c r="U45" s="38">
        <v>0</v>
      </c>
      <c r="V45" s="38">
        <f>U45+R45</f>
        <v>3755</v>
      </c>
      <c r="W45" s="38">
        <v>0</v>
      </c>
      <c r="X45" s="38">
        <v>0</v>
      </c>
      <c r="Y45" s="38">
        <v>3755</v>
      </c>
      <c r="Z45" s="57" t="s">
        <v>67</v>
      </c>
    </row>
    <row r="46" spans="1:26" ht="14.25">
      <c r="A46" s="56" t="s">
        <v>81</v>
      </c>
      <c r="D46" s="38"/>
      <c r="H46" s="38"/>
      <c r="V46" s="38">
        <v>5140</v>
      </c>
      <c r="W46" s="38">
        <v>0</v>
      </c>
      <c r="X46" s="38">
        <v>0</v>
      </c>
      <c r="Y46" s="38">
        <v>5140</v>
      </c>
      <c r="Z46" s="57" t="s">
        <v>67</v>
      </c>
    </row>
    <row r="47" spans="1:60" s="76" customFormat="1" ht="15">
      <c r="A47" s="58" t="s">
        <v>82</v>
      </c>
      <c r="C47" s="60">
        <f aca="true" t="shared" si="2" ref="C47:M47">SUM(C32:C45)</f>
        <v>-30</v>
      </c>
      <c r="D47" s="60" t="e">
        <f t="shared" si="2"/>
        <v>#REF!</v>
      </c>
      <c r="E47" s="60">
        <f t="shared" si="2"/>
        <v>20591</v>
      </c>
      <c r="F47" s="60" t="e">
        <f t="shared" si="2"/>
        <v>#REF!</v>
      </c>
      <c r="G47" s="60">
        <f t="shared" si="2"/>
        <v>-1601</v>
      </c>
      <c r="H47" s="60" t="e">
        <f t="shared" si="2"/>
        <v>#REF!</v>
      </c>
      <c r="I47" s="60">
        <f t="shared" si="2"/>
        <v>35478</v>
      </c>
      <c r="J47" s="60" t="e">
        <f t="shared" si="2"/>
        <v>#REF!</v>
      </c>
      <c r="K47" s="60">
        <f t="shared" si="2"/>
        <v>-2000</v>
      </c>
      <c r="L47" s="60">
        <f t="shared" si="2"/>
        <v>107288</v>
      </c>
      <c r="M47" s="60">
        <f t="shared" si="2"/>
        <v>0</v>
      </c>
      <c r="N47" s="60">
        <f t="shared" si="0"/>
        <v>107288</v>
      </c>
      <c r="O47" s="60">
        <f>SUM(O32:O45)</f>
        <v>5723</v>
      </c>
      <c r="P47" s="60">
        <f t="shared" si="1"/>
        <v>5.334240548803222</v>
      </c>
      <c r="Q47" s="60">
        <f>SUM(Q32:Q45)</f>
        <v>-2241</v>
      </c>
      <c r="R47" s="60">
        <f>Q47+N47</f>
        <v>105047</v>
      </c>
      <c r="S47" s="60">
        <f>SUM(S32:S45)</f>
        <v>37271</v>
      </c>
      <c r="T47" s="60">
        <f>S47/R47*100</f>
        <v>35.48030881414986</v>
      </c>
      <c r="U47" s="60">
        <f>SUM(U32:U45)</f>
        <v>-489</v>
      </c>
      <c r="V47" s="60">
        <f>SUM(V32:V46)</f>
        <v>275938</v>
      </c>
      <c r="W47" s="60">
        <f>SUM(W32:W46)</f>
        <v>0</v>
      </c>
      <c r="X47" s="60">
        <f>SUM(X32:X46)</f>
        <v>141223</v>
      </c>
      <c r="Y47" s="60">
        <f>SUM(Y32:Y46)</f>
        <v>134715</v>
      </c>
      <c r="Z47" s="78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</row>
    <row r="48" spans="1:26" ht="14.25">
      <c r="A48" s="56" t="s">
        <v>83</v>
      </c>
      <c r="C48" s="38">
        <v>0</v>
      </c>
      <c r="D48" s="38" t="e">
        <f>#REF!+C48</f>
        <v>#REF!</v>
      </c>
      <c r="E48" s="38">
        <v>0</v>
      </c>
      <c r="F48" s="39" t="e">
        <f>E48/D48*100</f>
        <v>#REF!</v>
      </c>
      <c r="G48" s="38">
        <v>206</v>
      </c>
      <c r="H48" s="38" t="e">
        <f>D48+G48</f>
        <v>#REF!</v>
      </c>
      <c r="I48" s="38">
        <v>412</v>
      </c>
      <c r="J48" s="63" t="e">
        <f>I48/H48*100</f>
        <v>#REF!</v>
      </c>
      <c r="K48" s="38">
        <v>0</v>
      </c>
      <c r="L48" s="79">
        <v>978</v>
      </c>
      <c r="M48" s="38">
        <v>0</v>
      </c>
      <c r="N48" s="38">
        <f t="shared" si="0"/>
        <v>978</v>
      </c>
      <c r="O48" s="38">
        <v>0</v>
      </c>
      <c r="P48" s="38">
        <f t="shared" si="1"/>
        <v>0</v>
      </c>
      <c r="Q48" s="38">
        <v>0</v>
      </c>
      <c r="R48" s="38">
        <f>Q48+N48</f>
        <v>978</v>
      </c>
      <c r="S48" s="38">
        <v>0</v>
      </c>
      <c r="T48" s="38">
        <f>S48/R48*100</f>
        <v>0</v>
      </c>
      <c r="U48" s="38">
        <v>0</v>
      </c>
      <c r="V48" s="38">
        <v>15000</v>
      </c>
      <c r="W48" s="38">
        <v>0</v>
      </c>
      <c r="X48" s="38">
        <v>15000</v>
      </c>
      <c r="Y48" s="38">
        <v>0</v>
      </c>
      <c r="Z48" s="57" t="s">
        <v>84</v>
      </c>
    </row>
    <row r="49" spans="1:26" ht="14.25">
      <c r="A49" s="56" t="s">
        <v>85</v>
      </c>
      <c r="D49" s="38">
        <v>0</v>
      </c>
      <c r="G49" s="38">
        <v>112</v>
      </c>
      <c r="H49" s="38">
        <f>D49+G49</f>
        <v>112</v>
      </c>
      <c r="I49" s="38">
        <v>112</v>
      </c>
      <c r="J49" s="63">
        <f>I49/H49*100</f>
        <v>100</v>
      </c>
      <c r="K49" s="38">
        <v>0</v>
      </c>
      <c r="L49" s="79">
        <v>112</v>
      </c>
      <c r="M49" s="38">
        <v>0</v>
      </c>
      <c r="N49" s="38">
        <f t="shared" si="0"/>
        <v>112</v>
      </c>
      <c r="O49" s="38">
        <v>0</v>
      </c>
      <c r="P49" s="38">
        <f t="shared" si="1"/>
        <v>0</v>
      </c>
      <c r="Q49" s="38">
        <v>0</v>
      </c>
      <c r="R49" s="38">
        <f>Q49+N49</f>
        <v>112</v>
      </c>
      <c r="S49" s="38">
        <v>0</v>
      </c>
      <c r="T49" s="38">
        <f>S49/R49*100</f>
        <v>0</v>
      </c>
      <c r="U49" s="38">
        <v>0</v>
      </c>
      <c r="V49" s="38">
        <v>15000</v>
      </c>
      <c r="W49" s="38">
        <v>0</v>
      </c>
      <c r="X49" s="38">
        <v>15000</v>
      </c>
      <c r="Y49" s="38">
        <v>0</v>
      </c>
      <c r="Z49" s="57" t="s">
        <v>84</v>
      </c>
    </row>
    <row r="50" spans="1:26" ht="14.25">
      <c r="A50" s="56" t="s">
        <v>86</v>
      </c>
      <c r="D50" s="38"/>
      <c r="H50" s="38"/>
      <c r="J50" s="63"/>
      <c r="L50" s="79">
        <v>1576</v>
      </c>
      <c r="M50" s="38">
        <v>0</v>
      </c>
      <c r="N50" s="38">
        <f t="shared" si="0"/>
        <v>1576</v>
      </c>
      <c r="O50" s="38">
        <v>0</v>
      </c>
      <c r="P50" s="38">
        <f t="shared" si="1"/>
        <v>0</v>
      </c>
      <c r="Q50" s="38">
        <v>101</v>
      </c>
      <c r="R50" s="38">
        <f>Q50+N50</f>
        <v>1677</v>
      </c>
      <c r="S50" s="38">
        <v>101</v>
      </c>
      <c r="T50" s="38">
        <f>S50/R50*100</f>
        <v>6.022659511031605</v>
      </c>
      <c r="U50" s="38">
        <v>0</v>
      </c>
      <c r="V50" s="38">
        <v>216381</v>
      </c>
      <c r="W50" s="38">
        <v>0</v>
      </c>
      <c r="X50" s="38">
        <v>216381</v>
      </c>
      <c r="Y50" s="38">
        <v>0</v>
      </c>
      <c r="Z50" s="57" t="s">
        <v>84</v>
      </c>
    </row>
    <row r="51" spans="1:26" ht="14.25">
      <c r="A51" s="56" t="s">
        <v>87</v>
      </c>
      <c r="D51" s="38"/>
      <c r="H51" s="38"/>
      <c r="J51" s="63"/>
      <c r="L51" s="79"/>
      <c r="V51" s="38">
        <v>3174</v>
      </c>
      <c r="W51" s="38">
        <v>0</v>
      </c>
      <c r="X51" s="38">
        <v>0</v>
      </c>
      <c r="Y51" s="38">
        <v>3174</v>
      </c>
      <c r="Z51" s="57" t="s">
        <v>84</v>
      </c>
    </row>
    <row r="52" spans="1:26" ht="14.25">
      <c r="A52" s="56" t="s">
        <v>88</v>
      </c>
      <c r="D52" s="38"/>
      <c r="H52" s="38"/>
      <c r="J52" s="63"/>
      <c r="L52" s="79"/>
      <c r="V52" s="38">
        <v>1400</v>
      </c>
      <c r="W52" s="38">
        <v>0</v>
      </c>
      <c r="X52" s="38">
        <v>0</v>
      </c>
      <c r="Y52" s="38">
        <v>1400</v>
      </c>
      <c r="Z52" s="57" t="s">
        <v>84</v>
      </c>
    </row>
    <row r="53" spans="1:60" s="76" customFormat="1" ht="15">
      <c r="A53" s="58" t="s">
        <v>89</v>
      </c>
      <c r="C53" s="60">
        <f aca="true" t="shared" si="3" ref="C53:M53">SUM(C48:C52)</f>
        <v>0</v>
      </c>
      <c r="D53" s="60" t="e">
        <f t="shared" si="3"/>
        <v>#REF!</v>
      </c>
      <c r="E53" s="60">
        <f t="shared" si="3"/>
        <v>0</v>
      </c>
      <c r="F53" s="60" t="e">
        <f t="shared" si="3"/>
        <v>#REF!</v>
      </c>
      <c r="G53" s="60">
        <f t="shared" si="3"/>
        <v>318</v>
      </c>
      <c r="H53" s="60" t="e">
        <f t="shared" si="3"/>
        <v>#REF!</v>
      </c>
      <c r="I53" s="60">
        <f t="shared" si="3"/>
        <v>524</v>
      </c>
      <c r="J53" s="60" t="e">
        <f t="shared" si="3"/>
        <v>#REF!</v>
      </c>
      <c r="K53" s="60">
        <f t="shared" si="3"/>
        <v>0</v>
      </c>
      <c r="L53" s="60">
        <f t="shared" si="3"/>
        <v>2666</v>
      </c>
      <c r="M53" s="60">
        <f t="shared" si="3"/>
        <v>0</v>
      </c>
      <c r="N53" s="60">
        <f>M53+L53</f>
        <v>2666</v>
      </c>
      <c r="O53" s="60">
        <f>SUM(O48:O52)</f>
        <v>0</v>
      </c>
      <c r="P53" s="60">
        <f>O53/N53*100</f>
        <v>0</v>
      </c>
      <c r="Q53" s="60">
        <f>SUM(Q48:Q52)</f>
        <v>101</v>
      </c>
      <c r="R53" s="60">
        <f>Q53+N53</f>
        <v>2767</v>
      </c>
      <c r="S53" s="60">
        <f>SUM(S48:S52)</f>
        <v>101</v>
      </c>
      <c r="T53" s="60">
        <f>S53/R53*100</f>
        <v>3.650162631008312</v>
      </c>
      <c r="U53" s="60">
        <f>SUM(U48:U52)</f>
        <v>0</v>
      </c>
      <c r="V53" s="60">
        <f>SUM(V48:V52)</f>
        <v>250955</v>
      </c>
      <c r="W53" s="60">
        <f>SUM(W48:W52)</f>
        <v>0</v>
      </c>
      <c r="X53" s="60">
        <f>SUM(X48:X52)</f>
        <v>246381</v>
      </c>
      <c r="Y53" s="60">
        <f>SUM(Y48:Y52)</f>
        <v>4574</v>
      </c>
      <c r="Z53" s="78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</row>
    <row r="54" spans="1:60" s="76" customFormat="1" ht="15">
      <c r="A54" s="58" t="s">
        <v>30</v>
      </c>
      <c r="C54" s="60">
        <v>76404</v>
      </c>
      <c r="D54" s="60">
        <v>76404</v>
      </c>
      <c r="E54" s="60">
        <v>76404</v>
      </c>
      <c r="F54" s="60">
        <v>76404</v>
      </c>
      <c r="G54" s="60">
        <v>76404</v>
      </c>
      <c r="H54" s="60">
        <v>76404</v>
      </c>
      <c r="I54" s="60">
        <v>76404</v>
      </c>
      <c r="J54" s="60">
        <v>76404</v>
      </c>
      <c r="K54" s="60">
        <v>76404</v>
      </c>
      <c r="L54" s="60">
        <v>95416</v>
      </c>
      <c r="M54" s="60">
        <v>48973</v>
      </c>
      <c r="N54" s="60">
        <f>M54+L54</f>
        <v>144389</v>
      </c>
      <c r="O54" s="60">
        <v>66954</v>
      </c>
      <c r="P54" s="60">
        <f>O54/N54*100</f>
        <v>46.37056839509935</v>
      </c>
      <c r="Q54" s="60">
        <v>15509</v>
      </c>
      <c r="R54" s="60">
        <f>Q54+N54</f>
        <v>159898</v>
      </c>
      <c r="S54" s="60">
        <v>111318</v>
      </c>
      <c r="T54" s="60">
        <f>S54/R54*100</f>
        <v>69.61813155886878</v>
      </c>
      <c r="U54" s="60">
        <v>9269</v>
      </c>
      <c r="V54" s="60">
        <v>62486</v>
      </c>
      <c r="W54" s="60">
        <v>0</v>
      </c>
      <c r="X54" s="60">
        <v>0</v>
      </c>
      <c r="Y54" s="60">
        <v>62486</v>
      </c>
      <c r="Z54" s="61" t="s">
        <v>31</v>
      </c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</row>
    <row r="55" spans="1:26" ht="15">
      <c r="A55" s="65" t="s">
        <v>32</v>
      </c>
      <c r="D55" s="38"/>
      <c r="H55" s="38"/>
      <c r="Z55" s="57"/>
    </row>
    <row r="56" spans="1:26" ht="14.25">
      <c r="A56" s="37" t="s">
        <v>33</v>
      </c>
      <c r="C56" s="38">
        <v>3512</v>
      </c>
      <c r="D56" s="38" t="e">
        <f>#REF!+C56</f>
        <v>#REF!</v>
      </c>
      <c r="E56" s="38">
        <v>79237</v>
      </c>
      <c r="F56" s="39" t="e">
        <f>E56/D56*100</f>
        <v>#REF!</v>
      </c>
      <c r="G56" s="38">
        <v>16899</v>
      </c>
      <c r="H56" s="38" t="e">
        <f>D56+G56</f>
        <v>#REF!</v>
      </c>
      <c r="I56" s="38">
        <v>148649</v>
      </c>
      <c r="J56" s="38" t="e">
        <f aca="true" t="shared" si="4" ref="J56:J63">I56/H56*100</f>
        <v>#REF!</v>
      </c>
      <c r="K56" s="38">
        <v>2246</v>
      </c>
      <c r="L56" s="38">
        <v>254134</v>
      </c>
      <c r="M56" s="38">
        <v>1269</v>
      </c>
      <c r="N56" s="38">
        <f aca="true" t="shared" si="5" ref="N56:N63">M56+L56</f>
        <v>255403</v>
      </c>
      <c r="O56" s="38">
        <v>62179</v>
      </c>
      <c r="P56" s="38">
        <f aca="true" t="shared" si="6" ref="P56:P63">O56/N56*100</f>
        <v>24.345446216371773</v>
      </c>
      <c r="Q56" s="38">
        <f>1271+2175+5638</f>
        <v>9084</v>
      </c>
      <c r="R56" s="38">
        <f aca="true" t="shared" si="7" ref="R56:R66">Q56+N56</f>
        <v>264487</v>
      </c>
      <c r="S56" s="38">
        <v>120308</v>
      </c>
      <c r="T56" s="38">
        <f aca="true" t="shared" si="8" ref="T56:T66">S56/R56*100</f>
        <v>45.487301833360426</v>
      </c>
      <c r="U56" s="38">
        <v>4241</v>
      </c>
      <c r="V56" s="38">
        <v>43636</v>
      </c>
      <c r="W56" s="38">
        <v>0</v>
      </c>
      <c r="X56" s="38">
        <v>43636</v>
      </c>
      <c r="Y56" s="38">
        <v>0</v>
      </c>
      <c r="Z56" s="57" t="s">
        <v>34</v>
      </c>
    </row>
    <row r="57" spans="1:26" ht="14.25">
      <c r="A57" s="37" t="s">
        <v>35</v>
      </c>
      <c r="C57" s="38">
        <v>1126</v>
      </c>
      <c r="D57" s="38" t="e">
        <f>#REF!+C57</f>
        <v>#REF!</v>
      </c>
      <c r="E57" s="38">
        <v>25000</v>
      </c>
      <c r="F57" s="39" t="e">
        <f>E57/D57*100</f>
        <v>#REF!</v>
      </c>
      <c r="G57" s="38">
        <v>5354</v>
      </c>
      <c r="H57" s="38" t="e">
        <f>D57+G57</f>
        <v>#REF!</v>
      </c>
      <c r="I57" s="38">
        <v>45264</v>
      </c>
      <c r="J57" s="38" t="e">
        <f t="shared" si="4"/>
        <v>#REF!</v>
      </c>
      <c r="K57" s="38">
        <v>-210</v>
      </c>
      <c r="L57" s="38">
        <v>63297</v>
      </c>
      <c r="M57" s="38">
        <v>342</v>
      </c>
      <c r="N57" s="38">
        <f t="shared" si="5"/>
        <v>63639</v>
      </c>
      <c r="O57" s="38">
        <v>17931</v>
      </c>
      <c r="P57" s="38">
        <f t="shared" si="6"/>
        <v>28.17611841795126</v>
      </c>
      <c r="Q57" s="38">
        <f>105+587+1501</f>
        <v>2193</v>
      </c>
      <c r="R57" s="38">
        <f t="shared" si="7"/>
        <v>65832</v>
      </c>
      <c r="S57" s="38">
        <v>32088</v>
      </c>
      <c r="T57" s="38">
        <f t="shared" si="8"/>
        <v>48.74225300765585</v>
      </c>
      <c r="U57" s="38">
        <v>-158</v>
      </c>
      <c r="V57" s="38">
        <v>12400</v>
      </c>
      <c r="W57" s="38">
        <v>0</v>
      </c>
      <c r="X57" s="38">
        <v>12400</v>
      </c>
      <c r="Y57" s="38">
        <v>0</v>
      </c>
      <c r="Z57" s="57" t="s">
        <v>36</v>
      </c>
    </row>
    <row r="58" spans="1:26" ht="14.25">
      <c r="A58" s="66" t="s">
        <v>37</v>
      </c>
      <c r="B58" s="66"/>
      <c r="C58" s="67">
        <v>0</v>
      </c>
      <c r="D58" s="67" t="e">
        <f>#REF!+C58</f>
        <v>#REF!</v>
      </c>
      <c r="E58" s="67">
        <v>26815</v>
      </c>
      <c r="F58" s="68" t="e">
        <f>E58/D58*100</f>
        <v>#REF!</v>
      </c>
      <c r="G58" s="67">
        <v>3066</v>
      </c>
      <c r="H58" s="67" t="e">
        <f>D58+G58</f>
        <v>#REF!</v>
      </c>
      <c r="I58" s="67">
        <v>56185</v>
      </c>
      <c r="J58" s="67" t="e">
        <f t="shared" si="4"/>
        <v>#REF!</v>
      </c>
      <c r="K58" s="67">
        <v>3595</v>
      </c>
      <c r="L58" s="67">
        <v>101026</v>
      </c>
      <c r="M58" s="67">
        <v>0</v>
      </c>
      <c r="N58" s="67">
        <f t="shared" si="5"/>
        <v>101026</v>
      </c>
      <c r="O58" s="67">
        <v>35971</v>
      </c>
      <c r="P58" s="67">
        <f t="shared" si="6"/>
        <v>35.605685665076315</v>
      </c>
      <c r="Q58" s="67">
        <f>3855+1474</f>
        <v>5329</v>
      </c>
      <c r="R58" s="67">
        <f t="shared" si="7"/>
        <v>106355</v>
      </c>
      <c r="S58" s="67">
        <v>67276</v>
      </c>
      <c r="T58" s="67">
        <f t="shared" si="8"/>
        <v>63.256076348079546</v>
      </c>
      <c r="U58" s="67">
        <f>-366+2144-113+10155</f>
        <v>11820</v>
      </c>
      <c r="V58" s="67">
        <v>58938</v>
      </c>
      <c r="W58" s="67">
        <v>0</v>
      </c>
      <c r="X58" s="67">
        <v>58938</v>
      </c>
      <c r="Y58" s="67">
        <v>0</v>
      </c>
      <c r="Z58" s="69" t="s">
        <v>28</v>
      </c>
    </row>
    <row r="59" spans="1:26" ht="14.25">
      <c r="A59" s="64" t="s">
        <v>38</v>
      </c>
      <c r="C59" s="63">
        <f aca="true" t="shared" si="9" ref="C59:I59">SUM(C56:C58)</f>
        <v>4638</v>
      </c>
      <c r="D59" s="63" t="e">
        <f t="shared" si="9"/>
        <v>#REF!</v>
      </c>
      <c r="E59" s="63">
        <f t="shared" si="9"/>
        <v>131052</v>
      </c>
      <c r="F59" s="63" t="e">
        <f t="shared" si="9"/>
        <v>#REF!</v>
      </c>
      <c r="G59" s="63">
        <f t="shared" si="9"/>
        <v>25319</v>
      </c>
      <c r="H59" s="63" t="e">
        <f t="shared" si="9"/>
        <v>#REF!</v>
      </c>
      <c r="I59" s="38">
        <f t="shared" si="9"/>
        <v>250098</v>
      </c>
      <c r="J59" s="38" t="e">
        <f t="shared" si="4"/>
        <v>#REF!</v>
      </c>
      <c r="K59" s="38">
        <v>9737</v>
      </c>
      <c r="L59" s="38">
        <f>SUM(L56:L58)</f>
        <v>418457</v>
      </c>
      <c r="M59" s="38">
        <f>SUM(M56:M58)</f>
        <v>1611</v>
      </c>
      <c r="N59" s="38">
        <f t="shared" si="5"/>
        <v>420068</v>
      </c>
      <c r="O59" s="38">
        <f>SUM(O56:O58)</f>
        <v>116081</v>
      </c>
      <c r="P59" s="38">
        <f t="shared" si="6"/>
        <v>27.63385927992611</v>
      </c>
      <c r="Q59" s="38">
        <f>SUM(Q56:Q58)</f>
        <v>16606</v>
      </c>
      <c r="R59" s="38">
        <f t="shared" si="7"/>
        <v>436674</v>
      </c>
      <c r="S59" s="38">
        <f>SUM(S56:S58)</f>
        <v>219672</v>
      </c>
      <c r="T59" s="38">
        <f t="shared" si="8"/>
        <v>50.305720056609736</v>
      </c>
      <c r="U59" s="38">
        <f>SUM(U56:U58)</f>
        <v>15903</v>
      </c>
      <c r="V59" s="38">
        <f>SUM(V56:V58)</f>
        <v>114974</v>
      </c>
      <c r="W59" s="38">
        <f>SUM(W56:W58)</f>
        <v>0</v>
      </c>
      <c r="X59" s="38">
        <f>SUM(X56:X58)</f>
        <v>114974</v>
      </c>
      <c r="Y59" s="38">
        <f>SUM(Y56:Y58)</f>
        <v>0</v>
      </c>
      <c r="Z59" s="57"/>
    </row>
    <row r="60" spans="1:26" ht="14.25">
      <c r="A60" s="37" t="s">
        <v>90</v>
      </c>
      <c r="C60" s="38">
        <v>0</v>
      </c>
      <c r="D60" s="38" t="e">
        <f>#REF!+C60</f>
        <v>#REF!</v>
      </c>
      <c r="E60" s="38">
        <v>26515</v>
      </c>
      <c r="F60" s="39" t="e">
        <f>E60/D60*100</f>
        <v>#REF!</v>
      </c>
      <c r="G60" s="38">
        <v>0</v>
      </c>
      <c r="H60" s="38" t="e">
        <f>D60+G60</f>
        <v>#REF!</v>
      </c>
      <c r="I60" s="38" t="e">
        <f>I61+#REF!+#REF!</f>
        <v>#REF!</v>
      </c>
      <c r="J60" s="38" t="e">
        <f t="shared" si="4"/>
        <v>#REF!</v>
      </c>
      <c r="K60" s="38">
        <v>0</v>
      </c>
      <c r="L60" s="38">
        <f>SUM(L61:L61)</f>
        <v>8000</v>
      </c>
      <c r="M60" s="38">
        <f>SUM(M61:M61)</f>
        <v>0</v>
      </c>
      <c r="N60" s="38">
        <f t="shared" si="5"/>
        <v>8000</v>
      </c>
      <c r="O60" s="38">
        <v>5534</v>
      </c>
      <c r="P60" s="38">
        <f t="shared" si="6"/>
        <v>69.175</v>
      </c>
      <c r="Q60" s="38" t="e">
        <f>Q61+#REF!+#REF!</f>
        <v>#REF!</v>
      </c>
      <c r="R60" s="38" t="e">
        <f t="shared" si="7"/>
        <v>#REF!</v>
      </c>
      <c r="S60" s="38" t="e">
        <f>S61+#REF!+#REF!</f>
        <v>#REF!</v>
      </c>
      <c r="T60" s="38" t="e">
        <f t="shared" si="8"/>
        <v>#REF!</v>
      </c>
      <c r="U60" s="38" t="e">
        <f>U61+#REF!+#REF!</f>
        <v>#REF!</v>
      </c>
      <c r="V60" s="38">
        <f>SUM(V61)</f>
        <v>5000</v>
      </c>
      <c r="W60" s="38">
        <f>SUM(W61)</f>
        <v>0</v>
      </c>
      <c r="X60" s="38">
        <f>SUM(X61)</f>
        <v>0</v>
      </c>
      <c r="Y60" s="38">
        <f>SUM(Y61)</f>
        <v>5000</v>
      </c>
      <c r="Z60" s="57" t="s">
        <v>91</v>
      </c>
    </row>
    <row r="61" spans="2:26" ht="14.25">
      <c r="B61" s="37" t="s">
        <v>92</v>
      </c>
      <c r="C61" s="38">
        <v>0</v>
      </c>
      <c r="D61" s="38" t="e">
        <f>#REF!+C61</f>
        <v>#REF!</v>
      </c>
      <c r="E61" s="38">
        <v>3672</v>
      </c>
      <c r="F61" s="39" t="e">
        <f>E61/D61*100</f>
        <v>#REF!</v>
      </c>
      <c r="G61" s="38">
        <v>0</v>
      </c>
      <c r="H61" s="38" t="e">
        <f>D61+G61</f>
        <v>#REF!</v>
      </c>
      <c r="I61" s="38">
        <v>5796</v>
      </c>
      <c r="J61" s="38" t="e">
        <f t="shared" si="4"/>
        <v>#REF!</v>
      </c>
      <c r="K61" s="38">
        <v>0</v>
      </c>
      <c r="L61" s="38">
        <v>8000</v>
      </c>
      <c r="M61" s="38">
        <v>0</v>
      </c>
      <c r="N61" s="38">
        <f t="shared" si="5"/>
        <v>8000</v>
      </c>
      <c r="O61" s="38">
        <v>1179</v>
      </c>
      <c r="P61" s="38">
        <f t="shared" si="6"/>
        <v>14.7375</v>
      </c>
      <c r="Q61" s="38">
        <v>0</v>
      </c>
      <c r="R61" s="38">
        <f t="shared" si="7"/>
        <v>8000</v>
      </c>
      <c r="S61" s="38">
        <v>2358</v>
      </c>
      <c r="T61" s="38">
        <f t="shared" si="8"/>
        <v>29.475</v>
      </c>
      <c r="U61" s="38">
        <v>0</v>
      </c>
      <c r="V61" s="38">
        <v>5000</v>
      </c>
      <c r="W61" s="38">
        <v>0</v>
      </c>
      <c r="X61" s="38">
        <v>0</v>
      </c>
      <c r="Y61" s="38">
        <v>5000</v>
      </c>
      <c r="Z61" s="57" t="s">
        <v>91</v>
      </c>
    </row>
    <row r="62" spans="1:26" ht="14.25">
      <c r="A62" s="37" t="s">
        <v>93</v>
      </c>
      <c r="C62" s="38">
        <v>0</v>
      </c>
      <c r="D62" s="38" t="e">
        <f>#REF!+C62</f>
        <v>#REF!</v>
      </c>
      <c r="E62" s="38">
        <v>699</v>
      </c>
      <c r="F62" s="70" t="e">
        <f>E62/D62*100</f>
        <v>#REF!</v>
      </c>
      <c r="G62" s="38">
        <v>0</v>
      </c>
      <c r="H62" s="38" t="e">
        <f>D62+G62</f>
        <v>#REF!</v>
      </c>
      <c r="I62" s="38">
        <v>1155</v>
      </c>
      <c r="J62" s="38" t="e">
        <f t="shared" si="4"/>
        <v>#REF!</v>
      </c>
      <c r="K62" s="38">
        <v>0</v>
      </c>
      <c r="L62" s="38">
        <v>3500</v>
      </c>
      <c r="M62" s="38">
        <v>0</v>
      </c>
      <c r="N62" s="38">
        <f t="shared" si="5"/>
        <v>3500</v>
      </c>
      <c r="O62" s="38">
        <v>782</v>
      </c>
      <c r="P62" s="38">
        <f t="shared" si="6"/>
        <v>22.34285714285714</v>
      </c>
      <c r="Q62" s="38">
        <v>0</v>
      </c>
      <c r="R62" s="38">
        <f t="shared" si="7"/>
        <v>3500</v>
      </c>
      <c r="S62" s="38">
        <v>1541</v>
      </c>
      <c r="T62" s="38">
        <f t="shared" si="8"/>
        <v>44.028571428571425</v>
      </c>
      <c r="U62" s="38">
        <v>0</v>
      </c>
      <c r="V62" s="38">
        <v>4700</v>
      </c>
      <c r="W62" s="38">
        <v>0</v>
      </c>
      <c r="X62" s="38">
        <v>0</v>
      </c>
      <c r="Y62" s="38">
        <v>4700</v>
      </c>
      <c r="Z62" s="57" t="s">
        <v>28</v>
      </c>
    </row>
    <row r="63" spans="1:26" ht="14.25">
      <c r="A63" s="37" t="s">
        <v>40</v>
      </c>
      <c r="C63" s="38">
        <v>0</v>
      </c>
      <c r="D63" s="38" t="e">
        <f>#REF!+C63</f>
        <v>#REF!</v>
      </c>
      <c r="E63" s="38">
        <v>3485</v>
      </c>
      <c r="F63" s="70" t="e">
        <f>E63/D63*100</f>
        <v>#REF!</v>
      </c>
      <c r="G63" s="38">
        <v>-112</v>
      </c>
      <c r="H63" s="38" t="e">
        <f>D63+G63</f>
        <v>#REF!</v>
      </c>
      <c r="I63" s="38">
        <v>6572</v>
      </c>
      <c r="J63" s="38" t="e">
        <f t="shared" si="4"/>
        <v>#REF!</v>
      </c>
      <c r="K63" s="38">
        <v>640</v>
      </c>
      <c r="L63" s="38">
        <v>13250</v>
      </c>
      <c r="M63" s="38">
        <v>0</v>
      </c>
      <c r="N63" s="38">
        <f t="shared" si="5"/>
        <v>13250</v>
      </c>
      <c r="O63" s="38">
        <v>25616</v>
      </c>
      <c r="P63" s="38">
        <f t="shared" si="6"/>
        <v>193.32830188679245</v>
      </c>
      <c r="Q63" s="38">
        <f>41+22306</f>
        <v>22347</v>
      </c>
      <c r="R63" s="38">
        <f t="shared" si="7"/>
        <v>35597</v>
      </c>
      <c r="S63" s="38">
        <v>28869</v>
      </c>
      <c r="T63" s="38">
        <f t="shared" si="8"/>
        <v>81.09953085934208</v>
      </c>
      <c r="U63" s="38">
        <v>0</v>
      </c>
      <c r="V63" s="67">
        <v>4780</v>
      </c>
      <c r="W63" s="749">
        <v>0</v>
      </c>
      <c r="X63" s="749">
        <v>0</v>
      </c>
      <c r="Y63" s="749">
        <v>4780</v>
      </c>
      <c r="Z63" s="57" t="s">
        <v>28</v>
      </c>
    </row>
    <row r="64" spans="1:60" s="59" customFormat="1" ht="14.25">
      <c r="A64" s="59" t="s">
        <v>41</v>
      </c>
      <c r="C64" s="62">
        <f aca="true" t="shared" si="10" ref="C64:M64">C60+C62+C63</f>
        <v>0</v>
      </c>
      <c r="D64" s="62" t="e">
        <f t="shared" si="10"/>
        <v>#REF!</v>
      </c>
      <c r="E64" s="62">
        <f t="shared" si="10"/>
        <v>30699</v>
      </c>
      <c r="F64" s="62" t="e">
        <f t="shared" si="10"/>
        <v>#REF!</v>
      </c>
      <c r="G64" s="62">
        <f t="shared" si="10"/>
        <v>-112</v>
      </c>
      <c r="H64" s="62" t="e">
        <f t="shared" si="10"/>
        <v>#REF!</v>
      </c>
      <c r="I64" s="62" t="e">
        <f t="shared" si="10"/>
        <v>#REF!</v>
      </c>
      <c r="J64" s="62" t="e">
        <f t="shared" si="10"/>
        <v>#REF!</v>
      </c>
      <c r="K64" s="62">
        <f t="shared" si="10"/>
        <v>640</v>
      </c>
      <c r="L64" s="62">
        <f t="shared" si="10"/>
        <v>24750</v>
      </c>
      <c r="M64" s="62">
        <f t="shared" si="10"/>
        <v>0</v>
      </c>
      <c r="N64" s="62">
        <f>M64+L64</f>
        <v>24750</v>
      </c>
      <c r="O64" s="62" t="e">
        <f>O60+O62+O63+#REF!</f>
        <v>#REF!</v>
      </c>
      <c r="P64" s="62" t="e">
        <f>O64/N64*100</f>
        <v>#REF!</v>
      </c>
      <c r="Q64" s="62" t="e">
        <f>Q60+Q62+Q63+#REF!</f>
        <v>#REF!</v>
      </c>
      <c r="R64" s="62" t="e">
        <f t="shared" si="7"/>
        <v>#REF!</v>
      </c>
      <c r="S64" s="62" t="e">
        <f>S60+S62+S63+#REF!</f>
        <v>#REF!</v>
      </c>
      <c r="T64" s="62" t="e">
        <f t="shared" si="8"/>
        <v>#REF!</v>
      </c>
      <c r="U64" s="62" t="e">
        <f>U60+U62+U63+#REF!</f>
        <v>#REF!</v>
      </c>
      <c r="V64" s="38">
        <f>V60+V62+V63</f>
        <v>14480</v>
      </c>
      <c r="W64" s="38">
        <f>W60+W62+W63</f>
        <v>0</v>
      </c>
      <c r="X64" s="38">
        <f>X60+X62+X63</f>
        <v>0</v>
      </c>
      <c r="Y64" s="38">
        <f>Y60+Y62+Y63</f>
        <v>14480</v>
      </c>
      <c r="Z64" s="61" t="s">
        <v>28</v>
      </c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</row>
    <row r="65" spans="1:60" s="72" customFormat="1" ht="15">
      <c r="A65" s="71" t="s">
        <v>42</v>
      </c>
      <c r="C65" s="73">
        <f aca="true" t="shared" si="11" ref="C65:M65">C59+C64</f>
        <v>4638</v>
      </c>
      <c r="D65" s="73" t="e">
        <f t="shared" si="11"/>
        <v>#REF!</v>
      </c>
      <c r="E65" s="73">
        <f t="shared" si="11"/>
        <v>161751</v>
      </c>
      <c r="F65" s="73" t="e">
        <f t="shared" si="11"/>
        <v>#REF!</v>
      </c>
      <c r="G65" s="73">
        <f t="shared" si="11"/>
        <v>25207</v>
      </c>
      <c r="H65" s="73" t="e">
        <f t="shared" si="11"/>
        <v>#REF!</v>
      </c>
      <c r="I65" s="73" t="e">
        <f t="shared" si="11"/>
        <v>#REF!</v>
      </c>
      <c r="J65" s="73" t="e">
        <f t="shared" si="11"/>
        <v>#REF!</v>
      </c>
      <c r="K65" s="73">
        <f t="shared" si="11"/>
        <v>10377</v>
      </c>
      <c r="L65" s="73">
        <f t="shared" si="11"/>
        <v>443207</v>
      </c>
      <c r="M65" s="74">
        <f t="shared" si="11"/>
        <v>1611</v>
      </c>
      <c r="N65" s="60">
        <f>M65+L65</f>
        <v>444818</v>
      </c>
      <c r="O65" s="74" t="e">
        <f>O59+O64</f>
        <v>#REF!</v>
      </c>
      <c r="P65" s="75" t="e">
        <f>O65/N65*100</f>
        <v>#REF!</v>
      </c>
      <c r="Q65" s="74" t="e">
        <f>Q59+Q64</f>
        <v>#REF!</v>
      </c>
      <c r="R65" s="74" t="e">
        <f t="shared" si="7"/>
        <v>#REF!</v>
      </c>
      <c r="S65" s="74" t="e">
        <f>S59+S64</f>
        <v>#REF!</v>
      </c>
      <c r="T65" s="60" t="e">
        <f t="shared" si="8"/>
        <v>#REF!</v>
      </c>
      <c r="U65" s="74" t="e">
        <f>U59+U64</f>
        <v>#REF!</v>
      </c>
      <c r="V65" s="60">
        <f>V59+V64</f>
        <v>129454</v>
      </c>
      <c r="W65" s="60">
        <f>W59+W64</f>
        <v>0</v>
      </c>
      <c r="X65" s="60">
        <f>X59+X64</f>
        <v>114974</v>
      </c>
      <c r="Y65" s="60">
        <f>Y59+Y64</f>
        <v>14480</v>
      </c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</row>
    <row r="66" spans="1:60" s="76" customFormat="1" ht="15">
      <c r="A66" s="76" t="s">
        <v>43</v>
      </c>
      <c r="C66" s="60" t="e">
        <f aca="true" t="shared" si="12" ref="C66:L66">SUM(C31+C47+C53+C54+C65)</f>
        <v>#REF!</v>
      </c>
      <c r="D66" s="60" t="e">
        <f t="shared" si="12"/>
        <v>#REF!</v>
      </c>
      <c r="E66" s="60" t="e">
        <f t="shared" si="12"/>
        <v>#REF!</v>
      </c>
      <c r="F66" s="60" t="e">
        <f t="shared" si="12"/>
        <v>#REF!</v>
      </c>
      <c r="G66" s="60" t="e">
        <f t="shared" si="12"/>
        <v>#REF!</v>
      </c>
      <c r="H66" s="60" t="e">
        <f t="shared" si="12"/>
        <v>#REF!</v>
      </c>
      <c r="I66" s="60" t="e">
        <f t="shared" si="12"/>
        <v>#REF!</v>
      </c>
      <c r="J66" s="60" t="e">
        <f t="shared" si="12"/>
        <v>#REF!</v>
      </c>
      <c r="K66" s="60" t="e">
        <f t="shared" si="12"/>
        <v>#REF!</v>
      </c>
      <c r="L66" s="60" t="e">
        <f t="shared" si="12"/>
        <v>#REF!</v>
      </c>
      <c r="M66" s="60" t="e">
        <f>M31+M47+M53+M54+M65</f>
        <v>#REF!</v>
      </c>
      <c r="N66" s="60" t="e">
        <f>M66+L66</f>
        <v>#REF!</v>
      </c>
      <c r="O66" s="60" t="e">
        <f>O31+O47+O53+O54+O65</f>
        <v>#REF!</v>
      </c>
      <c r="P66" s="60" t="e">
        <f>O66/N66*100</f>
        <v>#REF!</v>
      </c>
      <c r="Q66" s="60" t="e">
        <f>Q31+Q47+Q53+Q54+Q65</f>
        <v>#REF!</v>
      </c>
      <c r="R66" s="60" t="e">
        <f t="shared" si="7"/>
        <v>#REF!</v>
      </c>
      <c r="S66" s="60" t="e">
        <f>S31+S47+S53+S54+S65</f>
        <v>#REF!</v>
      </c>
      <c r="T66" s="60" t="e">
        <f t="shared" si="8"/>
        <v>#REF!</v>
      </c>
      <c r="U66" s="60" t="e">
        <f>U31+U47+U53+U54+U65</f>
        <v>#REF!</v>
      </c>
      <c r="V66" s="60">
        <f>V31+V47+V53+V54+V65</f>
        <v>982892</v>
      </c>
      <c r="W66" s="60">
        <f>W31+W47+W53+W54+W65</f>
        <v>0</v>
      </c>
      <c r="X66" s="60">
        <f>X31+X47+X53+X54+X65</f>
        <v>689432</v>
      </c>
      <c r="Y66" s="60">
        <f>Y31+Y47+Y53+Y54+Y65</f>
        <v>293460</v>
      </c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</row>
  </sheetData>
  <sheetProtection selectLockedCells="1" selectUnlockedCells="1"/>
  <mergeCells count="2">
    <mergeCell ref="A4:Z4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Önk.bevétel"/>
  <dimension ref="A1:BC33"/>
  <sheetViews>
    <sheetView view="pageBreakPreview" zoomScale="75" zoomScaleNormal="75" zoomScaleSheetLayoutView="75" workbookViewId="0" topLeftCell="A1">
      <selection activeCell="Y3" sqref="Y3"/>
    </sheetView>
  </sheetViews>
  <sheetFormatPr defaultColWidth="9.00390625" defaultRowHeight="12.75"/>
  <cols>
    <col min="1" max="1" width="65.375" style="0" customWidth="1"/>
    <col min="2" max="2" width="0" style="1" hidden="1" customWidth="1"/>
    <col min="3" max="3" width="0" style="2" hidden="1" customWidth="1"/>
    <col min="4" max="4" width="0" style="3" hidden="1" customWidth="1"/>
    <col min="5" max="5" width="0" style="4" hidden="1" customWidth="1"/>
    <col min="6" max="6" width="0" style="3" hidden="1" customWidth="1"/>
    <col min="7" max="7" width="0" style="0" hidden="1" customWidth="1"/>
    <col min="8" max="11" width="0" style="3" hidden="1" customWidth="1"/>
    <col min="12" max="20" width="0" style="1" hidden="1" customWidth="1"/>
    <col min="21" max="21" width="11.125" style="1" customWidth="1"/>
    <col min="22" max="22" width="12.875" style="1" customWidth="1"/>
    <col min="23" max="23" width="13.375" style="1" customWidth="1"/>
    <col min="24" max="24" width="12.125" style="1" customWidth="1"/>
    <col min="25" max="55" width="8.875" style="1" customWidth="1"/>
  </cols>
  <sheetData>
    <row r="1" spans="1:24" ht="15.75">
      <c r="A1" s="770"/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5"/>
      <c r="W1" s="5"/>
      <c r="X1" s="5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Y2" s="7" t="s">
        <v>628</v>
      </c>
    </row>
    <row r="4" spans="1:25" ht="15.75">
      <c r="A4" s="771" t="s">
        <v>94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</row>
    <row r="5" spans="1:15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ht="15.75">
      <c r="A6" s="8"/>
    </row>
    <row r="7" spans="25:45" ht="15.75">
      <c r="Y7" s="9" t="s">
        <v>1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55" s="2" customFormat="1" ht="53.25" customHeight="1">
      <c r="A8" s="11" t="s">
        <v>2</v>
      </c>
      <c r="B8" s="12" t="s">
        <v>3</v>
      </c>
      <c r="C8" s="11" t="s">
        <v>4</v>
      </c>
      <c r="D8" s="11" t="s">
        <v>5</v>
      </c>
      <c r="E8" s="13" t="s">
        <v>6</v>
      </c>
      <c r="F8" s="14" t="s">
        <v>3</v>
      </c>
      <c r="G8" s="15" t="s">
        <v>7</v>
      </c>
      <c r="H8" s="15" t="s">
        <v>7</v>
      </c>
      <c r="I8" s="15" t="s">
        <v>7</v>
      </c>
      <c r="J8" s="14" t="s">
        <v>3</v>
      </c>
      <c r="K8" s="12" t="s">
        <v>8</v>
      </c>
      <c r="L8" s="12" t="s">
        <v>9</v>
      </c>
      <c r="M8" s="12" t="s">
        <v>4</v>
      </c>
      <c r="N8" s="12" t="s">
        <v>4</v>
      </c>
      <c r="O8" s="12" t="s">
        <v>4</v>
      </c>
      <c r="P8" s="12" t="s">
        <v>9</v>
      </c>
      <c r="Q8" s="12" t="s">
        <v>7</v>
      </c>
      <c r="R8" s="12" t="s">
        <v>7</v>
      </c>
      <c r="S8" s="12" t="s">
        <v>7</v>
      </c>
      <c r="T8" s="12" t="s">
        <v>9</v>
      </c>
      <c r="U8" s="12" t="s">
        <v>10</v>
      </c>
      <c r="V8" s="669" t="s">
        <v>550</v>
      </c>
      <c r="W8" s="669" t="s">
        <v>551</v>
      </c>
      <c r="X8" s="669" t="s">
        <v>552</v>
      </c>
      <c r="Y8" s="16" t="s">
        <v>11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s="2" customFormat="1" ht="15.75" customHeight="1">
      <c r="A9" s="17" t="s">
        <v>95</v>
      </c>
      <c r="B9" s="18"/>
      <c r="C9" s="17"/>
      <c r="D9" s="17"/>
      <c r="E9" s="19"/>
      <c r="F9" s="20"/>
      <c r="G9" s="21"/>
      <c r="H9" s="21"/>
      <c r="I9" s="21"/>
      <c r="J9" s="20"/>
      <c r="K9" s="18"/>
      <c r="L9" s="18"/>
      <c r="M9" s="18"/>
      <c r="N9" s="18"/>
      <c r="O9" s="18"/>
      <c r="P9" s="18"/>
      <c r="Q9" s="18"/>
      <c r="R9" s="18"/>
      <c r="S9" s="18"/>
      <c r="T9" s="18"/>
      <c r="U9" s="18" t="s">
        <v>13</v>
      </c>
      <c r="V9" s="670" t="s">
        <v>151</v>
      </c>
      <c r="W9" s="670" t="s">
        <v>152</v>
      </c>
      <c r="X9" s="670" t="s">
        <v>153</v>
      </c>
      <c r="Y9" s="22" t="s">
        <v>14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25" ht="15">
      <c r="A10" s="2" t="s">
        <v>96</v>
      </c>
      <c r="B10" s="1">
        <v>0</v>
      </c>
      <c r="C10" s="1" t="e">
        <f>#REF!+B10</f>
        <v>#REF!</v>
      </c>
      <c r="D10" s="1">
        <v>43</v>
      </c>
      <c r="E10" s="23" t="e">
        <f>D10/C10*100</f>
        <v>#REF!</v>
      </c>
      <c r="F10" s="1">
        <v>0</v>
      </c>
      <c r="G10" s="1" t="e">
        <f>C10+F10</f>
        <v>#REF!</v>
      </c>
      <c r="H10" s="1">
        <v>299</v>
      </c>
      <c r="I10" s="1" t="e">
        <f>H10/G10*100</f>
        <v>#REF!</v>
      </c>
      <c r="J10" s="1">
        <v>0</v>
      </c>
      <c r="K10" s="1">
        <v>1000</v>
      </c>
      <c r="L10" s="1">
        <v>0</v>
      </c>
      <c r="M10" s="1">
        <f>L10+K10</f>
        <v>1000</v>
      </c>
      <c r="N10" s="1">
        <v>1</v>
      </c>
      <c r="O10" s="1">
        <f>N10/M10*100</f>
        <v>0.1</v>
      </c>
      <c r="P10" s="1">
        <v>0</v>
      </c>
      <c r="Q10" s="1">
        <f>P10+M10</f>
        <v>1000</v>
      </c>
      <c r="R10" s="1">
        <v>416</v>
      </c>
      <c r="S10" s="1">
        <f>R10/Q10*100</f>
        <v>41.6</v>
      </c>
      <c r="T10" s="1">
        <v>227</v>
      </c>
      <c r="U10" s="1">
        <v>7497</v>
      </c>
      <c r="V10" s="1">
        <v>0</v>
      </c>
      <c r="W10" s="1">
        <v>7497</v>
      </c>
      <c r="X10" s="1">
        <v>0</v>
      </c>
      <c r="Y10" s="24" t="s">
        <v>16</v>
      </c>
    </row>
    <row r="11" spans="1:25" ht="15">
      <c r="A11" s="2" t="s">
        <v>97</v>
      </c>
      <c r="C11" s="1"/>
      <c r="D11" s="1"/>
      <c r="E11" s="23"/>
      <c r="F11" s="1"/>
      <c r="G11" s="1"/>
      <c r="H11" s="1"/>
      <c r="I11" s="1"/>
      <c r="J11" s="1"/>
      <c r="K11" s="1"/>
      <c r="U11" s="1">
        <v>2000</v>
      </c>
      <c r="V11" s="1">
        <v>0</v>
      </c>
      <c r="W11" s="1">
        <v>2000</v>
      </c>
      <c r="X11" s="1">
        <v>0</v>
      </c>
      <c r="Y11" s="24" t="s">
        <v>16</v>
      </c>
    </row>
    <row r="12" spans="1:25" ht="15">
      <c r="A12" s="2" t="s">
        <v>98</v>
      </c>
      <c r="C12" s="1"/>
      <c r="D12" s="1"/>
      <c r="E12" s="23"/>
      <c r="F12" s="1"/>
      <c r="G12" s="1"/>
      <c r="H12" s="1"/>
      <c r="I12" s="1"/>
      <c r="J12" s="1"/>
      <c r="K12" s="1"/>
      <c r="U12" s="1">
        <v>13025</v>
      </c>
      <c r="V12" s="1">
        <v>0</v>
      </c>
      <c r="W12" s="1">
        <v>13025</v>
      </c>
      <c r="X12" s="1">
        <v>0</v>
      </c>
      <c r="Y12" s="24" t="s">
        <v>16</v>
      </c>
    </row>
    <row r="13" spans="1:25" ht="15">
      <c r="A13" s="25" t="s">
        <v>17</v>
      </c>
      <c r="B13" s="26"/>
      <c r="C13" s="26"/>
      <c r="D13" s="26"/>
      <c r="E13" s="80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>
        <f>SUM(U14:U15)</f>
        <v>12000</v>
      </c>
      <c r="V13" s="26">
        <f>SUM(V14:V15)</f>
        <v>0</v>
      </c>
      <c r="W13" s="26">
        <f>SUM(W14:W15)</f>
        <v>0</v>
      </c>
      <c r="X13" s="26">
        <f>SUM(X14:X15)</f>
        <v>12000</v>
      </c>
      <c r="Y13" s="27" t="s">
        <v>16</v>
      </c>
    </row>
    <row r="14" spans="1:25" ht="15">
      <c r="A14" s="2" t="s">
        <v>99</v>
      </c>
      <c r="C14" s="1"/>
      <c r="D14" s="1"/>
      <c r="E14" s="23"/>
      <c r="F14" s="1"/>
      <c r="G14" s="1"/>
      <c r="H14" s="1"/>
      <c r="I14" s="1"/>
      <c r="J14" s="1"/>
      <c r="K14" s="1"/>
      <c r="U14" s="1">
        <v>10000</v>
      </c>
      <c r="V14" s="1">
        <v>0</v>
      </c>
      <c r="W14" s="1">
        <v>0</v>
      </c>
      <c r="X14" s="1">
        <v>10000</v>
      </c>
      <c r="Y14" s="24" t="s">
        <v>16</v>
      </c>
    </row>
    <row r="15" spans="1:25" ht="15">
      <c r="A15" s="25" t="s">
        <v>100</v>
      </c>
      <c r="B15" s="26"/>
      <c r="C15" s="26"/>
      <c r="D15" s="26"/>
      <c r="E15" s="80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>
        <v>2000</v>
      </c>
      <c r="V15" s="26">
        <v>0</v>
      </c>
      <c r="W15" s="26">
        <v>0</v>
      </c>
      <c r="X15" s="26">
        <v>2000</v>
      </c>
      <c r="Y15" s="27" t="s">
        <v>16</v>
      </c>
    </row>
    <row r="16" spans="1:25" ht="15">
      <c r="A16" s="34" t="s">
        <v>101</v>
      </c>
      <c r="B16" s="35"/>
      <c r="C16" s="35"/>
      <c r="D16" s="35"/>
      <c r="E16" s="81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>
        <v>70000</v>
      </c>
      <c r="V16" s="35">
        <v>0</v>
      </c>
      <c r="W16" s="35">
        <v>0</v>
      </c>
      <c r="X16" s="35">
        <v>70000</v>
      </c>
      <c r="Y16" s="36" t="s">
        <v>16</v>
      </c>
    </row>
    <row r="17" spans="1:25" ht="15.75">
      <c r="A17" s="30" t="s">
        <v>21</v>
      </c>
      <c r="B17" s="31"/>
      <c r="C17" s="31"/>
      <c r="D17" s="31"/>
      <c r="E17" s="8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>
        <f>U10+U11+U12+U13+U16</f>
        <v>104522</v>
      </c>
      <c r="V17" s="31">
        <f>V10+V11+V12+V13+V16</f>
        <v>0</v>
      </c>
      <c r="W17" s="31">
        <f>W10+W11+W12+W13+W16</f>
        <v>22522</v>
      </c>
      <c r="X17" s="31">
        <f>X10+X11+X12+X13+X16</f>
        <v>82000</v>
      </c>
      <c r="Y17" s="36" t="s">
        <v>16</v>
      </c>
    </row>
    <row r="18" spans="1:25" ht="15">
      <c r="A18" s="2" t="s">
        <v>102</v>
      </c>
      <c r="C18" s="1"/>
      <c r="D18" s="1"/>
      <c r="E18" s="23"/>
      <c r="F18" s="1"/>
      <c r="G18" s="1"/>
      <c r="H18" s="1"/>
      <c r="I18" s="1"/>
      <c r="J18" s="1"/>
      <c r="K18" s="1"/>
      <c r="U18" s="1">
        <v>7818</v>
      </c>
      <c r="V18" s="1">
        <v>0</v>
      </c>
      <c r="W18" s="1">
        <v>7818</v>
      </c>
      <c r="X18" s="1">
        <v>0</v>
      </c>
      <c r="Y18" s="24" t="s">
        <v>23</v>
      </c>
    </row>
    <row r="19" spans="1:25" ht="15">
      <c r="A19" s="2" t="s">
        <v>103</v>
      </c>
      <c r="C19" s="1"/>
      <c r="D19" s="1"/>
      <c r="E19" s="23"/>
      <c r="F19" s="1"/>
      <c r="G19" s="1"/>
      <c r="H19" s="1"/>
      <c r="I19" s="1"/>
      <c r="J19" s="1"/>
      <c r="K19" s="1"/>
      <c r="U19" s="1">
        <v>2000</v>
      </c>
      <c r="V19" s="1">
        <v>0</v>
      </c>
      <c r="W19" s="1">
        <v>2000</v>
      </c>
      <c r="X19" s="1">
        <v>0</v>
      </c>
      <c r="Y19" s="83" t="s">
        <v>23</v>
      </c>
    </row>
    <row r="20" spans="1:25" ht="15">
      <c r="A20" s="2" t="s">
        <v>104</v>
      </c>
      <c r="C20" s="1"/>
      <c r="D20" s="1"/>
      <c r="E20" s="23"/>
      <c r="F20" s="1"/>
      <c r="G20" s="1"/>
      <c r="H20" s="1"/>
      <c r="I20" s="1"/>
      <c r="J20" s="1"/>
      <c r="K20" s="1"/>
      <c r="U20" s="1">
        <v>62875</v>
      </c>
      <c r="V20" s="1">
        <v>0</v>
      </c>
      <c r="W20" s="1">
        <v>0</v>
      </c>
      <c r="X20" s="1">
        <v>62875</v>
      </c>
      <c r="Y20" s="27" t="s">
        <v>23</v>
      </c>
    </row>
    <row r="21" spans="1:25" ht="15.75">
      <c r="A21" s="30" t="s">
        <v>105</v>
      </c>
      <c r="B21" s="31"/>
      <c r="C21" s="31"/>
      <c r="D21" s="31"/>
      <c r="E21" s="8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>
        <f>SUM(U18:U20)</f>
        <v>72693</v>
      </c>
      <c r="V21" s="31">
        <f>SUM(V18:V20)</f>
        <v>0</v>
      </c>
      <c r="W21" s="31">
        <f>SUM(W18:W20)</f>
        <v>9818</v>
      </c>
      <c r="X21" s="31">
        <f>SUM(X18:X20)</f>
        <v>62875</v>
      </c>
      <c r="Y21" s="27" t="s">
        <v>23</v>
      </c>
    </row>
    <row r="22" spans="1:25" ht="15.75">
      <c r="A22" s="84" t="s">
        <v>106</v>
      </c>
      <c r="B22" s="85"/>
      <c r="C22" s="85"/>
      <c r="D22" s="85"/>
      <c r="E22" s="86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29">
        <v>282582</v>
      </c>
      <c r="V22" s="29">
        <v>0</v>
      </c>
      <c r="W22" s="29">
        <v>282582</v>
      </c>
      <c r="X22" s="29">
        <v>0</v>
      </c>
      <c r="Y22" s="83" t="s">
        <v>107</v>
      </c>
    </row>
    <row r="23" spans="1:25" ht="15.75">
      <c r="A23" s="30" t="s">
        <v>108</v>
      </c>
      <c r="B23" s="31"/>
      <c r="C23" s="31"/>
      <c r="D23" s="31"/>
      <c r="E23" s="8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>
        <f>SUM(U22)</f>
        <v>282582</v>
      </c>
      <c r="V23" s="31">
        <f>SUM(V22)</f>
        <v>0</v>
      </c>
      <c r="W23" s="31">
        <f>SUM(W22)</f>
        <v>282582</v>
      </c>
      <c r="X23" s="31">
        <f>SUM(X22)</f>
        <v>0</v>
      </c>
      <c r="Y23" s="36" t="s">
        <v>107</v>
      </c>
    </row>
    <row r="24" spans="1:25" ht="15">
      <c r="A24" s="2" t="s">
        <v>109</v>
      </c>
      <c r="C24" s="1"/>
      <c r="D24" s="1"/>
      <c r="E24" s="23"/>
      <c r="F24" s="1"/>
      <c r="G24" s="1"/>
      <c r="H24" s="1"/>
      <c r="I24" s="1"/>
      <c r="J24" s="1"/>
      <c r="K24" s="1"/>
      <c r="U24" s="1">
        <v>5000</v>
      </c>
      <c r="V24" s="1">
        <v>0</v>
      </c>
      <c r="W24" s="1">
        <v>0</v>
      </c>
      <c r="X24" s="1">
        <v>5000</v>
      </c>
      <c r="Y24" s="24" t="s">
        <v>110</v>
      </c>
    </row>
    <row r="25" spans="1:25" ht="15">
      <c r="A25" s="2" t="s">
        <v>111</v>
      </c>
      <c r="C25" s="1"/>
      <c r="D25" s="1"/>
      <c r="E25" s="23"/>
      <c r="F25" s="1"/>
      <c r="G25" s="1"/>
      <c r="H25" s="1"/>
      <c r="I25" s="1"/>
      <c r="J25" s="1"/>
      <c r="K25" s="1"/>
      <c r="U25" s="1">
        <v>12000</v>
      </c>
      <c r="V25" s="1">
        <v>0</v>
      </c>
      <c r="W25" s="1">
        <v>0</v>
      </c>
      <c r="X25" s="1">
        <v>12000</v>
      </c>
      <c r="Y25" s="24" t="s">
        <v>16</v>
      </c>
    </row>
    <row r="26" spans="1:25" ht="15">
      <c r="A26" s="2" t="s">
        <v>112</v>
      </c>
      <c r="C26" s="1"/>
      <c r="D26" s="1"/>
      <c r="E26" s="23"/>
      <c r="F26" s="1"/>
      <c r="G26" s="1"/>
      <c r="H26" s="1"/>
      <c r="I26" s="1"/>
      <c r="J26" s="1"/>
      <c r="K26" s="1"/>
      <c r="U26" s="1">
        <v>208828</v>
      </c>
      <c r="V26" s="1">
        <v>0</v>
      </c>
      <c r="W26" s="1">
        <v>124128</v>
      </c>
      <c r="X26" s="1">
        <v>84700</v>
      </c>
      <c r="Y26" s="24" t="s">
        <v>113</v>
      </c>
    </row>
    <row r="27" spans="1:55" s="28" customFormat="1" ht="15.75">
      <c r="A27" s="30" t="s">
        <v>114</v>
      </c>
      <c r="B27" s="35">
        <f aca="true" t="shared" si="0" ref="B27:G27">SUM(B28:B31)</f>
        <v>2000</v>
      </c>
      <c r="C27" s="35" t="e">
        <f t="shared" si="0"/>
        <v>#REF!</v>
      </c>
      <c r="D27" s="35">
        <f t="shared" si="0"/>
        <v>3114</v>
      </c>
      <c r="E27" s="35" t="e">
        <f t="shared" si="0"/>
        <v>#REF!</v>
      </c>
      <c r="F27" s="35">
        <f t="shared" si="0"/>
        <v>2000</v>
      </c>
      <c r="G27" s="35" t="e">
        <f t="shared" si="0"/>
        <v>#REF!</v>
      </c>
      <c r="H27" s="35" t="e">
        <f>H28+H30+#REF!+H31</f>
        <v>#REF!</v>
      </c>
      <c r="I27" s="35" t="e">
        <f>H27/G27*100</f>
        <v>#REF!</v>
      </c>
      <c r="J27" s="35">
        <v>7123</v>
      </c>
      <c r="K27" s="35">
        <f>SUM(K28:K31)</f>
        <v>10090</v>
      </c>
      <c r="L27" s="35">
        <v>0</v>
      </c>
      <c r="M27" s="35">
        <f>L27+K27</f>
        <v>10090</v>
      </c>
      <c r="N27" s="35">
        <v>33749</v>
      </c>
      <c r="O27" s="35">
        <f>N27/M27*100</f>
        <v>334.4796828543112</v>
      </c>
      <c r="P27" s="35" t="e">
        <f>P28+P30+#REF!+P31</f>
        <v>#REF!</v>
      </c>
      <c r="Q27" s="35" t="e">
        <f>P27+M27</f>
        <v>#REF!</v>
      </c>
      <c r="R27" s="35" t="e">
        <f>R28+R30+#REF!+R31</f>
        <v>#REF!</v>
      </c>
      <c r="S27" s="35" t="e">
        <f>R27/Q27*100</f>
        <v>#REF!</v>
      </c>
      <c r="T27" s="35" t="e">
        <f>T28+T30+#REF!+T31</f>
        <v>#REF!</v>
      </c>
      <c r="U27" s="31">
        <f>SUM(U24:U26)</f>
        <v>225828</v>
      </c>
      <c r="V27" s="31">
        <f>SUM(V24:V26)</f>
        <v>0</v>
      </c>
      <c r="W27" s="31">
        <f>SUM(W24:W26)</f>
        <v>124128</v>
      </c>
      <c r="X27" s="31">
        <f>SUM(X24:X26)</f>
        <v>101700</v>
      </c>
      <c r="Y27" s="3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25" ht="15">
      <c r="A28" s="34" t="s">
        <v>115</v>
      </c>
      <c r="B28" s="35">
        <v>0</v>
      </c>
      <c r="C28" s="35" t="e">
        <f>#REF!+B28</f>
        <v>#REF!</v>
      </c>
      <c r="D28" s="35">
        <v>1114</v>
      </c>
      <c r="E28" s="81" t="e">
        <f>D28/C28*100</f>
        <v>#REF!</v>
      </c>
      <c r="F28" s="35">
        <v>0</v>
      </c>
      <c r="G28" s="35" t="e">
        <f>C28+F28</f>
        <v>#REF!</v>
      </c>
      <c r="H28" s="35">
        <v>2413</v>
      </c>
      <c r="I28" s="35" t="e">
        <f>H28/G28*100</f>
        <v>#REF!</v>
      </c>
      <c r="J28" s="35">
        <v>0</v>
      </c>
      <c r="K28" s="35">
        <v>1000</v>
      </c>
      <c r="L28" s="35">
        <v>0</v>
      </c>
      <c r="M28" s="35">
        <f>L28+K28</f>
        <v>1000</v>
      </c>
      <c r="N28" s="35">
        <v>1270</v>
      </c>
      <c r="O28" s="35">
        <f>N28/M28*100</f>
        <v>127</v>
      </c>
      <c r="P28" s="35">
        <v>0</v>
      </c>
      <c r="Q28" s="35">
        <f>P28+M28</f>
        <v>1000</v>
      </c>
      <c r="R28" s="35">
        <v>2987</v>
      </c>
      <c r="S28" s="35">
        <f>R28/Q28*100</f>
        <v>298.7</v>
      </c>
      <c r="T28" s="35">
        <v>2000</v>
      </c>
      <c r="U28" s="35">
        <v>500</v>
      </c>
      <c r="V28" s="29">
        <v>0</v>
      </c>
      <c r="W28" s="29">
        <v>500</v>
      </c>
      <c r="X28" s="29">
        <v>0</v>
      </c>
      <c r="Y28" s="24" t="s">
        <v>116</v>
      </c>
    </row>
    <row r="29" spans="1:25" ht="15.75">
      <c r="A29" s="30" t="s">
        <v>117</v>
      </c>
      <c r="B29" s="31"/>
      <c r="C29" s="31"/>
      <c r="D29" s="31"/>
      <c r="E29" s="8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>
        <f>SUM(U28)</f>
        <v>500</v>
      </c>
      <c r="V29" s="31">
        <f>SUM(V28)</f>
        <v>0</v>
      </c>
      <c r="W29" s="31">
        <f>SUM(W28)</f>
        <v>500</v>
      </c>
      <c r="X29" s="31">
        <f>SUM(X28)</f>
        <v>0</v>
      </c>
      <c r="Y29" s="36" t="s">
        <v>116</v>
      </c>
    </row>
    <row r="30" spans="1:25" ht="15">
      <c r="A30" s="2" t="s">
        <v>118</v>
      </c>
      <c r="B30" s="1">
        <v>1000</v>
      </c>
      <c r="C30" s="1">
        <v>1000</v>
      </c>
      <c r="D30" s="1">
        <v>1000</v>
      </c>
      <c r="E30" s="1">
        <v>1000</v>
      </c>
      <c r="F30" s="1">
        <v>1000</v>
      </c>
      <c r="G30" s="1">
        <v>1000</v>
      </c>
      <c r="H30" s="1">
        <v>1000</v>
      </c>
      <c r="I30" s="1">
        <v>1000</v>
      </c>
      <c r="J30" s="1">
        <v>1000</v>
      </c>
      <c r="K30" s="1">
        <v>7090</v>
      </c>
      <c r="L30" s="1">
        <v>0</v>
      </c>
      <c r="M30" s="1">
        <f>L30+K30</f>
        <v>7090</v>
      </c>
      <c r="N30" s="1">
        <v>203</v>
      </c>
      <c r="O30" s="1">
        <f>N30/M30*100</f>
        <v>2.863187588152327</v>
      </c>
      <c r="P30" s="1">
        <v>0</v>
      </c>
      <c r="Q30" s="1">
        <f>P30+M30</f>
        <v>7090</v>
      </c>
      <c r="R30" s="1">
        <v>517</v>
      </c>
      <c r="S30" s="1">
        <f>R30/Q30*100</f>
        <v>7.291960507757405</v>
      </c>
      <c r="U30" s="1">
        <v>3000</v>
      </c>
      <c r="V30" s="1">
        <v>0</v>
      </c>
      <c r="W30" s="1">
        <v>3000</v>
      </c>
      <c r="X30" s="1">
        <v>0</v>
      </c>
      <c r="Y30" s="24" t="s">
        <v>119</v>
      </c>
    </row>
    <row r="31" spans="1:25" ht="15">
      <c r="A31" s="2" t="s">
        <v>120</v>
      </c>
      <c r="B31" s="29">
        <v>1000</v>
      </c>
      <c r="C31" s="29">
        <v>1000</v>
      </c>
      <c r="D31" s="29">
        <v>1000</v>
      </c>
      <c r="E31" s="29">
        <v>1000</v>
      </c>
      <c r="F31" s="29">
        <v>1000</v>
      </c>
      <c r="G31" s="29">
        <v>1000</v>
      </c>
      <c r="H31" s="29">
        <v>1000</v>
      </c>
      <c r="I31" s="29">
        <v>1000</v>
      </c>
      <c r="J31" s="29">
        <v>1000</v>
      </c>
      <c r="K31" s="29">
        <v>2000</v>
      </c>
      <c r="L31" s="1">
        <v>0</v>
      </c>
      <c r="M31" s="1">
        <f>L31+K31</f>
        <v>2000</v>
      </c>
      <c r="N31" s="1">
        <v>732</v>
      </c>
      <c r="O31" s="26">
        <f>N31/M31*100</f>
        <v>36.6</v>
      </c>
      <c r="P31" s="1">
        <v>7</v>
      </c>
      <c r="Q31" s="26">
        <f>P31+M31</f>
        <v>2007</v>
      </c>
      <c r="R31" s="1">
        <v>982</v>
      </c>
      <c r="S31" s="26">
        <f>R31/Q31*100</f>
        <v>48.92874937717987</v>
      </c>
      <c r="T31" s="1">
        <v>5308</v>
      </c>
      <c r="U31" s="26">
        <v>100</v>
      </c>
      <c r="V31" s="29">
        <v>0</v>
      </c>
      <c r="W31" s="29">
        <v>100</v>
      </c>
      <c r="X31" s="29">
        <v>0</v>
      </c>
      <c r="Y31" s="24" t="s">
        <v>119</v>
      </c>
    </row>
    <row r="32" spans="1:55" s="33" customFormat="1" ht="15.75">
      <c r="A32" s="30" t="s">
        <v>121</v>
      </c>
      <c r="B32" s="31" t="e">
        <f>SUM(#REF!+#REF!+#REF!+#REF!+B10+#REF!+B27+#REF!+#REF!)</f>
        <v>#REF!</v>
      </c>
      <c r="C32" s="31" t="e">
        <f>SUM(#REF!+#REF!+#REF!+#REF!+C10+#REF!+C27+#REF!+#REF!)</f>
        <v>#REF!</v>
      </c>
      <c r="D32" s="31" t="e">
        <f>SUM(#REF!+#REF!+#REF!+#REF!+D10+#REF!+D27+#REF!+#REF!)</f>
        <v>#REF!</v>
      </c>
      <c r="E32" s="31" t="e">
        <f>SUM(#REF!+#REF!+#REF!+#REF!+E10+#REF!+E27+#REF!+#REF!)</f>
        <v>#REF!</v>
      </c>
      <c r="F32" s="31" t="e">
        <f>SUM(#REF!+#REF!+#REF!+#REF!+F10+#REF!+F27+#REF!+#REF!)</f>
        <v>#REF!</v>
      </c>
      <c r="G32" s="31" t="e">
        <f>SUM(#REF!+#REF!+#REF!+#REF!+G10+#REF!+G27+#REF!+#REF!)</f>
        <v>#REF!</v>
      </c>
      <c r="H32" s="31" t="e">
        <f>SUM(#REF!+#REF!+#REF!+#REF!+H10+#REF!+H27+#REF!+#REF!)</f>
        <v>#REF!</v>
      </c>
      <c r="I32" s="31" t="e">
        <f>SUM(#REF!+#REF!+#REF!+#REF!+I10+#REF!+I27+#REF!+#REF!)</f>
        <v>#REF!</v>
      </c>
      <c r="J32" s="31" t="e">
        <f>SUM(#REF!+#REF!+#REF!+#REF!+J10+#REF!+J27+#REF!+#REF!)</f>
        <v>#REF!</v>
      </c>
      <c r="K32" s="31">
        <f aca="true" t="shared" si="1" ref="K32:T32">K10+K27</f>
        <v>11090</v>
      </c>
      <c r="L32" s="31">
        <f t="shared" si="1"/>
        <v>0</v>
      </c>
      <c r="M32" s="31">
        <f t="shared" si="1"/>
        <v>11090</v>
      </c>
      <c r="N32" s="31">
        <f t="shared" si="1"/>
        <v>33750</v>
      </c>
      <c r="O32" s="31">
        <f t="shared" si="1"/>
        <v>334.5796828543112</v>
      </c>
      <c r="P32" s="31" t="e">
        <f t="shared" si="1"/>
        <v>#REF!</v>
      </c>
      <c r="Q32" s="31" t="e">
        <f t="shared" si="1"/>
        <v>#REF!</v>
      </c>
      <c r="R32" s="31" t="e">
        <f t="shared" si="1"/>
        <v>#REF!</v>
      </c>
      <c r="S32" s="31" t="e">
        <f t="shared" si="1"/>
        <v>#REF!</v>
      </c>
      <c r="T32" s="31" t="e">
        <f t="shared" si="1"/>
        <v>#REF!</v>
      </c>
      <c r="U32" s="31">
        <f>SUM(U30:U31)</f>
        <v>3100</v>
      </c>
      <c r="V32" s="31">
        <f>SUM(V30:V31)</f>
        <v>0</v>
      </c>
      <c r="W32" s="31">
        <f>SUM(W30:W31)</f>
        <v>3100</v>
      </c>
      <c r="X32" s="31">
        <f>SUM(X30:X31)</f>
        <v>0</v>
      </c>
      <c r="Y32" s="32" t="s">
        <v>119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spans="1:55" s="33" customFormat="1" ht="15.75">
      <c r="A33" s="30" t="s">
        <v>25</v>
      </c>
      <c r="B33" s="31" t="e">
        <f>B32+#REF!+#REF!+#REF!+#REF!</f>
        <v>#REF!</v>
      </c>
      <c r="C33" s="31" t="e">
        <f>C32+#REF!+#REF!+#REF!+#REF!</f>
        <v>#REF!</v>
      </c>
      <c r="D33" s="31" t="e">
        <f>D32+#REF!+#REF!+#REF!+#REF!</f>
        <v>#REF!</v>
      </c>
      <c r="E33" s="31" t="e">
        <f>E32+#REF!+#REF!+#REF!+#REF!</f>
        <v>#REF!</v>
      </c>
      <c r="F33" s="31" t="e">
        <f>F32+#REF!+#REF!+#REF!+#REF!</f>
        <v>#REF!</v>
      </c>
      <c r="G33" s="31" t="e">
        <f>G32+#REF!+#REF!+#REF!+#REF!</f>
        <v>#REF!</v>
      </c>
      <c r="H33" s="31" t="e">
        <f>H32+#REF!+#REF!+#REF!+#REF!</f>
        <v>#REF!</v>
      </c>
      <c r="I33" s="31" t="e">
        <f>I32+#REF!+#REF!+#REF!+#REF!</f>
        <v>#REF!</v>
      </c>
      <c r="J33" s="31" t="e">
        <f>J32+#REF!+#REF!+#REF!+#REF!</f>
        <v>#REF!</v>
      </c>
      <c r="K33" s="31">
        <f>K32</f>
        <v>11090</v>
      </c>
      <c r="L33" s="31" t="e">
        <f>L32+#REF!+#REF!+#REF!+#REF!</f>
        <v>#REF!</v>
      </c>
      <c r="M33" s="31" t="e">
        <f>L33+K33</f>
        <v>#REF!</v>
      </c>
      <c r="N33" s="31" t="e">
        <f>N32+#REF!+#REF!+#REF!+#REF!+#REF!+#REF!</f>
        <v>#REF!</v>
      </c>
      <c r="O33" s="31" t="e">
        <f>N33/M33*100</f>
        <v>#REF!</v>
      </c>
      <c r="P33" s="31" t="e">
        <f>P32+#REF!+#REF!+#REF!+#REF!+#REF!+#REF!</f>
        <v>#REF!</v>
      </c>
      <c r="Q33" s="31" t="e">
        <f>P33+M33</f>
        <v>#REF!</v>
      </c>
      <c r="R33" s="31" t="e">
        <f>R32+#REF!+#REF!+#REF!+#REF!+#REF!+#REF!</f>
        <v>#REF!</v>
      </c>
      <c r="S33" s="31" t="e">
        <f>R33/Q33*100</f>
        <v>#REF!</v>
      </c>
      <c r="T33" s="31" t="e">
        <f>T32+#REF!+#REF!+#REF!+#REF!+#REF!+#REF!</f>
        <v>#REF!</v>
      </c>
      <c r="U33" s="31">
        <f>U17+U21+U23+U27+U29+U32</f>
        <v>689225</v>
      </c>
      <c r="V33" s="31">
        <f>V17+V21+V23+V27+V29+V32</f>
        <v>0</v>
      </c>
      <c r="W33" s="31">
        <f>W17+W21+W23+W27+W29+W32</f>
        <v>442650</v>
      </c>
      <c r="X33" s="31">
        <f>X17+X21+X23+X27+X29+X32</f>
        <v>246575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</sheetData>
  <sheetProtection selectLockedCells="1" selectUnlockedCells="1"/>
  <mergeCells count="2">
    <mergeCell ref="A1:U1"/>
    <mergeCell ref="A4:Y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ímrendes bevétel"/>
  <dimension ref="A1:AG152"/>
  <sheetViews>
    <sheetView view="pageBreakPreview" zoomScale="75" zoomScaleNormal="75" zoomScaleSheetLayoutView="75" workbookViewId="0" topLeftCell="A1">
      <selection activeCell="Y3" sqref="Y3"/>
    </sheetView>
  </sheetViews>
  <sheetFormatPr defaultColWidth="9.00390625" defaultRowHeight="12.75"/>
  <cols>
    <col min="1" max="1" width="2.625" style="87" customWidth="1"/>
    <col min="2" max="2" width="3.125" style="87" customWidth="1"/>
    <col min="3" max="3" width="4.375" style="87" customWidth="1"/>
    <col min="4" max="4" width="4.00390625" style="87" customWidth="1"/>
    <col min="5" max="5" width="3.375" style="87" customWidth="1"/>
    <col min="6" max="6" width="2.625" style="88" customWidth="1"/>
    <col min="7" max="7" width="3.375" style="88" customWidth="1"/>
    <col min="8" max="8" width="3.125" style="88" customWidth="1"/>
    <col min="9" max="9" width="4.875" style="88" customWidth="1"/>
    <col min="10" max="10" width="2.375" style="88" customWidth="1"/>
    <col min="11" max="11" width="2.875" style="88" customWidth="1"/>
    <col min="12" max="12" width="52.625" style="88" customWidth="1"/>
    <col min="13" max="13" width="11.625" style="89" customWidth="1"/>
    <col min="14" max="17" width="0" style="89" hidden="1" customWidth="1"/>
    <col min="18" max="21" width="0" style="88" hidden="1" customWidth="1"/>
    <col min="22" max="22" width="12.875" style="88" customWidth="1"/>
    <col min="23" max="23" width="12.00390625" style="88" customWidth="1"/>
    <col min="24" max="24" width="12.625" style="88" customWidth="1"/>
    <col min="25" max="25" width="8.125" style="90" customWidth="1"/>
    <col min="26" max="26" width="11.625" style="88" customWidth="1"/>
    <col min="27" max="16384" width="9.125" style="88" customWidth="1"/>
  </cols>
  <sheetData>
    <row r="1" ht="15.75">
      <c r="M1" s="91"/>
    </row>
    <row r="2" spans="14:25" ht="15" customHeight="1">
      <c r="N2" s="92"/>
      <c r="O2" s="92"/>
      <c r="P2" s="92"/>
      <c r="Q2" s="92"/>
      <c r="R2" s="90"/>
      <c r="S2" s="90"/>
      <c r="T2" s="90"/>
      <c r="U2" s="90"/>
      <c r="V2" s="90"/>
      <c r="W2" s="90"/>
      <c r="X2" s="90"/>
      <c r="Y2" s="93" t="s">
        <v>629</v>
      </c>
    </row>
    <row r="3" spans="12:13" ht="15" customHeight="1">
      <c r="L3" s="91"/>
      <c r="M3" s="91"/>
    </row>
    <row r="4" spans="12:13" ht="15" customHeight="1">
      <c r="L4" s="91"/>
      <c r="M4" s="91"/>
    </row>
    <row r="5" spans="1:25" ht="15.75">
      <c r="A5" s="774" t="s">
        <v>122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4"/>
      <c r="X5" s="774"/>
      <c r="Y5" s="774"/>
    </row>
    <row r="6" spans="1:12" ht="15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5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29" ht="15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M8" s="96"/>
      <c r="N8" s="96"/>
      <c r="O8" s="96"/>
      <c r="P8" s="96"/>
      <c r="Q8" s="96"/>
      <c r="R8" s="97"/>
      <c r="S8" s="97"/>
      <c r="T8" s="97"/>
      <c r="U8" s="97"/>
      <c r="V8" s="97"/>
      <c r="W8" s="97"/>
      <c r="X8" s="97"/>
      <c r="Y8" s="98" t="s">
        <v>123</v>
      </c>
      <c r="Z8" s="99"/>
      <c r="AA8" s="99"/>
      <c r="AB8" s="99"/>
      <c r="AC8" s="99"/>
    </row>
    <row r="9" spans="1:25" s="106" customFormat="1" ht="95.25">
      <c r="A9" s="100" t="s">
        <v>124</v>
      </c>
      <c r="B9" s="100" t="s">
        <v>125</v>
      </c>
      <c r="C9" s="100" t="s">
        <v>126</v>
      </c>
      <c r="D9" s="100" t="s">
        <v>127</v>
      </c>
      <c r="E9" s="100" t="s">
        <v>128</v>
      </c>
      <c r="F9" s="100" t="s">
        <v>129</v>
      </c>
      <c r="G9" s="100" t="s">
        <v>130</v>
      </c>
      <c r="H9" s="100" t="s">
        <v>131</v>
      </c>
      <c r="I9" s="100" t="s">
        <v>132</v>
      </c>
      <c r="J9" s="100" t="s">
        <v>133</v>
      </c>
      <c r="K9" s="100" t="s">
        <v>134</v>
      </c>
      <c r="L9" s="101" t="s">
        <v>135</v>
      </c>
      <c r="M9" s="102" t="s">
        <v>10</v>
      </c>
      <c r="N9" s="102" t="s">
        <v>9</v>
      </c>
      <c r="O9" s="102" t="s">
        <v>4</v>
      </c>
      <c r="P9" s="102" t="s">
        <v>9</v>
      </c>
      <c r="Q9" s="102" t="s">
        <v>136</v>
      </c>
      <c r="R9" s="103" t="s">
        <v>3</v>
      </c>
      <c r="S9" s="104" t="s">
        <v>137</v>
      </c>
      <c r="T9" s="105" t="s">
        <v>138</v>
      </c>
      <c r="U9" s="105" t="s">
        <v>139</v>
      </c>
      <c r="V9" s="668" t="s">
        <v>550</v>
      </c>
      <c r="W9" s="668" t="s">
        <v>551</v>
      </c>
      <c r="X9" s="668" t="s">
        <v>552</v>
      </c>
      <c r="Y9" s="102" t="s">
        <v>11</v>
      </c>
    </row>
    <row r="10" spans="1:33" s="106" customFormat="1" ht="15">
      <c r="A10" s="101" t="s">
        <v>140</v>
      </c>
      <c r="B10" s="101" t="s">
        <v>141</v>
      </c>
      <c r="C10" s="101" t="s">
        <v>142</v>
      </c>
      <c r="D10" s="101" t="s">
        <v>143</v>
      </c>
      <c r="E10" s="101" t="s">
        <v>144</v>
      </c>
      <c r="F10" s="101" t="s">
        <v>145</v>
      </c>
      <c r="G10" s="101" t="s">
        <v>146</v>
      </c>
      <c r="H10" s="101" t="s">
        <v>147</v>
      </c>
      <c r="I10" s="101" t="s">
        <v>148</v>
      </c>
      <c r="J10" s="101" t="s">
        <v>149</v>
      </c>
      <c r="K10" s="101" t="s">
        <v>150</v>
      </c>
      <c r="L10" s="107" t="s">
        <v>12</v>
      </c>
      <c r="M10" s="108" t="s">
        <v>13</v>
      </c>
      <c r="N10" s="109" t="s">
        <v>151</v>
      </c>
      <c r="O10" s="109" t="s">
        <v>151</v>
      </c>
      <c r="P10" s="109" t="s">
        <v>152</v>
      </c>
      <c r="Q10" s="109" t="s">
        <v>151</v>
      </c>
      <c r="R10" s="110" t="s">
        <v>152</v>
      </c>
      <c r="S10" s="110" t="s">
        <v>153</v>
      </c>
      <c r="T10" s="110" t="s">
        <v>154</v>
      </c>
      <c r="U10" s="110" t="s">
        <v>155</v>
      </c>
      <c r="V10" s="110" t="s">
        <v>151</v>
      </c>
      <c r="W10" s="110" t="s">
        <v>152</v>
      </c>
      <c r="X10" s="110" t="s">
        <v>153</v>
      </c>
      <c r="Y10" s="110" t="s">
        <v>14</v>
      </c>
      <c r="Z10" s="111"/>
      <c r="AA10" s="111"/>
      <c r="AB10" s="111"/>
      <c r="AC10" s="111"/>
      <c r="AD10" s="111"/>
      <c r="AE10" s="111"/>
      <c r="AF10" s="111"/>
      <c r="AG10" s="111"/>
    </row>
    <row r="11" spans="1:33" ht="15">
      <c r="A11" s="112" t="s">
        <v>156</v>
      </c>
      <c r="B11" s="112"/>
      <c r="C11" s="112"/>
      <c r="D11" s="112"/>
      <c r="E11" s="112"/>
      <c r="F11" s="113"/>
      <c r="G11" s="113" t="s">
        <v>157</v>
      </c>
      <c r="H11" s="113"/>
      <c r="I11" s="113"/>
      <c r="J11" s="113"/>
      <c r="K11" s="113"/>
      <c r="L11" s="113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116"/>
      <c r="AA11" s="116"/>
      <c r="AB11" s="116"/>
      <c r="AC11" s="116"/>
      <c r="AD11" s="116"/>
      <c r="AE11" s="116"/>
      <c r="AF11" s="116"/>
      <c r="AG11" s="116"/>
    </row>
    <row r="12" spans="1:33" ht="15">
      <c r="A12" s="117"/>
      <c r="B12" s="117"/>
      <c r="C12" s="117" t="s">
        <v>158</v>
      </c>
      <c r="D12" s="117"/>
      <c r="E12" s="117"/>
      <c r="F12" s="97"/>
      <c r="G12" s="97"/>
      <c r="H12" s="97"/>
      <c r="I12" s="97" t="s">
        <v>159</v>
      </c>
      <c r="J12" s="97"/>
      <c r="K12" s="97"/>
      <c r="L12" s="97"/>
      <c r="M12" s="89">
        <v>104522</v>
      </c>
      <c r="N12" s="114">
        <v>0</v>
      </c>
      <c r="O12" s="114">
        <f>M12+N12</f>
        <v>104522</v>
      </c>
      <c r="P12" s="114">
        <v>0</v>
      </c>
      <c r="Q12" s="114">
        <f>O12+P12</f>
        <v>104522</v>
      </c>
      <c r="R12" s="114">
        <v>6171</v>
      </c>
      <c r="S12" s="114">
        <v>0</v>
      </c>
      <c r="T12" s="114">
        <f>7497+2000+15433+30000+6171</f>
        <v>61101</v>
      </c>
      <c r="U12" s="114">
        <f>61600+2000</f>
        <v>63600</v>
      </c>
      <c r="V12" s="114">
        <v>0</v>
      </c>
      <c r="W12" s="114">
        <v>22522</v>
      </c>
      <c r="X12" s="114">
        <v>82000</v>
      </c>
      <c r="Y12" s="115" t="s">
        <v>16</v>
      </c>
      <c r="Z12" s="114"/>
      <c r="AA12" s="116"/>
      <c r="AB12" s="116"/>
      <c r="AC12" s="116"/>
      <c r="AD12" s="116"/>
      <c r="AE12" s="116"/>
      <c r="AF12" s="116"/>
      <c r="AG12" s="116"/>
    </row>
    <row r="13" spans="1:26" s="122" customFormat="1" ht="15.75">
      <c r="A13" s="118"/>
      <c r="B13" s="118"/>
      <c r="C13" s="118"/>
      <c r="D13" s="118" t="s">
        <v>156</v>
      </c>
      <c r="E13" s="118"/>
      <c r="F13" s="119"/>
      <c r="G13" s="119"/>
      <c r="H13" s="119"/>
      <c r="I13" s="119"/>
      <c r="J13" s="119" t="s">
        <v>160</v>
      </c>
      <c r="K13" s="119"/>
      <c r="L13" s="119"/>
      <c r="M13" s="120">
        <f>SUM(M12)</f>
        <v>104522</v>
      </c>
      <c r="N13" s="120">
        <v>0</v>
      </c>
      <c r="O13" s="120">
        <f>M13+N13</f>
        <v>104522</v>
      </c>
      <c r="P13" s="120">
        <v>0</v>
      </c>
      <c r="Q13" s="120">
        <f>O13+P13</f>
        <v>104522</v>
      </c>
      <c r="R13" s="120">
        <f aca="true" t="shared" si="0" ref="R13:X13">SUM(R12)</f>
        <v>6171</v>
      </c>
      <c r="S13" s="120">
        <f t="shared" si="0"/>
        <v>0</v>
      </c>
      <c r="T13" s="120">
        <f t="shared" si="0"/>
        <v>61101</v>
      </c>
      <c r="U13" s="120">
        <f t="shared" si="0"/>
        <v>63600</v>
      </c>
      <c r="V13" s="120">
        <f t="shared" si="0"/>
        <v>0</v>
      </c>
      <c r="W13" s="120">
        <f t="shared" si="0"/>
        <v>22522</v>
      </c>
      <c r="X13" s="120">
        <f t="shared" si="0"/>
        <v>82000</v>
      </c>
      <c r="Y13" s="121" t="s">
        <v>16</v>
      </c>
      <c r="Z13" s="114"/>
    </row>
    <row r="14" spans="1:26" ht="15">
      <c r="A14" s="112"/>
      <c r="B14" s="112"/>
      <c r="C14" s="112"/>
      <c r="D14" s="112" t="s">
        <v>161</v>
      </c>
      <c r="E14" s="112"/>
      <c r="F14" s="113"/>
      <c r="G14" s="113"/>
      <c r="H14" s="113"/>
      <c r="I14" s="113"/>
      <c r="J14" s="113" t="s">
        <v>162</v>
      </c>
      <c r="K14" s="113"/>
      <c r="L14" s="113"/>
      <c r="O14" s="114"/>
      <c r="Q14" s="114"/>
      <c r="R14" s="89"/>
      <c r="S14" s="89"/>
      <c r="T14" s="89"/>
      <c r="U14" s="89"/>
      <c r="V14" s="89"/>
      <c r="W14" s="89"/>
      <c r="X14" s="89"/>
      <c r="Z14" s="114"/>
    </row>
    <row r="15" spans="1:26" ht="15">
      <c r="A15" s="123"/>
      <c r="B15" s="123"/>
      <c r="C15" s="123"/>
      <c r="D15" s="123"/>
      <c r="E15" s="124" t="s">
        <v>163</v>
      </c>
      <c r="F15" s="116"/>
      <c r="G15" s="116"/>
      <c r="H15" s="116"/>
      <c r="I15" s="116"/>
      <c r="J15" s="116"/>
      <c r="K15" s="116" t="s">
        <v>164</v>
      </c>
      <c r="L15" s="116"/>
      <c r="O15" s="114"/>
      <c r="Q15" s="114"/>
      <c r="R15" s="89"/>
      <c r="S15" s="89"/>
      <c r="T15" s="89"/>
      <c r="U15" s="89"/>
      <c r="V15" s="89"/>
      <c r="W15" s="89"/>
      <c r="X15" s="89"/>
      <c r="Z15" s="114"/>
    </row>
    <row r="16" spans="1:26" ht="15">
      <c r="A16" s="123"/>
      <c r="B16" s="123"/>
      <c r="C16" s="123"/>
      <c r="D16" s="123"/>
      <c r="E16" s="123"/>
      <c r="F16" s="116" t="s">
        <v>165</v>
      </c>
      <c r="G16" s="116"/>
      <c r="H16" s="116"/>
      <c r="I16" s="116"/>
      <c r="J16" s="116"/>
      <c r="K16" s="116"/>
      <c r="L16" s="116" t="s">
        <v>166</v>
      </c>
      <c r="M16" s="89">
        <v>130000</v>
      </c>
      <c r="N16" s="89">
        <v>0</v>
      </c>
      <c r="O16" s="114">
        <f>M16+N16</f>
        <v>130000</v>
      </c>
      <c r="P16" s="89">
        <v>0</v>
      </c>
      <c r="Q16" s="114">
        <f>O16+P16</f>
        <v>130000</v>
      </c>
      <c r="R16" s="89">
        <v>0</v>
      </c>
      <c r="S16" s="89">
        <v>0</v>
      </c>
      <c r="T16" s="89">
        <f>Q16+R16</f>
        <v>130000</v>
      </c>
      <c r="U16" s="89">
        <v>0</v>
      </c>
      <c r="V16" s="89">
        <v>0</v>
      </c>
      <c r="W16" s="89">
        <v>130000</v>
      </c>
      <c r="X16" s="89">
        <v>0</v>
      </c>
      <c r="Y16" s="90" t="s">
        <v>167</v>
      </c>
      <c r="Z16" s="114"/>
    </row>
    <row r="17" spans="1:26" ht="15">
      <c r="A17" s="123"/>
      <c r="B17" s="123"/>
      <c r="C17" s="123"/>
      <c r="D17" s="123"/>
      <c r="E17" s="123"/>
      <c r="F17" s="116" t="s">
        <v>168</v>
      </c>
      <c r="G17" s="116"/>
      <c r="H17" s="116"/>
      <c r="I17" s="116"/>
      <c r="J17" s="116"/>
      <c r="K17" s="116"/>
      <c r="L17" s="116" t="s">
        <v>169</v>
      </c>
      <c r="M17" s="89">
        <v>13876</v>
      </c>
      <c r="N17" s="89">
        <v>0</v>
      </c>
      <c r="O17" s="114">
        <f>M17+N17</f>
        <v>13876</v>
      </c>
      <c r="P17" s="89">
        <v>0</v>
      </c>
      <c r="Q17" s="114">
        <f>O17+P17</f>
        <v>13876</v>
      </c>
      <c r="R17" s="89">
        <v>153</v>
      </c>
      <c r="S17" s="89">
        <v>0</v>
      </c>
      <c r="T17" s="89">
        <f>Q17+R17</f>
        <v>14029</v>
      </c>
      <c r="U17" s="89">
        <v>0</v>
      </c>
      <c r="V17" s="89">
        <v>0</v>
      </c>
      <c r="W17" s="89">
        <v>13876</v>
      </c>
      <c r="X17" s="89">
        <v>0</v>
      </c>
      <c r="Y17" s="90" t="s">
        <v>170</v>
      </c>
      <c r="Z17" s="114"/>
    </row>
    <row r="18" spans="1:26" ht="15">
      <c r="A18" s="123"/>
      <c r="B18" s="123"/>
      <c r="C18" s="123"/>
      <c r="D18" s="123"/>
      <c r="E18" s="123"/>
      <c r="F18" s="116" t="s">
        <v>171</v>
      </c>
      <c r="G18" s="116"/>
      <c r="H18" s="116"/>
      <c r="I18" s="116"/>
      <c r="J18" s="116"/>
      <c r="K18" s="116"/>
      <c r="L18" s="116" t="s">
        <v>172</v>
      </c>
      <c r="M18" s="89">
        <v>550000</v>
      </c>
      <c r="N18" s="89">
        <v>0</v>
      </c>
      <c r="O18" s="114">
        <f>M18+N18</f>
        <v>550000</v>
      </c>
      <c r="P18" s="89">
        <v>0</v>
      </c>
      <c r="Q18" s="114">
        <f>O18+P18</f>
        <v>550000</v>
      </c>
      <c r="R18" s="89">
        <v>38972</v>
      </c>
      <c r="S18" s="89">
        <v>0</v>
      </c>
      <c r="T18" s="89">
        <f>Q18+R18</f>
        <v>588972</v>
      </c>
      <c r="U18" s="89">
        <v>0</v>
      </c>
      <c r="V18" s="89">
        <v>0</v>
      </c>
      <c r="W18" s="89">
        <v>550000</v>
      </c>
      <c r="X18" s="89">
        <v>0</v>
      </c>
      <c r="Y18" s="90" t="s">
        <v>173</v>
      </c>
      <c r="Z18" s="114"/>
    </row>
    <row r="19" spans="1:26" s="122" customFormat="1" ht="15.75">
      <c r="A19" s="118"/>
      <c r="B19" s="118"/>
      <c r="C19" s="118"/>
      <c r="D19" s="118"/>
      <c r="E19" s="118" t="s">
        <v>163</v>
      </c>
      <c r="F19" s="119"/>
      <c r="G19" s="119"/>
      <c r="H19" s="119"/>
      <c r="I19" s="119"/>
      <c r="J19" s="119"/>
      <c r="K19" s="119" t="s">
        <v>38</v>
      </c>
      <c r="L19" s="119"/>
      <c r="M19" s="120">
        <f>SUM(M16:M18)</f>
        <v>693876</v>
      </c>
      <c r="N19" s="120">
        <v>0</v>
      </c>
      <c r="O19" s="120">
        <f>M19+N19</f>
        <v>693876</v>
      </c>
      <c r="P19" s="120">
        <v>0</v>
      </c>
      <c r="Q19" s="120">
        <f>O19+P19</f>
        <v>693876</v>
      </c>
      <c r="R19" s="120">
        <f aca="true" t="shared" si="1" ref="R19:X19">SUM(R16:R18)</f>
        <v>39125</v>
      </c>
      <c r="S19" s="120">
        <f t="shared" si="1"/>
        <v>0</v>
      </c>
      <c r="T19" s="120">
        <f t="shared" si="1"/>
        <v>733001</v>
      </c>
      <c r="U19" s="120">
        <f t="shared" si="1"/>
        <v>0</v>
      </c>
      <c r="V19" s="120">
        <f t="shared" si="1"/>
        <v>0</v>
      </c>
      <c r="W19" s="120">
        <f t="shared" si="1"/>
        <v>693876</v>
      </c>
      <c r="X19" s="120">
        <f t="shared" si="1"/>
        <v>0</v>
      </c>
      <c r="Y19" s="125"/>
      <c r="Z19" s="114"/>
    </row>
    <row r="20" spans="1:26" ht="15">
      <c r="A20" s="112"/>
      <c r="B20" s="112"/>
      <c r="C20" s="112"/>
      <c r="D20" s="112"/>
      <c r="E20" s="112" t="s">
        <v>174</v>
      </c>
      <c r="F20" s="113"/>
      <c r="G20" s="113"/>
      <c r="H20" s="113"/>
      <c r="I20" s="113"/>
      <c r="J20" s="113"/>
      <c r="K20" s="113" t="s">
        <v>175</v>
      </c>
      <c r="L20" s="113"/>
      <c r="O20" s="114"/>
      <c r="Q20" s="114"/>
      <c r="R20" s="89"/>
      <c r="S20" s="89"/>
      <c r="T20" s="89"/>
      <c r="U20" s="89"/>
      <c r="V20" s="89"/>
      <c r="W20" s="89"/>
      <c r="X20" s="89"/>
      <c r="Z20" s="114"/>
    </row>
    <row r="21" spans="1:26" ht="15">
      <c r="A21" s="123"/>
      <c r="B21" s="123"/>
      <c r="C21" s="123"/>
      <c r="D21" s="123"/>
      <c r="E21" s="123"/>
      <c r="F21" s="116" t="s">
        <v>176</v>
      </c>
      <c r="G21" s="116"/>
      <c r="H21" s="116"/>
      <c r="I21" s="116"/>
      <c r="J21" s="116"/>
      <c r="K21" s="116"/>
      <c r="L21" s="116" t="s">
        <v>177</v>
      </c>
      <c r="M21" s="89">
        <v>42000</v>
      </c>
      <c r="N21" s="89">
        <v>0</v>
      </c>
      <c r="O21" s="114">
        <f>M21+N21</f>
        <v>42000</v>
      </c>
      <c r="P21" s="89">
        <v>0</v>
      </c>
      <c r="Q21" s="114">
        <f>O21+P21</f>
        <v>42000</v>
      </c>
      <c r="R21" s="89">
        <v>0</v>
      </c>
      <c r="S21" s="89">
        <v>0</v>
      </c>
      <c r="T21" s="89">
        <v>42000</v>
      </c>
      <c r="U21" s="89">
        <v>0</v>
      </c>
      <c r="V21" s="89">
        <v>0</v>
      </c>
      <c r="W21" s="89">
        <v>42000</v>
      </c>
      <c r="X21" s="89">
        <v>0</v>
      </c>
      <c r="Y21" s="90" t="s">
        <v>173</v>
      </c>
      <c r="Z21" s="114"/>
    </row>
    <row r="22" spans="1:26" s="122" customFormat="1" ht="15.75">
      <c r="A22" s="118"/>
      <c r="B22" s="118"/>
      <c r="C22" s="118"/>
      <c r="D22" s="118"/>
      <c r="E22" s="118" t="s">
        <v>174</v>
      </c>
      <c r="F22" s="119"/>
      <c r="G22" s="119"/>
      <c r="H22" s="119"/>
      <c r="I22" s="119"/>
      <c r="J22" s="119"/>
      <c r="K22" s="119" t="s">
        <v>38</v>
      </c>
      <c r="L22" s="119"/>
      <c r="M22" s="120">
        <f>SUM(M21:M21)</f>
        <v>42000</v>
      </c>
      <c r="N22" s="120">
        <v>0</v>
      </c>
      <c r="O22" s="120">
        <f>M22+N22</f>
        <v>42000</v>
      </c>
      <c r="P22" s="120">
        <v>0</v>
      </c>
      <c r="Q22" s="120">
        <f>O22+P22</f>
        <v>42000</v>
      </c>
      <c r="R22" s="120">
        <f aca="true" t="shared" si="2" ref="R22:X22">SUM(R21)</f>
        <v>0</v>
      </c>
      <c r="S22" s="120">
        <f t="shared" si="2"/>
        <v>0</v>
      </c>
      <c r="T22" s="120">
        <f t="shared" si="2"/>
        <v>42000</v>
      </c>
      <c r="U22" s="120">
        <f t="shared" si="2"/>
        <v>0</v>
      </c>
      <c r="V22" s="120">
        <f t="shared" si="2"/>
        <v>0</v>
      </c>
      <c r="W22" s="120">
        <f t="shared" si="2"/>
        <v>42000</v>
      </c>
      <c r="X22" s="120">
        <f t="shared" si="2"/>
        <v>0</v>
      </c>
      <c r="Y22" s="125" t="s">
        <v>173</v>
      </c>
      <c r="Z22" s="114"/>
    </row>
    <row r="23" spans="1:26" ht="15">
      <c r="A23" s="123"/>
      <c r="B23" s="123"/>
      <c r="C23" s="123"/>
      <c r="D23" s="123"/>
      <c r="E23" s="123" t="s">
        <v>178</v>
      </c>
      <c r="F23" s="116"/>
      <c r="G23" s="116"/>
      <c r="H23" s="116"/>
      <c r="I23" s="116"/>
      <c r="J23" s="116"/>
      <c r="K23" s="116" t="s">
        <v>179</v>
      </c>
      <c r="L23" s="116"/>
      <c r="O23" s="114"/>
      <c r="Q23" s="114"/>
      <c r="R23" s="89"/>
      <c r="S23" s="89"/>
      <c r="T23" s="89"/>
      <c r="U23" s="89"/>
      <c r="V23" s="89"/>
      <c r="W23" s="89"/>
      <c r="X23" s="89"/>
      <c r="Z23" s="114"/>
    </row>
    <row r="24" spans="1:26" ht="15">
      <c r="A24" s="123"/>
      <c r="B24" s="123"/>
      <c r="C24" s="123"/>
      <c r="D24" s="123"/>
      <c r="E24" s="123"/>
      <c r="F24" s="116" t="s">
        <v>180</v>
      </c>
      <c r="G24" s="116"/>
      <c r="H24" s="116"/>
      <c r="I24" s="116"/>
      <c r="J24" s="116"/>
      <c r="K24" s="116"/>
      <c r="L24" s="116" t="s">
        <v>181</v>
      </c>
      <c r="M24" s="89">
        <v>5000</v>
      </c>
      <c r="N24" s="89">
        <v>0</v>
      </c>
      <c r="O24" s="114">
        <f aca="true" t="shared" si="3" ref="O24:O30">M24+N24</f>
        <v>5000</v>
      </c>
      <c r="P24" s="89">
        <v>0</v>
      </c>
      <c r="Q24" s="114">
        <f aca="true" t="shared" si="4" ref="Q24:Q30">O24+P24</f>
        <v>5000</v>
      </c>
      <c r="R24" s="89">
        <v>0</v>
      </c>
      <c r="S24" s="89">
        <v>0</v>
      </c>
      <c r="T24" s="89">
        <v>5000</v>
      </c>
      <c r="U24" s="89">
        <v>0</v>
      </c>
      <c r="V24" s="89">
        <v>0</v>
      </c>
      <c r="W24" s="89">
        <v>5000</v>
      </c>
      <c r="X24" s="89">
        <v>0</v>
      </c>
      <c r="Y24" s="90" t="s">
        <v>182</v>
      </c>
      <c r="Z24" s="114"/>
    </row>
    <row r="25" spans="1:26" ht="15">
      <c r="A25" s="123"/>
      <c r="B25" s="123"/>
      <c r="C25" s="123"/>
      <c r="D25" s="123"/>
      <c r="E25" s="123"/>
      <c r="F25" s="116" t="s">
        <v>183</v>
      </c>
      <c r="G25" s="116"/>
      <c r="H25" s="116"/>
      <c r="I25" s="116"/>
      <c r="J25" s="116"/>
      <c r="K25" s="116"/>
      <c r="L25" s="116" t="s">
        <v>184</v>
      </c>
      <c r="M25" s="89">
        <v>1000</v>
      </c>
      <c r="N25" s="89">
        <v>0</v>
      </c>
      <c r="O25" s="114">
        <f t="shared" si="3"/>
        <v>1000</v>
      </c>
      <c r="P25" s="89">
        <v>0</v>
      </c>
      <c r="Q25" s="114">
        <f t="shared" si="4"/>
        <v>1000</v>
      </c>
      <c r="R25" s="89">
        <v>0</v>
      </c>
      <c r="S25" s="89">
        <v>0</v>
      </c>
      <c r="T25" s="89">
        <v>1000</v>
      </c>
      <c r="U25" s="89">
        <v>0</v>
      </c>
      <c r="V25" s="89">
        <v>0</v>
      </c>
      <c r="W25" s="89">
        <v>1000</v>
      </c>
      <c r="X25" s="89">
        <v>0</v>
      </c>
      <c r="Y25" s="90" t="s">
        <v>182</v>
      </c>
      <c r="Z25" s="114"/>
    </row>
    <row r="26" spans="1:26" ht="15">
      <c r="A26" s="123"/>
      <c r="B26" s="123"/>
      <c r="C26" s="123"/>
      <c r="D26" s="123"/>
      <c r="E26" s="123"/>
      <c r="F26" s="116" t="s">
        <v>185</v>
      </c>
      <c r="G26" s="116"/>
      <c r="H26" s="116"/>
      <c r="I26" s="116"/>
      <c r="J26" s="116"/>
      <c r="K26" s="116"/>
      <c r="L26" s="116" t="s">
        <v>186</v>
      </c>
      <c r="M26" s="89">
        <v>32000</v>
      </c>
      <c r="N26" s="89">
        <v>0</v>
      </c>
      <c r="O26" s="114">
        <f t="shared" si="3"/>
        <v>32000</v>
      </c>
      <c r="P26" s="89">
        <v>0</v>
      </c>
      <c r="Q26" s="114">
        <f t="shared" si="4"/>
        <v>32000</v>
      </c>
      <c r="R26" s="89">
        <v>0</v>
      </c>
      <c r="S26" s="89">
        <v>0</v>
      </c>
      <c r="T26" s="89">
        <v>32000</v>
      </c>
      <c r="U26" s="89">
        <v>0</v>
      </c>
      <c r="V26" s="89">
        <v>0</v>
      </c>
      <c r="W26" s="89">
        <v>32000</v>
      </c>
      <c r="X26" s="89">
        <v>0</v>
      </c>
      <c r="Y26" s="90" t="s">
        <v>182</v>
      </c>
      <c r="Z26" s="114"/>
    </row>
    <row r="27" spans="1:26" ht="15">
      <c r="A27" s="117"/>
      <c r="B27" s="117"/>
      <c r="C27" s="117"/>
      <c r="D27" s="117"/>
      <c r="E27" s="117"/>
      <c r="F27" s="126" t="s">
        <v>187</v>
      </c>
      <c r="G27" s="97"/>
      <c r="H27" s="97"/>
      <c r="I27" s="97"/>
      <c r="J27" s="97"/>
      <c r="K27" s="97"/>
      <c r="L27" s="97" t="s">
        <v>188</v>
      </c>
      <c r="M27" s="89">
        <v>2000</v>
      </c>
      <c r="N27" s="89">
        <v>0</v>
      </c>
      <c r="O27" s="114">
        <f t="shared" si="3"/>
        <v>2000</v>
      </c>
      <c r="P27" s="89">
        <v>0</v>
      </c>
      <c r="Q27" s="114">
        <f t="shared" si="4"/>
        <v>2000</v>
      </c>
      <c r="R27" s="89">
        <v>0</v>
      </c>
      <c r="S27" s="89">
        <v>0</v>
      </c>
      <c r="T27" s="89">
        <v>2000</v>
      </c>
      <c r="U27" s="89">
        <v>0</v>
      </c>
      <c r="V27" s="89">
        <v>0</v>
      </c>
      <c r="W27" s="89">
        <v>2000</v>
      </c>
      <c r="X27" s="89">
        <v>0</v>
      </c>
      <c r="Y27" s="90" t="s">
        <v>182</v>
      </c>
      <c r="Z27" s="114"/>
    </row>
    <row r="28" spans="1:26" s="122" customFormat="1" ht="15.75">
      <c r="A28" s="118"/>
      <c r="B28" s="118"/>
      <c r="C28" s="118"/>
      <c r="D28" s="118"/>
      <c r="E28" s="118" t="s">
        <v>178</v>
      </c>
      <c r="F28" s="119"/>
      <c r="G28" s="119"/>
      <c r="H28" s="119"/>
      <c r="I28" s="119"/>
      <c r="J28" s="119"/>
      <c r="K28" s="119" t="s">
        <v>38</v>
      </c>
      <c r="L28" s="119"/>
      <c r="M28" s="120">
        <f>SUM(M24:M27)</f>
        <v>40000</v>
      </c>
      <c r="N28" s="120">
        <v>0</v>
      </c>
      <c r="O28" s="120">
        <f t="shared" si="3"/>
        <v>40000</v>
      </c>
      <c r="P28" s="120">
        <v>0</v>
      </c>
      <c r="Q28" s="120">
        <f t="shared" si="4"/>
        <v>40000</v>
      </c>
      <c r="R28" s="120">
        <f aca="true" t="shared" si="5" ref="R28:X28">SUM(R24:R27)</f>
        <v>0</v>
      </c>
      <c r="S28" s="120">
        <f t="shared" si="5"/>
        <v>0</v>
      </c>
      <c r="T28" s="120">
        <f t="shared" si="5"/>
        <v>40000</v>
      </c>
      <c r="U28" s="120">
        <f t="shared" si="5"/>
        <v>0</v>
      </c>
      <c r="V28" s="120">
        <f t="shared" si="5"/>
        <v>0</v>
      </c>
      <c r="W28" s="120">
        <f t="shared" si="5"/>
        <v>40000</v>
      </c>
      <c r="X28" s="120">
        <f t="shared" si="5"/>
        <v>0</v>
      </c>
      <c r="Y28" s="125" t="s">
        <v>182</v>
      </c>
      <c r="Z28" s="114"/>
    </row>
    <row r="29" spans="1:26" s="122" customFormat="1" ht="15.75">
      <c r="A29" s="118"/>
      <c r="B29" s="118"/>
      <c r="C29" s="118"/>
      <c r="D29" s="118" t="s">
        <v>161</v>
      </c>
      <c r="E29" s="118"/>
      <c r="G29" s="119"/>
      <c r="H29" s="119"/>
      <c r="I29" s="119"/>
      <c r="J29" s="119" t="s">
        <v>189</v>
      </c>
      <c r="K29" s="119"/>
      <c r="L29" s="119"/>
      <c r="M29" s="120">
        <f>SUM(M19+M22+M28)</f>
        <v>775876</v>
      </c>
      <c r="N29" s="127">
        <v>0</v>
      </c>
      <c r="O29" s="128">
        <f t="shared" si="3"/>
        <v>775876</v>
      </c>
      <c r="P29" s="127">
        <v>0</v>
      </c>
      <c r="Q29" s="128">
        <f t="shared" si="4"/>
        <v>775876</v>
      </c>
      <c r="R29" s="127">
        <f>R19+R22+R28</f>
        <v>39125</v>
      </c>
      <c r="S29" s="127">
        <f>S19+S22+S28</f>
        <v>0</v>
      </c>
      <c r="T29" s="127">
        <f>T19+T22+T28</f>
        <v>815001</v>
      </c>
      <c r="U29" s="127">
        <f>U19+U22+U28</f>
        <v>0</v>
      </c>
      <c r="V29" s="127">
        <f>SUM(V19,V22,V28)</f>
        <v>0</v>
      </c>
      <c r="W29" s="127">
        <f>SUM(W19,W22,W28)</f>
        <v>775876</v>
      </c>
      <c r="X29" s="127">
        <f>SUM(X19,X22,X28)</f>
        <v>0</v>
      </c>
      <c r="Y29" s="125"/>
      <c r="Z29" s="114"/>
    </row>
    <row r="30" spans="1:26" ht="15.75">
      <c r="A30" s="118"/>
      <c r="B30" s="118"/>
      <c r="C30" s="118" t="s">
        <v>158</v>
      </c>
      <c r="D30" s="118"/>
      <c r="E30" s="119" t="s">
        <v>190</v>
      </c>
      <c r="F30" s="119"/>
      <c r="G30" s="129"/>
      <c r="H30" s="119"/>
      <c r="I30" s="119"/>
      <c r="J30" s="119"/>
      <c r="K30" s="119"/>
      <c r="L30" s="119"/>
      <c r="M30" s="120">
        <f>SUM(M13+M29)</f>
        <v>880398</v>
      </c>
      <c r="N30" s="120">
        <v>0</v>
      </c>
      <c r="O30" s="120">
        <f t="shared" si="3"/>
        <v>880398</v>
      </c>
      <c r="P30" s="120">
        <v>0</v>
      </c>
      <c r="Q30" s="120">
        <f t="shared" si="4"/>
        <v>880398</v>
      </c>
      <c r="R30" s="120">
        <f>R13+R29</f>
        <v>45296</v>
      </c>
      <c r="S30" s="120">
        <f>S13+S29</f>
        <v>0</v>
      </c>
      <c r="T30" s="120">
        <f>T13+T29</f>
        <v>876102</v>
      </c>
      <c r="U30" s="120">
        <f>U13+U29</f>
        <v>63600</v>
      </c>
      <c r="V30" s="120">
        <f>SUM(V13,V29)</f>
        <v>0</v>
      </c>
      <c r="W30" s="120">
        <f>SUM(W13,W29)</f>
        <v>798398</v>
      </c>
      <c r="X30" s="120">
        <f>SUM(X13,X29)</f>
        <v>82000</v>
      </c>
      <c r="Y30" s="125"/>
      <c r="Z30" s="114"/>
    </row>
    <row r="31" spans="3:26" ht="15">
      <c r="C31" s="87" t="s">
        <v>191</v>
      </c>
      <c r="I31" s="88" t="s">
        <v>192</v>
      </c>
      <c r="O31" s="114"/>
      <c r="Q31" s="114"/>
      <c r="R31" s="89"/>
      <c r="S31" s="89"/>
      <c r="T31" s="89"/>
      <c r="U31" s="89"/>
      <c r="V31" s="89"/>
      <c r="W31" s="89"/>
      <c r="X31" s="89"/>
      <c r="Z31" s="114"/>
    </row>
    <row r="32" spans="4:26" ht="15">
      <c r="D32" s="87" t="s">
        <v>156</v>
      </c>
      <c r="J32" s="88" t="s">
        <v>193</v>
      </c>
      <c r="O32" s="114"/>
      <c r="Q32" s="114"/>
      <c r="R32" s="89"/>
      <c r="S32" s="89"/>
      <c r="T32" s="89"/>
      <c r="U32" s="89"/>
      <c r="V32" s="89"/>
      <c r="W32" s="89"/>
      <c r="X32" s="89"/>
      <c r="Z32" s="114"/>
    </row>
    <row r="33" spans="5:26" ht="15">
      <c r="E33" s="87" t="s">
        <v>194</v>
      </c>
      <c r="K33" s="88" t="s">
        <v>195</v>
      </c>
      <c r="O33" s="114"/>
      <c r="Q33" s="114"/>
      <c r="R33" s="89"/>
      <c r="S33" s="89"/>
      <c r="T33" s="89"/>
      <c r="U33" s="89"/>
      <c r="V33" s="89"/>
      <c r="W33" s="89"/>
      <c r="X33" s="89"/>
      <c r="Z33" s="114"/>
    </row>
    <row r="34" spans="6:26" ht="15">
      <c r="F34" s="88" t="s">
        <v>196</v>
      </c>
      <c r="L34" s="88" t="s">
        <v>197</v>
      </c>
      <c r="M34" s="89">
        <v>221515</v>
      </c>
      <c r="N34" s="89">
        <v>0</v>
      </c>
      <c r="O34" s="114">
        <f>M34+N34</f>
        <v>221515</v>
      </c>
      <c r="P34" s="89">
        <v>7994</v>
      </c>
      <c r="Q34" s="114">
        <f>O34+P34</f>
        <v>229509</v>
      </c>
      <c r="R34" s="89">
        <v>-5643</v>
      </c>
      <c r="S34" s="89">
        <v>0</v>
      </c>
      <c r="T34" s="89">
        <f>Q34+R34</f>
        <v>223866</v>
      </c>
      <c r="U34" s="89">
        <v>0</v>
      </c>
      <c r="V34" s="89">
        <v>0</v>
      </c>
      <c r="W34" s="687">
        <v>221515</v>
      </c>
      <c r="X34" s="687">
        <v>0</v>
      </c>
      <c r="Y34" s="90" t="s">
        <v>198</v>
      </c>
      <c r="Z34" s="114"/>
    </row>
    <row r="35" spans="6:26" ht="15">
      <c r="F35" s="88" t="s">
        <v>199</v>
      </c>
      <c r="L35" s="88" t="s">
        <v>200</v>
      </c>
      <c r="M35" s="89">
        <v>70655</v>
      </c>
      <c r="N35" s="89">
        <v>0</v>
      </c>
      <c r="O35" s="114">
        <f>M35+N35</f>
        <v>70655</v>
      </c>
      <c r="P35" s="89">
        <v>0</v>
      </c>
      <c r="Q35" s="114">
        <f>O35+P35</f>
        <v>70655</v>
      </c>
      <c r="R35" s="89">
        <v>-1452</v>
      </c>
      <c r="S35" s="89">
        <v>0</v>
      </c>
      <c r="T35" s="89">
        <f>Q35+R35</f>
        <v>69203</v>
      </c>
      <c r="U35" s="89">
        <v>0</v>
      </c>
      <c r="V35" s="89">
        <v>0</v>
      </c>
      <c r="W35" s="687">
        <v>70655</v>
      </c>
      <c r="X35" s="687">
        <v>0</v>
      </c>
      <c r="Y35" s="90" t="s">
        <v>201</v>
      </c>
      <c r="Z35" s="114"/>
    </row>
    <row r="36" spans="6:26" ht="15">
      <c r="F36" s="88" t="s">
        <v>202</v>
      </c>
      <c r="L36" s="88" t="s">
        <v>203</v>
      </c>
      <c r="M36" s="89">
        <v>295227</v>
      </c>
      <c r="N36" s="89">
        <v>16926</v>
      </c>
      <c r="O36" s="114">
        <f>M36+N36</f>
        <v>312153</v>
      </c>
      <c r="P36" s="89">
        <v>22759</v>
      </c>
      <c r="Q36" s="114">
        <f>O36+P36</f>
        <v>334912</v>
      </c>
      <c r="R36" s="89">
        <f>7754+14918</f>
        <v>22672</v>
      </c>
      <c r="S36" s="89">
        <v>0</v>
      </c>
      <c r="T36" s="89">
        <f>Q36+R36</f>
        <v>357584</v>
      </c>
      <c r="U36" s="89">
        <v>0</v>
      </c>
      <c r="V36" s="89">
        <v>0</v>
      </c>
      <c r="W36" s="687">
        <v>295227</v>
      </c>
      <c r="X36" s="687">
        <v>0</v>
      </c>
      <c r="Y36" s="90" t="s">
        <v>204</v>
      </c>
      <c r="Z36" s="114"/>
    </row>
    <row r="37" spans="6:26" ht="15">
      <c r="F37" s="88" t="s">
        <v>205</v>
      </c>
      <c r="L37" s="88" t="s">
        <v>206</v>
      </c>
      <c r="M37" s="89">
        <v>19051</v>
      </c>
      <c r="N37" s="89">
        <v>0</v>
      </c>
      <c r="O37" s="114">
        <f>M37+N37</f>
        <v>19051</v>
      </c>
      <c r="P37" s="89">
        <v>23419</v>
      </c>
      <c r="Q37" s="114">
        <f>O37+P37</f>
        <v>42470</v>
      </c>
      <c r="R37" s="89">
        <v>0</v>
      </c>
      <c r="S37" s="89">
        <v>0</v>
      </c>
      <c r="T37" s="89">
        <f>Q37+R37</f>
        <v>42470</v>
      </c>
      <c r="U37" s="89">
        <v>0</v>
      </c>
      <c r="V37" s="89">
        <v>0</v>
      </c>
      <c r="W37" s="687">
        <v>6351</v>
      </c>
      <c r="X37" s="687">
        <v>12700</v>
      </c>
      <c r="Y37" s="90" t="s">
        <v>207</v>
      </c>
      <c r="Z37" s="114"/>
    </row>
    <row r="38" spans="1:26" s="122" customFormat="1" ht="15.75">
      <c r="A38" s="118"/>
      <c r="B38" s="118"/>
      <c r="C38" s="118"/>
      <c r="D38" s="118"/>
      <c r="E38" s="130" t="s">
        <v>194</v>
      </c>
      <c r="F38" s="119" t="s">
        <v>208</v>
      </c>
      <c r="G38" s="119"/>
      <c r="H38" s="119"/>
      <c r="I38" s="119"/>
      <c r="J38" s="119"/>
      <c r="K38" s="119" t="s">
        <v>38</v>
      </c>
      <c r="L38" s="119"/>
      <c r="M38" s="120">
        <f>SUM(M34:M37)</f>
        <v>606448</v>
      </c>
      <c r="N38" s="120">
        <f>SUM(N34:N37)</f>
        <v>16926</v>
      </c>
      <c r="O38" s="120">
        <f>M38+N38</f>
        <v>623374</v>
      </c>
      <c r="P38" s="120">
        <f>SUM(P34:P37)</f>
        <v>54172</v>
      </c>
      <c r="Q38" s="120">
        <f>O38+P38</f>
        <v>677546</v>
      </c>
      <c r="R38" s="120">
        <f aca="true" t="shared" si="6" ref="R38:X38">SUM(R34:R37)</f>
        <v>15577</v>
      </c>
      <c r="S38" s="120">
        <f t="shared" si="6"/>
        <v>0</v>
      </c>
      <c r="T38" s="120">
        <f t="shared" si="6"/>
        <v>693123</v>
      </c>
      <c r="U38" s="120">
        <f t="shared" si="6"/>
        <v>0</v>
      </c>
      <c r="V38" s="120">
        <f t="shared" si="6"/>
        <v>0</v>
      </c>
      <c r="W38" s="138">
        <f t="shared" si="6"/>
        <v>593748</v>
      </c>
      <c r="X38" s="138">
        <f t="shared" si="6"/>
        <v>12700</v>
      </c>
      <c r="Y38" s="125"/>
      <c r="Z38" s="114"/>
    </row>
    <row r="39" spans="5:26" ht="15">
      <c r="E39" s="87" t="s">
        <v>209</v>
      </c>
      <c r="K39" s="88" t="s">
        <v>210</v>
      </c>
      <c r="O39" s="114"/>
      <c r="Q39" s="114"/>
      <c r="R39" s="89"/>
      <c r="S39" s="89"/>
      <c r="T39" s="89"/>
      <c r="U39" s="89"/>
      <c r="V39" s="89"/>
      <c r="W39" s="89"/>
      <c r="X39" s="89"/>
      <c r="Z39" s="114"/>
    </row>
    <row r="40" spans="6:26" ht="15">
      <c r="F40" s="88" t="s">
        <v>211</v>
      </c>
      <c r="L40" s="88" t="s">
        <v>212</v>
      </c>
      <c r="M40" s="89">
        <v>0</v>
      </c>
      <c r="N40" s="89">
        <v>19</v>
      </c>
      <c r="O40" s="114">
        <f aca="true" t="shared" si="7" ref="O40:O45">M40+N40</f>
        <v>19</v>
      </c>
      <c r="P40" s="89">
        <v>0</v>
      </c>
      <c r="Q40" s="114">
        <f aca="true" t="shared" si="8" ref="Q40:Q45">O40+P40</f>
        <v>19</v>
      </c>
      <c r="R40" s="89">
        <v>13</v>
      </c>
      <c r="S40" s="89">
        <v>0</v>
      </c>
      <c r="T40" s="89">
        <f aca="true" t="shared" si="9" ref="T40:T45">Q40+R40</f>
        <v>32</v>
      </c>
      <c r="U40" s="89">
        <v>0</v>
      </c>
      <c r="V40" s="89">
        <v>0</v>
      </c>
      <c r="W40" s="89">
        <v>0</v>
      </c>
      <c r="X40" s="89">
        <v>0</v>
      </c>
      <c r="Y40" s="90" t="s">
        <v>213</v>
      </c>
      <c r="Z40" s="114"/>
    </row>
    <row r="41" spans="6:26" ht="15">
      <c r="F41" s="88" t="s">
        <v>214</v>
      </c>
      <c r="L41" s="88" t="s">
        <v>215</v>
      </c>
      <c r="M41" s="89">
        <v>0</v>
      </c>
      <c r="N41" s="89">
        <v>0</v>
      </c>
      <c r="O41" s="114">
        <f t="shared" si="7"/>
        <v>0</v>
      </c>
      <c r="P41" s="89">
        <v>0</v>
      </c>
      <c r="Q41" s="114">
        <f t="shared" si="8"/>
        <v>0</v>
      </c>
      <c r="R41" s="89">
        <v>0</v>
      </c>
      <c r="S41" s="89">
        <v>0</v>
      </c>
      <c r="T41" s="89">
        <f t="shared" si="9"/>
        <v>0</v>
      </c>
      <c r="U41" s="89">
        <v>0</v>
      </c>
      <c r="V41" s="89">
        <v>0</v>
      </c>
      <c r="W41" s="89">
        <v>0</v>
      </c>
      <c r="X41" s="89">
        <v>0</v>
      </c>
      <c r="Y41" s="90" t="s">
        <v>213</v>
      </c>
      <c r="Z41" s="114"/>
    </row>
    <row r="42" spans="6:26" ht="15">
      <c r="F42" s="88" t="s">
        <v>216</v>
      </c>
      <c r="L42" s="88" t="s">
        <v>217</v>
      </c>
      <c r="M42" s="89">
        <v>0</v>
      </c>
      <c r="N42" s="89">
        <v>0</v>
      </c>
      <c r="O42" s="114">
        <f t="shared" si="7"/>
        <v>0</v>
      </c>
      <c r="P42" s="89">
        <v>13028</v>
      </c>
      <c r="Q42" s="114">
        <f t="shared" si="8"/>
        <v>13028</v>
      </c>
      <c r="R42" s="89">
        <v>0</v>
      </c>
      <c r="S42" s="89">
        <v>0</v>
      </c>
      <c r="T42" s="89">
        <f t="shared" si="9"/>
        <v>13028</v>
      </c>
      <c r="U42" s="89">
        <v>0</v>
      </c>
      <c r="V42" s="89">
        <v>0</v>
      </c>
      <c r="W42" s="89">
        <v>0</v>
      </c>
      <c r="X42" s="89">
        <v>0</v>
      </c>
      <c r="Y42" s="90" t="s">
        <v>213</v>
      </c>
      <c r="Z42" s="114"/>
    </row>
    <row r="43" spans="6:26" ht="15">
      <c r="F43" s="88" t="s">
        <v>218</v>
      </c>
      <c r="L43" s="88" t="s">
        <v>219</v>
      </c>
      <c r="M43" s="89">
        <v>0</v>
      </c>
      <c r="N43" s="89">
        <v>0</v>
      </c>
      <c r="O43" s="114">
        <f t="shared" si="7"/>
        <v>0</v>
      </c>
      <c r="P43" s="89">
        <v>0</v>
      </c>
      <c r="Q43" s="114">
        <f t="shared" si="8"/>
        <v>0</v>
      </c>
      <c r="R43" s="89">
        <v>4990</v>
      </c>
      <c r="S43" s="89">
        <v>0</v>
      </c>
      <c r="T43" s="89">
        <f t="shared" si="9"/>
        <v>4990</v>
      </c>
      <c r="U43" s="89">
        <v>0</v>
      </c>
      <c r="V43" s="89">
        <v>0</v>
      </c>
      <c r="W43" s="89">
        <v>0</v>
      </c>
      <c r="X43" s="89">
        <v>0</v>
      </c>
      <c r="Y43" s="90" t="s">
        <v>213</v>
      </c>
      <c r="Z43" s="114"/>
    </row>
    <row r="44" spans="6:26" ht="15">
      <c r="F44" s="88" t="s">
        <v>220</v>
      </c>
      <c r="L44" s="88" t="s">
        <v>221</v>
      </c>
      <c r="M44" s="89">
        <v>0</v>
      </c>
      <c r="N44" s="89">
        <v>0</v>
      </c>
      <c r="O44" s="114">
        <f t="shared" si="7"/>
        <v>0</v>
      </c>
      <c r="P44" s="89">
        <v>0</v>
      </c>
      <c r="Q44" s="114">
        <f t="shared" si="8"/>
        <v>0</v>
      </c>
      <c r="R44" s="89">
        <v>0</v>
      </c>
      <c r="S44" s="89">
        <v>0</v>
      </c>
      <c r="T44" s="89">
        <f t="shared" si="9"/>
        <v>0</v>
      </c>
      <c r="U44" s="89">
        <v>0</v>
      </c>
      <c r="V44" s="89">
        <v>0</v>
      </c>
      <c r="W44" s="89">
        <v>0</v>
      </c>
      <c r="X44" s="89">
        <v>0</v>
      </c>
      <c r="Y44" s="90" t="s">
        <v>213</v>
      </c>
      <c r="Z44" s="114"/>
    </row>
    <row r="45" spans="6:26" ht="15">
      <c r="F45" s="88" t="s">
        <v>222</v>
      </c>
      <c r="L45" s="88" t="s">
        <v>223</v>
      </c>
      <c r="M45" s="89">
        <v>0</v>
      </c>
      <c r="N45" s="89">
        <v>0</v>
      </c>
      <c r="O45" s="114">
        <f t="shared" si="7"/>
        <v>0</v>
      </c>
      <c r="P45" s="89">
        <v>0</v>
      </c>
      <c r="Q45" s="114">
        <f t="shared" si="8"/>
        <v>0</v>
      </c>
      <c r="R45" s="89">
        <v>0</v>
      </c>
      <c r="S45" s="89">
        <v>0</v>
      </c>
      <c r="T45" s="89">
        <f t="shared" si="9"/>
        <v>0</v>
      </c>
      <c r="U45" s="89">
        <v>0</v>
      </c>
      <c r="V45" s="89">
        <v>0</v>
      </c>
      <c r="W45" s="89">
        <v>0</v>
      </c>
      <c r="X45" s="89">
        <v>0</v>
      </c>
      <c r="Y45" s="90" t="s">
        <v>213</v>
      </c>
      <c r="Z45" s="114"/>
    </row>
    <row r="46" spans="1:26" s="122" customFormat="1" ht="15.75">
      <c r="A46" s="118"/>
      <c r="B46" s="118"/>
      <c r="C46" s="118"/>
      <c r="D46" s="118"/>
      <c r="E46" s="118" t="s">
        <v>209</v>
      </c>
      <c r="F46" s="119"/>
      <c r="G46" s="119"/>
      <c r="H46" s="119"/>
      <c r="I46" s="119"/>
      <c r="J46" s="119"/>
      <c r="K46" s="119" t="s">
        <v>38</v>
      </c>
      <c r="L46" s="119"/>
      <c r="M46" s="120">
        <f>SUM(M40:M45)</f>
        <v>0</v>
      </c>
      <c r="N46" s="120">
        <f>SUM(N40:N45)</f>
        <v>19</v>
      </c>
      <c r="O46" s="120">
        <f>M46+N46</f>
        <v>19</v>
      </c>
      <c r="P46" s="120">
        <f>SUM(P40:P45)</f>
        <v>13028</v>
      </c>
      <c r="Q46" s="120">
        <f>O46+P46</f>
        <v>13047</v>
      </c>
      <c r="R46" s="120">
        <f aca="true" t="shared" si="10" ref="R46:X46">SUM(R40:R45)</f>
        <v>5003</v>
      </c>
      <c r="S46" s="120">
        <f t="shared" si="10"/>
        <v>0</v>
      </c>
      <c r="T46" s="120">
        <f t="shared" si="10"/>
        <v>18050</v>
      </c>
      <c r="U46" s="120">
        <f t="shared" si="10"/>
        <v>0</v>
      </c>
      <c r="V46" s="120">
        <f t="shared" si="10"/>
        <v>0</v>
      </c>
      <c r="W46" s="120">
        <f t="shared" si="10"/>
        <v>0</v>
      </c>
      <c r="X46" s="120">
        <f t="shared" si="10"/>
        <v>0</v>
      </c>
      <c r="Y46" s="125" t="s">
        <v>213</v>
      </c>
      <c r="Z46" s="114"/>
    </row>
    <row r="47" spans="1:26" ht="15.75">
      <c r="A47" s="118"/>
      <c r="B47" s="118"/>
      <c r="C47" s="118" t="s">
        <v>191</v>
      </c>
      <c r="D47" s="118"/>
      <c r="E47" s="119"/>
      <c r="F47" s="119"/>
      <c r="G47" s="119"/>
      <c r="H47" s="119"/>
      <c r="I47" s="119" t="s">
        <v>224</v>
      </c>
      <c r="J47" s="119"/>
      <c r="K47" s="119"/>
      <c r="L47" s="119"/>
      <c r="M47" s="120">
        <f aca="true" t="shared" si="11" ref="M47:U47">M38+M46</f>
        <v>606448</v>
      </c>
      <c r="N47" s="120">
        <f t="shared" si="11"/>
        <v>16945</v>
      </c>
      <c r="O47" s="120">
        <f t="shared" si="11"/>
        <v>623393</v>
      </c>
      <c r="P47" s="120">
        <f t="shared" si="11"/>
        <v>67200</v>
      </c>
      <c r="Q47" s="120">
        <f t="shared" si="11"/>
        <v>690593</v>
      </c>
      <c r="R47" s="120">
        <f t="shared" si="11"/>
        <v>20580</v>
      </c>
      <c r="S47" s="120">
        <f t="shared" si="11"/>
        <v>0</v>
      </c>
      <c r="T47" s="120">
        <f t="shared" si="11"/>
        <v>711173</v>
      </c>
      <c r="U47" s="120">
        <f t="shared" si="11"/>
        <v>0</v>
      </c>
      <c r="V47" s="120">
        <f>SUM(V38,V46)</f>
        <v>0</v>
      </c>
      <c r="W47" s="120">
        <f>SUM(W38,W46)</f>
        <v>593748</v>
      </c>
      <c r="X47" s="120">
        <f>SUM(X38,X46)</f>
        <v>12700</v>
      </c>
      <c r="Y47" s="125"/>
      <c r="Z47" s="114"/>
    </row>
    <row r="48" spans="3:26" ht="15">
      <c r="C48" s="87" t="s">
        <v>225</v>
      </c>
      <c r="I48" s="88" t="s">
        <v>226</v>
      </c>
      <c r="O48" s="114"/>
      <c r="Q48" s="114"/>
      <c r="R48" s="89"/>
      <c r="S48" s="89"/>
      <c r="T48" s="89"/>
      <c r="U48" s="89"/>
      <c r="V48" s="89"/>
      <c r="W48" s="89"/>
      <c r="X48" s="89"/>
      <c r="Z48" s="114"/>
    </row>
    <row r="49" spans="4:26" ht="15">
      <c r="D49" s="87" t="s">
        <v>156</v>
      </c>
      <c r="J49" s="88" t="s">
        <v>227</v>
      </c>
      <c r="M49" s="89">
        <v>5000</v>
      </c>
      <c r="N49" s="89">
        <v>0</v>
      </c>
      <c r="O49" s="114">
        <f>M49+N49</f>
        <v>5000</v>
      </c>
      <c r="P49" s="89">
        <v>0</v>
      </c>
      <c r="Q49" s="114">
        <f>O49+P49</f>
        <v>5000</v>
      </c>
      <c r="R49" s="89">
        <v>0</v>
      </c>
      <c r="S49" s="89">
        <v>0</v>
      </c>
      <c r="T49" s="89">
        <v>0</v>
      </c>
      <c r="U49" s="89">
        <f>Q49+R49</f>
        <v>5000</v>
      </c>
      <c r="V49" s="89">
        <v>0</v>
      </c>
      <c r="W49" s="89">
        <v>0</v>
      </c>
      <c r="X49" s="89">
        <v>5000</v>
      </c>
      <c r="Y49" s="90" t="s">
        <v>110</v>
      </c>
      <c r="Z49" s="114"/>
    </row>
    <row r="50" spans="4:26" ht="15">
      <c r="D50" s="87" t="s">
        <v>161</v>
      </c>
      <c r="J50" s="88" t="s">
        <v>228</v>
      </c>
      <c r="M50" s="89">
        <v>208828</v>
      </c>
      <c r="N50" s="89">
        <v>0</v>
      </c>
      <c r="O50" s="114">
        <f>M50+N50</f>
        <v>208828</v>
      </c>
      <c r="P50" s="89">
        <v>0</v>
      </c>
      <c r="Q50" s="114">
        <f>O50+P50</f>
        <v>208828</v>
      </c>
      <c r="R50" s="89">
        <v>84700</v>
      </c>
      <c r="S50" s="89">
        <v>0</v>
      </c>
      <c r="T50" s="89">
        <v>69561</v>
      </c>
      <c r="U50" s="89">
        <v>84700</v>
      </c>
      <c r="V50" s="89">
        <v>0</v>
      </c>
      <c r="W50" s="89">
        <v>124128</v>
      </c>
      <c r="X50" s="89">
        <v>84700</v>
      </c>
      <c r="Y50" s="90" t="s">
        <v>113</v>
      </c>
      <c r="Z50" s="114"/>
    </row>
    <row r="51" spans="4:26" ht="15">
      <c r="D51" s="87" t="s">
        <v>229</v>
      </c>
      <c r="J51" s="88" t="s">
        <v>230</v>
      </c>
      <c r="M51" s="89">
        <v>12000</v>
      </c>
      <c r="N51" s="89">
        <v>0</v>
      </c>
      <c r="O51" s="114">
        <f>M51+N51</f>
        <v>12000</v>
      </c>
      <c r="P51" s="89">
        <v>0</v>
      </c>
      <c r="Q51" s="114">
        <f>O51+P51</f>
        <v>12000</v>
      </c>
      <c r="R51" s="89">
        <v>0</v>
      </c>
      <c r="S51" s="89">
        <v>0</v>
      </c>
      <c r="T51" s="89">
        <v>0</v>
      </c>
      <c r="U51" s="89">
        <f>Q51+R51</f>
        <v>12000</v>
      </c>
      <c r="V51" s="89">
        <v>0</v>
      </c>
      <c r="W51" s="89">
        <v>0</v>
      </c>
      <c r="X51" s="89">
        <v>12000</v>
      </c>
      <c r="Y51" s="90" t="s">
        <v>16</v>
      </c>
      <c r="Z51" s="114"/>
    </row>
    <row r="52" spans="1:26" ht="15.75">
      <c r="A52" s="118"/>
      <c r="B52" s="118"/>
      <c r="C52" s="118" t="s">
        <v>225</v>
      </c>
      <c r="D52" s="118"/>
      <c r="E52" s="119"/>
      <c r="F52" s="119"/>
      <c r="G52" s="119"/>
      <c r="H52" s="119"/>
      <c r="I52" s="119" t="s">
        <v>231</v>
      </c>
      <c r="J52" s="119"/>
      <c r="K52" s="119"/>
      <c r="L52" s="119"/>
      <c r="M52" s="120">
        <f>SUM(M49:M51)</f>
        <v>225828</v>
      </c>
      <c r="N52" s="120">
        <v>0</v>
      </c>
      <c r="O52" s="120">
        <f>M52+N52</f>
        <v>225828</v>
      </c>
      <c r="P52" s="120">
        <v>0</v>
      </c>
      <c r="Q52" s="120">
        <f>O52+P52</f>
        <v>225828</v>
      </c>
      <c r="R52" s="120">
        <f aca="true" t="shared" si="12" ref="R52:X52">SUM(R49:R51)</f>
        <v>84700</v>
      </c>
      <c r="S52" s="120">
        <f t="shared" si="12"/>
        <v>0</v>
      </c>
      <c r="T52" s="120">
        <f t="shared" si="12"/>
        <v>69561</v>
      </c>
      <c r="U52" s="120">
        <f t="shared" si="12"/>
        <v>101700</v>
      </c>
      <c r="V52" s="120">
        <f t="shared" si="12"/>
        <v>0</v>
      </c>
      <c r="W52" s="120">
        <f t="shared" si="12"/>
        <v>124128</v>
      </c>
      <c r="X52" s="120">
        <f t="shared" si="12"/>
        <v>101700</v>
      </c>
      <c r="Y52" s="131"/>
      <c r="Z52" s="114"/>
    </row>
    <row r="53" spans="1:26" s="122" customFormat="1" ht="15.75">
      <c r="A53" s="94"/>
      <c r="B53" s="94"/>
      <c r="C53" s="123" t="s">
        <v>232</v>
      </c>
      <c r="D53" s="94"/>
      <c r="E53" s="132"/>
      <c r="F53" s="132"/>
      <c r="G53" s="132"/>
      <c r="H53" s="132"/>
      <c r="I53" s="116" t="s">
        <v>233</v>
      </c>
      <c r="J53" s="132"/>
      <c r="K53" s="132"/>
      <c r="L53" s="132"/>
      <c r="M53" s="127"/>
      <c r="N53" s="127"/>
      <c r="O53" s="114"/>
      <c r="P53" s="127"/>
      <c r="Q53" s="114"/>
      <c r="R53" s="127"/>
      <c r="S53" s="127"/>
      <c r="T53" s="127"/>
      <c r="U53" s="127"/>
      <c r="V53" s="127"/>
      <c r="W53" s="127"/>
      <c r="X53" s="127"/>
      <c r="Y53" s="133"/>
      <c r="Z53" s="114"/>
    </row>
    <row r="54" spans="1:26" s="122" customFormat="1" ht="15.75">
      <c r="A54" s="94"/>
      <c r="B54" s="94"/>
      <c r="C54" s="94"/>
      <c r="D54" s="123" t="s">
        <v>156</v>
      </c>
      <c r="E54" s="116"/>
      <c r="F54" s="116"/>
      <c r="G54" s="116"/>
      <c r="H54" s="116"/>
      <c r="I54" s="116"/>
      <c r="J54" s="116" t="s">
        <v>105</v>
      </c>
      <c r="K54" s="116"/>
      <c r="L54" s="116"/>
      <c r="M54" s="89">
        <v>72693</v>
      </c>
      <c r="N54" s="89">
        <v>69366</v>
      </c>
      <c r="O54" s="114">
        <f>M54+N54</f>
        <v>142059</v>
      </c>
      <c r="P54" s="89">
        <v>131870</v>
      </c>
      <c r="Q54" s="114">
        <f>O54+P54</f>
        <v>273929</v>
      </c>
      <c r="R54" s="89">
        <v>100276</v>
      </c>
      <c r="S54" s="89">
        <v>0</v>
      </c>
      <c r="T54" s="89">
        <v>346801</v>
      </c>
      <c r="U54" s="89">
        <v>16905</v>
      </c>
      <c r="V54" s="89">
        <v>0</v>
      </c>
      <c r="W54" s="89">
        <v>9818</v>
      </c>
      <c r="X54" s="89">
        <v>62875</v>
      </c>
      <c r="Y54" s="90" t="s">
        <v>23</v>
      </c>
      <c r="Z54" s="114"/>
    </row>
    <row r="55" spans="1:26" s="122" customFormat="1" ht="15.75">
      <c r="A55" s="94"/>
      <c r="B55" s="94"/>
      <c r="C55" s="94"/>
      <c r="D55" s="123" t="s">
        <v>161</v>
      </c>
      <c r="E55" s="116"/>
      <c r="F55" s="116"/>
      <c r="G55" s="116"/>
      <c r="H55" s="116"/>
      <c r="I55" s="116"/>
      <c r="J55" s="134" t="s">
        <v>108</v>
      </c>
      <c r="L55" s="116"/>
      <c r="M55" s="89">
        <v>282582</v>
      </c>
      <c r="N55" s="89">
        <v>0</v>
      </c>
      <c r="O55" s="114">
        <f>M55+N55</f>
        <v>282582</v>
      </c>
      <c r="P55" s="89">
        <v>24074</v>
      </c>
      <c r="Q55" s="114">
        <f>O55+P55</f>
        <v>306656</v>
      </c>
      <c r="R55" s="89">
        <v>910683</v>
      </c>
      <c r="S55" s="89">
        <v>0</v>
      </c>
      <c r="T55" s="89">
        <v>560860</v>
      </c>
      <c r="U55" s="89">
        <v>836504</v>
      </c>
      <c r="V55" s="89">
        <v>0</v>
      </c>
      <c r="W55" s="89">
        <v>282582</v>
      </c>
      <c r="X55" s="89">
        <v>0</v>
      </c>
      <c r="Y55" s="90" t="s">
        <v>107</v>
      </c>
      <c r="Z55" s="114"/>
    </row>
    <row r="56" spans="1:26" s="122" customFormat="1" ht="15.75">
      <c r="A56" s="118"/>
      <c r="B56" s="118"/>
      <c r="C56" s="118" t="s">
        <v>232</v>
      </c>
      <c r="D56" s="135"/>
      <c r="E56" s="129"/>
      <c r="F56" s="129"/>
      <c r="G56" s="129"/>
      <c r="H56" s="129"/>
      <c r="I56" s="119" t="s">
        <v>234</v>
      </c>
      <c r="J56" s="129"/>
      <c r="K56" s="129"/>
      <c r="L56" s="129"/>
      <c r="M56" s="120">
        <f>SUM(M54:M55)</f>
        <v>355275</v>
      </c>
      <c r="N56" s="120">
        <f>SUM(N54:N55)</f>
        <v>69366</v>
      </c>
      <c r="O56" s="120">
        <f>M56+N56</f>
        <v>424641</v>
      </c>
      <c r="P56" s="120">
        <f>SUM(P54:P55)</f>
        <v>155944</v>
      </c>
      <c r="Q56" s="120">
        <f>O56+P56</f>
        <v>580585</v>
      </c>
      <c r="R56" s="120">
        <f aca="true" t="shared" si="13" ref="R56:X56">SUM(R54:R55)</f>
        <v>1010959</v>
      </c>
      <c r="S56" s="120">
        <f t="shared" si="13"/>
        <v>0</v>
      </c>
      <c r="T56" s="120">
        <f t="shared" si="13"/>
        <v>907661</v>
      </c>
      <c r="U56" s="120">
        <f t="shared" si="13"/>
        <v>853409</v>
      </c>
      <c r="V56" s="120">
        <f t="shared" si="13"/>
        <v>0</v>
      </c>
      <c r="W56" s="120">
        <f t="shared" si="13"/>
        <v>292400</v>
      </c>
      <c r="X56" s="120">
        <f t="shared" si="13"/>
        <v>62875</v>
      </c>
      <c r="Y56" s="125"/>
      <c r="Z56" s="114"/>
    </row>
    <row r="57" spans="1:26" s="122" customFormat="1" ht="15.75">
      <c r="A57" s="87"/>
      <c r="B57" s="87"/>
      <c r="C57" s="87" t="s">
        <v>235</v>
      </c>
      <c r="D57" s="87"/>
      <c r="E57" s="87"/>
      <c r="F57" s="88"/>
      <c r="G57" s="88"/>
      <c r="H57" s="88"/>
      <c r="I57" s="88" t="s">
        <v>236</v>
      </c>
      <c r="J57" s="88"/>
      <c r="K57" s="88"/>
      <c r="L57" s="88"/>
      <c r="M57" s="127"/>
      <c r="N57" s="127"/>
      <c r="O57" s="114"/>
      <c r="P57" s="127"/>
      <c r="Q57" s="114"/>
      <c r="R57" s="127"/>
      <c r="S57" s="127"/>
      <c r="T57" s="127"/>
      <c r="U57" s="127"/>
      <c r="V57" s="127"/>
      <c r="W57" s="127"/>
      <c r="X57" s="127"/>
      <c r="Y57" s="133"/>
      <c r="Z57" s="114"/>
    </row>
    <row r="58" spans="1:26" s="122" customFormat="1" ht="15.75">
      <c r="A58" s="87"/>
      <c r="B58" s="87"/>
      <c r="C58" s="87"/>
      <c r="D58" s="87" t="s">
        <v>156</v>
      </c>
      <c r="E58" s="87"/>
      <c r="F58" s="88"/>
      <c r="G58" s="88"/>
      <c r="H58" s="88"/>
      <c r="I58" s="88"/>
      <c r="J58" s="88" t="s">
        <v>237</v>
      </c>
      <c r="K58" s="88"/>
      <c r="L58" s="88"/>
      <c r="M58" s="89">
        <v>0</v>
      </c>
      <c r="N58" s="89">
        <v>0</v>
      </c>
      <c r="O58" s="114">
        <f>M58+N58</f>
        <v>0</v>
      </c>
      <c r="P58" s="89">
        <v>0</v>
      </c>
      <c r="Q58" s="114">
        <f>O58+P58</f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90" t="s">
        <v>238</v>
      </c>
      <c r="Z58" s="114"/>
    </row>
    <row r="59" spans="1:26" s="122" customFormat="1" ht="15.75">
      <c r="A59" s="87"/>
      <c r="B59" s="87"/>
      <c r="C59" s="87"/>
      <c r="D59" s="87" t="s">
        <v>161</v>
      </c>
      <c r="E59" s="87"/>
      <c r="F59" s="88"/>
      <c r="G59" s="88"/>
      <c r="H59" s="88"/>
      <c r="I59" s="88"/>
      <c r="J59" s="88" t="s">
        <v>117</v>
      </c>
      <c r="K59" s="88"/>
      <c r="L59" s="88"/>
      <c r="M59" s="89">
        <v>500</v>
      </c>
      <c r="N59" s="89">
        <v>0</v>
      </c>
      <c r="O59" s="114">
        <f>M59+N59</f>
        <v>500</v>
      </c>
      <c r="P59" s="89">
        <v>0</v>
      </c>
      <c r="Q59" s="114">
        <f>O59+P59</f>
        <v>500</v>
      </c>
      <c r="R59" s="89">
        <v>0</v>
      </c>
      <c r="S59" s="89">
        <v>0</v>
      </c>
      <c r="T59" s="89">
        <v>500</v>
      </c>
      <c r="U59" s="89">
        <v>0</v>
      </c>
      <c r="V59" s="89">
        <v>0</v>
      </c>
      <c r="W59" s="89">
        <v>500</v>
      </c>
      <c r="X59" s="89">
        <v>0</v>
      </c>
      <c r="Y59" s="90" t="s">
        <v>116</v>
      </c>
      <c r="Z59" s="114"/>
    </row>
    <row r="60" spans="1:26" s="140" customFormat="1" ht="15.75">
      <c r="A60" s="136"/>
      <c r="B60" s="136"/>
      <c r="C60" s="136" t="s">
        <v>235</v>
      </c>
      <c r="D60" s="136"/>
      <c r="E60" s="137"/>
      <c r="F60" s="137"/>
      <c r="G60" s="137"/>
      <c r="H60" s="137"/>
      <c r="I60" s="137" t="s">
        <v>239</v>
      </c>
      <c r="J60" s="137"/>
      <c r="K60" s="137"/>
      <c r="L60" s="137"/>
      <c r="M60" s="138">
        <f>SUM(M58:M59)</f>
        <v>500</v>
      </c>
      <c r="N60" s="138">
        <f>SUM(N58:N59)</f>
        <v>0</v>
      </c>
      <c r="O60" s="120">
        <f>M60+N60</f>
        <v>500</v>
      </c>
      <c r="P60" s="138">
        <f>SUM(P58:P59)</f>
        <v>0</v>
      </c>
      <c r="Q60" s="120">
        <f>O60+P60</f>
        <v>500</v>
      </c>
      <c r="R60" s="138">
        <f aca="true" t="shared" si="14" ref="R60:X60">SUM(R58:R59)</f>
        <v>0</v>
      </c>
      <c r="S60" s="138">
        <f t="shared" si="14"/>
        <v>0</v>
      </c>
      <c r="T60" s="138">
        <f t="shared" si="14"/>
        <v>500</v>
      </c>
      <c r="U60" s="138">
        <f t="shared" si="14"/>
        <v>0</v>
      </c>
      <c r="V60" s="138">
        <f t="shared" si="14"/>
        <v>0</v>
      </c>
      <c r="W60" s="138">
        <f t="shared" si="14"/>
        <v>500</v>
      </c>
      <c r="X60" s="138">
        <f t="shared" si="14"/>
        <v>0</v>
      </c>
      <c r="Y60" s="139"/>
      <c r="Z60" s="114"/>
    </row>
    <row r="61" spans="3:26" ht="15">
      <c r="C61" s="87" t="s">
        <v>240</v>
      </c>
      <c r="I61" s="88" t="s">
        <v>241</v>
      </c>
      <c r="O61" s="114"/>
      <c r="Q61" s="114"/>
      <c r="R61" s="89"/>
      <c r="S61" s="89"/>
      <c r="T61" s="89"/>
      <c r="U61" s="89"/>
      <c r="V61" s="89"/>
      <c r="W61" s="89"/>
      <c r="X61" s="89"/>
      <c r="Z61" s="114"/>
    </row>
    <row r="62" spans="4:26" ht="15">
      <c r="D62" s="87" t="s">
        <v>156</v>
      </c>
      <c r="J62" s="88" t="s">
        <v>242</v>
      </c>
      <c r="M62" s="89">
        <v>3100</v>
      </c>
      <c r="N62" s="89">
        <v>0</v>
      </c>
      <c r="O62" s="114">
        <f>M62+N62</f>
        <v>3100</v>
      </c>
      <c r="P62" s="89">
        <v>0</v>
      </c>
      <c r="Q62" s="114">
        <f>O62+P62</f>
        <v>3100</v>
      </c>
      <c r="R62" s="89">
        <v>0</v>
      </c>
      <c r="S62" s="89">
        <v>0</v>
      </c>
      <c r="T62" s="89">
        <v>3000</v>
      </c>
      <c r="U62" s="89">
        <v>100</v>
      </c>
      <c r="V62" s="89">
        <v>0</v>
      </c>
      <c r="W62" s="89">
        <v>3100</v>
      </c>
      <c r="X62" s="89">
        <v>0</v>
      </c>
      <c r="Y62" s="90" t="s">
        <v>119</v>
      </c>
      <c r="Z62" s="114"/>
    </row>
    <row r="63" spans="4:26" ht="15">
      <c r="D63" s="87" t="s">
        <v>161</v>
      </c>
      <c r="J63" s="88" t="s">
        <v>243</v>
      </c>
      <c r="M63" s="89">
        <v>0</v>
      </c>
      <c r="N63" s="89">
        <v>0</v>
      </c>
      <c r="O63" s="114">
        <f>M63+N63</f>
        <v>0</v>
      </c>
      <c r="P63" s="89">
        <v>0</v>
      </c>
      <c r="Q63" s="114">
        <f>O63+P63</f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90" t="s">
        <v>119</v>
      </c>
      <c r="Z63" s="114"/>
    </row>
    <row r="64" spans="1:26" s="122" customFormat="1" ht="15.75">
      <c r="A64" s="118"/>
      <c r="B64" s="118"/>
      <c r="C64" s="118" t="s">
        <v>240</v>
      </c>
      <c r="D64" s="118"/>
      <c r="E64" s="119"/>
      <c r="F64" s="119"/>
      <c r="G64" s="119"/>
      <c r="H64" s="119"/>
      <c r="I64" s="119" t="s">
        <v>244</v>
      </c>
      <c r="J64" s="119"/>
      <c r="K64" s="119"/>
      <c r="L64" s="119"/>
      <c r="M64" s="120">
        <f>SUM(M62:M63)</f>
        <v>3100</v>
      </c>
      <c r="N64" s="120">
        <f>SUM(N62:N63)</f>
        <v>0</v>
      </c>
      <c r="O64" s="120">
        <f>M64+N64</f>
        <v>3100</v>
      </c>
      <c r="P64" s="120">
        <f>SUM(P62:P63)</f>
        <v>0</v>
      </c>
      <c r="Q64" s="120">
        <f>O64+P64</f>
        <v>3100</v>
      </c>
      <c r="R64" s="120">
        <f aca="true" t="shared" si="15" ref="R64:X64">SUM(R62:R63)</f>
        <v>0</v>
      </c>
      <c r="S64" s="120">
        <f t="shared" si="15"/>
        <v>0</v>
      </c>
      <c r="T64" s="120">
        <f t="shared" si="15"/>
        <v>3000</v>
      </c>
      <c r="U64" s="120">
        <f t="shared" si="15"/>
        <v>100</v>
      </c>
      <c r="V64" s="120">
        <f t="shared" si="15"/>
        <v>0</v>
      </c>
      <c r="W64" s="120">
        <f t="shared" si="15"/>
        <v>3100</v>
      </c>
      <c r="X64" s="120">
        <f t="shared" si="15"/>
        <v>0</v>
      </c>
      <c r="Y64" s="125"/>
      <c r="Z64" s="114"/>
    </row>
    <row r="65" spans="1:26" s="122" customFormat="1" ht="15.75">
      <c r="A65" s="118" t="s">
        <v>156</v>
      </c>
      <c r="B65" s="118"/>
      <c r="C65" s="118"/>
      <c r="D65" s="118"/>
      <c r="E65" s="118"/>
      <c r="F65" s="119"/>
      <c r="G65" s="119"/>
      <c r="H65" s="119" t="s">
        <v>245</v>
      </c>
      <c r="I65" s="119"/>
      <c r="J65" s="119"/>
      <c r="K65" s="119"/>
      <c r="L65" s="119"/>
      <c r="M65" s="120">
        <f aca="true" t="shared" si="16" ref="M65:X65">SUM(M30+M47+M52+M56+M60+M64)</f>
        <v>2071549</v>
      </c>
      <c r="N65" s="120">
        <f t="shared" si="16"/>
        <v>86311</v>
      </c>
      <c r="O65" s="120">
        <f t="shared" si="16"/>
        <v>2157860</v>
      </c>
      <c r="P65" s="120">
        <f t="shared" si="16"/>
        <v>223144</v>
      </c>
      <c r="Q65" s="120">
        <f t="shared" si="16"/>
        <v>2381004</v>
      </c>
      <c r="R65" s="120">
        <f t="shared" si="16"/>
        <v>1161535</v>
      </c>
      <c r="S65" s="120">
        <f t="shared" si="16"/>
        <v>0</v>
      </c>
      <c r="T65" s="120">
        <f t="shared" si="16"/>
        <v>2567997</v>
      </c>
      <c r="U65" s="120">
        <f t="shared" si="16"/>
        <v>1018809</v>
      </c>
      <c r="V65" s="120">
        <f t="shared" si="16"/>
        <v>0</v>
      </c>
      <c r="W65" s="120">
        <f t="shared" si="16"/>
        <v>1812274</v>
      </c>
      <c r="X65" s="120">
        <f t="shared" si="16"/>
        <v>259275</v>
      </c>
      <c r="Y65" s="125"/>
      <c r="Z65" s="114"/>
    </row>
    <row r="66" spans="1:26" ht="15">
      <c r="A66" s="123" t="s">
        <v>161</v>
      </c>
      <c r="B66" s="123"/>
      <c r="C66" s="123"/>
      <c r="D66" s="123"/>
      <c r="E66" s="123"/>
      <c r="F66" s="116"/>
      <c r="G66" s="116" t="s">
        <v>246</v>
      </c>
      <c r="H66" s="116"/>
      <c r="I66" s="116"/>
      <c r="J66" s="116"/>
      <c r="K66" s="116"/>
      <c r="L66" s="116"/>
      <c r="Q66" s="114"/>
      <c r="R66" s="89"/>
      <c r="S66" s="89"/>
      <c r="T66" s="89"/>
      <c r="U66" s="89"/>
      <c r="V66" s="89"/>
      <c r="W66" s="89"/>
      <c r="X66" s="89"/>
      <c r="Z66" s="114"/>
    </row>
    <row r="67" spans="1:26" s="122" customFormat="1" ht="15.75">
      <c r="A67" s="87"/>
      <c r="B67" s="87"/>
      <c r="C67" s="87" t="s">
        <v>158</v>
      </c>
      <c r="D67" s="87"/>
      <c r="E67" s="87"/>
      <c r="F67" s="88"/>
      <c r="G67" s="88"/>
      <c r="H67" s="88"/>
      <c r="I67" s="88" t="s">
        <v>159</v>
      </c>
      <c r="J67" s="88"/>
      <c r="K67" s="88"/>
      <c r="L67" s="88"/>
      <c r="M67" s="127"/>
      <c r="N67" s="127"/>
      <c r="O67" s="127"/>
      <c r="P67" s="127"/>
      <c r="Q67" s="114"/>
      <c r="R67" s="127"/>
      <c r="S67" s="127"/>
      <c r="T67" s="127"/>
      <c r="U67" s="127"/>
      <c r="V67" s="127"/>
      <c r="W67" s="127"/>
      <c r="X67" s="127"/>
      <c r="Y67" s="133"/>
      <c r="Z67" s="114"/>
    </row>
    <row r="68" spans="1:26" s="122" customFormat="1" ht="15.75">
      <c r="A68" s="87"/>
      <c r="B68" s="87"/>
      <c r="C68" s="87"/>
      <c r="D68" s="87" t="s">
        <v>156</v>
      </c>
      <c r="E68" s="87"/>
      <c r="F68" s="88"/>
      <c r="G68" s="88"/>
      <c r="H68" s="88"/>
      <c r="I68" s="88"/>
      <c r="J68" s="88" t="s">
        <v>247</v>
      </c>
      <c r="K68" s="88"/>
      <c r="L68" s="88"/>
      <c r="M68" s="89">
        <v>11090</v>
      </c>
      <c r="N68" s="89">
        <v>0</v>
      </c>
      <c r="O68" s="89">
        <f>M68+N68</f>
        <v>11090</v>
      </c>
      <c r="P68" s="89">
        <v>0</v>
      </c>
      <c r="Q68" s="114">
        <f>O68+P68</f>
        <v>11090</v>
      </c>
      <c r="R68" s="89">
        <v>0</v>
      </c>
      <c r="S68" s="89">
        <v>0</v>
      </c>
      <c r="T68" s="89">
        <v>0</v>
      </c>
      <c r="U68" s="89">
        <v>11090</v>
      </c>
      <c r="V68" s="89">
        <v>0</v>
      </c>
      <c r="W68" s="89">
        <v>0</v>
      </c>
      <c r="X68" s="89">
        <v>11090</v>
      </c>
      <c r="Y68" s="90" t="s">
        <v>16</v>
      </c>
      <c r="Z68" s="114"/>
    </row>
    <row r="69" spans="1:26" s="122" customFormat="1" ht="15.75">
      <c r="A69" s="118"/>
      <c r="B69" s="118"/>
      <c r="C69" s="118" t="s">
        <v>158</v>
      </c>
      <c r="D69" s="118"/>
      <c r="E69" s="118"/>
      <c r="F69" s="119"/>
      <c r="G69" s="119"/>
      <c r="H69" s="119"/>
      <c r="I69" s="119" t="s">
        <v>248</v>
      </c>
      <c r="J69" s="119"/>
      <c r="K69" s="119"/>
      <c r="L69" s="119"/>
      <c r="M69" s="120">
        <f>SUM(M68)</f>
        <v>11090</v>
      </c>
      <c r="N69" s="120">
        <f aca="true" t="shared" si="17" ref="N69:X69">SUM(N68)</f>
        <v>0</v>
      </c>
      <c r="O69" s="120">
        <f t="shared" si="17"/>
        <v>11090</v>
      </c>
      <c r="P69" s="120">
        <f t="shared" si="17"/>
        <v>0</v>
      </c>
      <c r="Q69" s="120">
        <f t="shared" si="17"/>
        <v>11090</v>
      </c>
      <c r="R69" s="120">
        <f t="shared" si="17"/>
        <v>0</v>
      </c>
      <c r="S69" s="120">
        <f t="shared" si="17"/>
        <v>0</v>
      </c>
      <c r="T69" s="120">
        <f t="shared" si="17"/>
        <v>0</v>
      </c>
      <c r="U69" s="120">
        <f t="shared" si="17"/>
        <v>11090</v>
      </c>
      <c r="V69" s="120">
        <f t="shared" si="17"/>
        <v>0</v>
      </c>
      <c r="W69" s="120">
        <f t="shared" si="17"/>
        <v>0</v>
      </c>
      <c r="X69" s="120">
        <f t="shared" si="17"/>
        <v>11090</v>
      </c>
      <c r="Y69" s="125" t="s">
        <v>16</v>
      </c>
      <c r="Z69" s="114"/>
    </row>
    <row r="70" spans="1:26" s="122" customFormat="1" ht="15.75">
      <c r="A70" s="141"/>
      <c r="B70" s="141"/>
      <c r="C70" s="123" t="s">
        <v>232</v>
      </c>
      <c r="D70" s="94"/>
      <c r="E70" s="132"/>
      <c r="F70" s="132"/>
      <c r="G70" s="132"/>
      <c r="H70" s="132"/>
      <c r="I70" s="116" t="s">
        <v>233</v>
      </c>
      <c r="J70" s="132"/>
      <c r="K70" s="132"/>
      <c r="L70" s="132"/>
      <c r="M70" s="127"/>
      <c r="N70" s="127"/>
      <c r="O70" s="127"/>
      <c r="P70" s="127"/>
      <c r="Q70" s="114"/>
      <c r="R70" s="127"/>
      <c r="S70" s="127"/>
      <c r="T70" s="127"/>
      <c r="U70" s="127"/>
      <c r="V70" s="127"/>
      <c r="W70" s="127"/>
      <c r="X70" s="127"/>
      <c r="Y70" s="133"/>
      <c r="Z70" s="114"/>
    </row>
    <row r="71" spans="1:26" s="122" customFormat="1" ht="15.75">
      <c r="A71" s="141"/>
      <c r="B71" s="141"/>
      <c r="C71" s="94"/>
      <c r="D71" s="123" t="s">
        <v>156</v>
      </c>
      <c r="E71" s="116"/>
      <c r="F71" s="116"/>
      <c r="G71" s="116"/>
      <c r="H71" s="116"/>
      <c r="I71" s="116"/>
      <c r="J71" s="116" t="s">
        <v>105</v>
      </c>
      <c r="K71" s="116"/>
      <c r="L71" s="116"/>
      <c r="M71" s="89">
        <v>12067</v>
      </c>
      <c r="N71" s="89">
        <v>0</v>
      </c>
      <c r="O71" s="89">
        <f>M71+N71</f>
        <v>12067</v>
      </c>
      <c r="P71" s="89">
        <v>0</v>
      </c>
      <c r="Q71" s="114">
        <f>O71+P71</f>
        <v>12067</v>
      </c>
      <c r="R71" s="89">
        <v>6272</v>
      </c>
      <c r="S71" s="89">
        <v>0</v>
      </c>
      <c r="T71" s="89">
        <f>11115+2924+2822</f>
        <v>16861</v>
      </c>
      <c r="U71" s="89">
        <v>526</v>
      </c>
      <c r="V71" s="89">
        <v>0</v>
      </c>
      <c r="W71" s="89">
        <v>12067</v>
      </c>
      <c r="X71" s="89">
        <v>0</v>
      </c>
      <c r="Y71" s="90" t="s">
        <v>23</v>
      </c>
      <c r="Z71" s="114"/>
    </row>
    <row r="72" spans="1:26" s="122" customFormat="1" ht="15.75">
      <c r="A72" s="141"/>
      <c r="B72" s="141"/>
      <c r="C72" s="94"/>
      <c r="D72" s="123" t="s">
        <v>161</v>
      </c>
      <c r="E72" s="116"/>
      <c r="F72" s="116"/>
      <c r="G72" s="116"/>
      <c r="H72" s="116"/>
      <c r="I72" s="116"/>
      <c r="J72" s="134" t="s">
        <v>108</v>
      </c>
      <c r="L72" s="116"/>
      <c r="M72" s="89">
        <v>0</v>
      </c>
      <c r="N72" s="89">
        <v>0</v>
      </c>
      <c r="O72" s="89">
        <f>M72+N72</f>
        <v>0</v>
      </c>
      <c r="P72" s="89">
        <v>0</v>
      </c>
      <c r="Q72" s="114">
        <f>O72+P72</f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90" t="s">
        <v>107</v>
      </c>
      <c r="Z72" s="114"/>
    </row>
    <row r="73" spans="1:26" s="122" customFormat="1" ht="15.75">
      <c r="A73" s="142"/>
      <c r="B73" s="142"/>
      <c r="C73" s="118" t="s">
        <v>232</v>
      </c>
      <c r="D73" s="118"/>
      <c r="E73" s="119"/>
      <c r="F73" s="119"/>
      <c r="G73" s="119"/>
      <c r="H73" s="119"/>
      <c r="I73" s="119" t="s">
        <v>234</v>
      </c>
      <c r="J73" s="119"/>
      <c r="K73" s="119"/>
      <c r="L73" s="119"/>
      <c r="M73" s="143">
        <f>SUM(M71:M72)</f>
        <v>12067</v>
      </c>
      <c r="N73" s="143">
        <f aca="true" t="shared" si="18" ref="N73:X73">SUM(N71:N72)</f>
        <v>0</v>
      </c>
      <c r="O73" s="143">
        <f t="shared" si="18"/>
        <v>12067</v>
      </c>
      <c r="P73" s="143">
        <f t="shared" si="18"/>
        <v>0</v>
      </c>
      <c r="Q73" s="143">
        <f t="shared" si="18"/>
        <v>12067</v>
      </c>
      <c r="R73" s="143">
        <f t="shared" si="18"/>
        <v>6272</v>
      </c>
      <c r="S73" s="143">
        <f t="shared" si="18"/>
        <v>0</v>
      </c>
      <c r="T73" s="143">
        <f t="shared" si="18"/>
        <v>16861</v>
      </c>
      <c r="U73" s="143">
        <f t="shared" si="18"/>
        <v>526</v>
      </c>
      <c r="V73" s="143">
        <f t="shared" si="18"/>
        <v>0</v>
      </c>
      <c r="W73" s="143">
        <f t="shared" si="18"/>
        <v>12067</v>
      </c>
      <c r="X73" s="143">
        <f t="shared" si="18"/>
        <v>0</v>
      </c>
      <c r="Y73" s="125"/>
      <c r="Z73" s="114"/>
    </row>
    <row r="74" spans="1:26" s="122" customFormat="1" ht="15.75">
      <c r="A74" s="87"/>
      <c r="B74" s="87"/>
      <c r="C74" s="87" t="s">
        <v>235</v>
      </c>
      <c r="D74" s="87"/>
      <c r="E74" s="87"/>
      <c r="F74" s="88"/>
      <c r="G74" s="88"/>
      <c r="H74" s="88"/>
      <c r="I74" s="88" t="s">
        <v>236</v>
      </c>
      <c r="J74" s="88"/>
      <c r="K74" s="88"/>
      <c r="L74" s="88"/>
      <c r="M74" s="127"/>
      <c r="N74" s="127"/>
      <c r="O74" s="127"/>
      <c r="P74" s="127"/>
      <c r="Q74" s="114"/>
      <c r="R74" s="127"/>
      <c r="S74" s="127"/>
      <c r="T74" s="127"/>
      <c r="U74" s="127"/>
      <c r="V74" s="127"/>
      <c r="W74" s="127"/>
      <c r="X74" s="127"/>
      <c r="Y74" s="133"/>
      <c r="Z74" s="114"/>
    </row>
    <row r="75" spans="1:26" s="122" customFormat="1" ht="15.75">
      <c r="A75" s="87"/>
      <c r="B75" s="87"/>
      <c r="C75" s="87"/>
      <c r="D75" s="87" t="s">
        <v>156</v>
      </c>
      <c r="E75" s="87"/>
      <c r="F75" s="88"/>
      <c r="G75" s="88"/>
      <c r="H75" s="88"/>
      <c r="I75" s="88"/>
      <c r="J75" s="88" t="s">
        <v>249</v>
      </c>
      <c r="K75" s="88"/>
      <c r="L75" s="88"/>
      <c r="M75" s="89">
        <v>0</v>
      </c>
      <c r="N75" s="89">
        <v>0</v>
      </c>
      <c r="O75" s="89">
        <f>M75+N75</f>
        <v>0</v>
      </c>
      <c r="P75" s="89">
        <v>0</v>
      </c>
      <c r="Q75" s="114">
        <f>O75+P75</f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90" t="s">
        <v>238</v>
      </c>
      <c r="Z75" s="114"/>
    </row>
    <row r="76" spans="1:26" s="122" customFormat="1" ht="15.75">
      <c r="A76" s="87"/>
      <c r="B76" s="87"/>
      <c r="C76" s="87"/>
      <c r="D76" s="87" t="s">
        <v>161</v>
      </c>
      <c r="E76" s="87"/>
      <c r="F76" s="88"/>
      <c r="G76" s="88"/>
      <c r="H76" s="88"/>
      <c r="I76" s="88"/>
      <c r="J76" s="88" t="s">
        <v>250</v>
      </c>
      <c r="K76" s="88"/>
      <c r="L76" s="88"/>
      <c r="M76" s="144">
        <v>0</v>
      </c>
      <c r="N76" s="89">
        <v>0</v>
      </c>
      <c r="O76" s="89">
        <f>M76+N76</f>
        <v>0</v>
      </c>
      <c r="P76" s="89">
        <v>0</v>
      </c>
      <c r="Q76" s="114">
        <f>O76+P76</f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90" t="s">
        <v>116</v>
      </c>
      <c r="Z76" s="114"/>
    </row>
    <row r="77" spans="1:26" s="122" customFormat="1" ht="15.75">
      <c r="A77" s="118"/>
      <c r="B77" s="118"/>
      <c r="C77" s="118" t="s">
        <v>235</v>
      </c>
      <c r="D77" s="118"/>
      <c r="E77" s="118"/>
      <c r="F77" s="119"/>
      <c r="G77" s="119"/>
      <c r="H77" s="119"/>
      <c r="I77" s="119" t="s">
        <v>251</v>
      </c>
      <c r="J77" s="119"/>
      <c r="K77" s="119"/>
      <c r="L77" s="119"/>
      <c r="M77" s="120">
        <f>SUM(M75:M76)</f>
        <v>0</v>
      </c>
      <c r="N77" s="120">
        <f aca="true" t="shared" si="19" ref="N77:X77">SUM(N75:N76)</f>
        <v>0</v>
      </c>
      <c r="O77" s="120">
        <f t="shared" si="19"/>
        <v>0</v>
      </c>
      <c r="P77" s="120">
        <f t="shared" si="19"/>
        <v>0</v>
      </c>
      <c r="Q77" s="120">
        <f t="shared" si="19"/>
        <v>0</v>
      </c>
      <c r="R77" s="120">
        <f t="shared" si="19"/>
        <v>0</v>
      </c>
      <c r="S77" s="120">
        <f t="shared" si="19"/>
        <v>0</v>
      </c>
      <c r="T77" s="120">
        <f t="shared" si="19"/>
        <v>0</v>
      </c>
      <c r="U77" s="120">
        <f t="shared" si="19"/>
        <v>0</v>
      </c>
      <c r="V77" s="120">
        <f t="shared" si="19"/>
        <v>0</v>
      </c>
      <c r="W77" s="120">
        <f t="shared" si="19"/>
        <v>0</v>
      </c>
      <c r="X77" s="120">
        <f t="shared" si="19"/>
        <v>0</v>
      </c>
      <c r="Y77" s="125"/>
      <c r="Z77" s="114"/>
    </row>
    <row r="78" spans="1:26" s="122" customFormat="1" ht="15.75">
      <c r="A78" s="118" t="s">
        <v>161</v>
      </c>
      <c r="B78" s="118"/>
      <c r="C78" s="118"/>
      <c r="D78" s="118"/>
      <c r="E78" s="118"/>
      <c r="F78" s="119"/>
      <c r="G78" s="129"/>
      <c r="H78" s="119" t="s">
        <v>252</v>
      </c>
      <c r="I78" s="119"/>
      <c r="J78" s="119"/>
      <c r="K78" s="119"/>
      <c r="L78" s="119"/>
      <c r="M78" s="120">
        <f>SUM(M69+M73+M77)</f>
        <v>23157</v>
      </c>
      <c r="N78" s="120">
        <f aca="true" t="shared" si="20" ref="N78:X78">SUM(N69+N73+N77)</f>
        <v>0</v>
      </c>
      <c r="O78" s="120">
        <f t="shared" si="20"/>
        <v>23157</v>
      </c>
      <c r="P78" s="120">
        <f t="shared" si="20"/>
        <v>0</v>
      </c>
      <c r="Q78" s="120">
        <f t="shared" si="20"/>
        <v>23157</v>
      </c>
      <c r="R78" s="120">
        <f t="shared" si="20"/>
        <v>6272</v>
      </c>
      <c r="S78" s="120">
        <f t="shared" si="20"/>
        <v>0</v>
      </c>
      <c r="T78" s="120">
        <f t="shared" si="20"/>
        <v>16861</v>
      </c>
      <c r="U78" s="120">
        <f t="shared" si="20"/>
        <v>11616</v>
      </c>
      <c r="V78" s="120">
        <f t="shared" si="20"/>
        <v>0</v>
      </c>
      <c r="W78" s="120">
        <f t="shared" si="20"/>
        <v>12067</v>
      </c>
      <c r="X78" s="120">
        <f t="shared" si="20"/>
        <v>11090</v>
      </c>
      <c r="Y78" s="125"/>
      <c r="Z78" s="114"/>
    </row>
    <row r="79" spans="1:26" ht="15">
      <c r="A79" s="87" t="s">
        <v>229</v>
      </c>
      <c r="G79" s="88" t="s">
        <v>253</v>
      </c>
      <c r="Q79" s="114"/>
      <c r="R79" s="89"/>
      <c r="S79" s="89"/>
      <c r="T79" s="89"/>
      <c r="U79" s="89"/>
      <c r="V79" s="89"/>
      <c r="W79" s="89"/>
      <c r="X79" s="89"/>
      <c r="Z79" s="114"/>
    </row>
    <row r="80" spans="3:26" ht="15">
      <c r="C80" s="87" t="s">
        <v>158</v>
      </c>
      <c r="I80" s="88" t="s">
        <v>159</v>
      </c>
      <c r="Q80" s="114"/>
      <c r="R80" s="89"/>
      <c r="S80" s="89"/>
      <c r="T80" s="89"/>
      <c r="U80" s="89"/>
      <c r="V80" s="89"/>
      <c r="W80" s="89"/>
      <c r="X80" s="89"/>
      <c r="Z80" s="114"/>
    </row>
    <row r="81" spans="4:26" ht="15">
      <c r="D81" s="87" t="s">
        <v>156</v>
      </c>
      <c r="J81" s="88" t="s">
        <v>247</v>
      </c>
      <c r="M81" s="89">
        <v>4684</v>
      </c>
      <c r="N81" s="89">
        <v>0</v>
      </c>
      <c r="O81" s="89">
        <f>M81+N81</f>
        <v>4684</v>
      </c>
      <c r="P81" s="89">
        <v>0</v>
      </c>
      <c r="Q81" s="114">
        <f>O81+P81</f>
        <v>4684</v>
      </c>
      <c r="R81" s="89">
        <v>1500</v>
      </c>
      <c r="S81" s="89">
        <v>0</v>
      </c>
      <c r="T81" s="89">
        <f>Q81+R81</f>
        <v>6184</v>
      </c>
      <c r="U81" s="89">
        <v>0</v>
      </c>
      <c r="V81" s="89">
        <v>0</v>
      </c>
      <c r="W81" s="89">
        <v>4684</v>
      </c>
      <c r="X81" s="89">
        <v>0</v>
      </c>
      <c r="Y81" s="90" t="s">
        <v>16</v>
      </c>
      <c r="Z81" s="114"/>
    </row>
    <row r="82" spans="1:26" s="122" customFormat="1" ht="15.75">
      <c r="A82" s="118"/>
      <c r="B82" s="118"/>
      <c r="C82" s="118" t="s">
        <v>158</v>
      </c>
      <c r="D82" s="118"/>
      <c r="E82" s="118"/>
      <c r="F82" s="119"/>
      <c r="G82" s="119"/>
      <c r="H82" s="119"/>
      <c r="I82" s="119" t="s">
        <v>248</v>
      </c>
      <c r="J82" s="119"/>
      <c r="K82" s="119"/>
      <c r="L82" s="119"/>
      <c r="M82" s="120">
        <f>SUM(M81)</f>
        <v>4684</v>
      </c>
      <c r="N82" s="120">
        <f>SUM(N81)</f>
        <v>0</v>
      </c>
      <c r="O82" s="120">
        <f>M82+N82</f>
        <v>4684</v>
      </c>
      <c r="P82" s="120">
        <v>0</v>
      </c>
      <c r="Q82" s="120">
        <f>O82+P82</f>
        <v>4684</v>
      </c>
      <c r="R82" s="120">
        <f aca="true" t="shared" si="21" ref="R82:X82">SUM(R81)</f>
        <v>1500</v>
      </c>
      <c r="S82" s="120">
        <f t="shared" si="21"/>
        <v>0</v>
      </c>
      <c r="T82" s="120">
        <f t="shared" si="21"/>
        <v>6184</v>
      </c>
      <c r="U82" s="120">
        <f t="shared" si="21"/>
        <v>0</v>
      </c>
      <c r="V82" s="120">
        <f t="shared" si="21"/>
        <v>0</v>
      </c>
      <c r="W82" s="120">
        <f t="shared" si="21"/>
        <v>4684</v>
      </c>
      <c r="X82" s="120">
        <f t="shared" si="21"/>
        <v>0</v>
      </c>
      <c r="Y82" s="125"/>
      <c r="Z82" s="114"/>
    </row>
    <row r="83" spans="1:26" ht="15.75">
      <c r="A83" s="141"/>
      <c r="B83" s="141"/>
      <c r="C83" s="123" t="s">
        <v>232</v>
      </c>
      <c r="D83" s="94"/>
      <c r="E83" s="132"/>
      <c r="F83" s="132"/>
      <c r="G83" s="132"/>
      <c r="H83" s="132"/>
      <c r="I83" s="116" t="s">
        <v>233</v>
      </c>
      <c r="J83" s="132"/>
      <c r="K83" s="132"/>
      <c r="L83" s="132"/>
      <c r="Q83" s="114"/>
      <c r="R83" s="89"/>
      <c r="S83" s="89"/>
      <c r="T83" s="89"/>
      <c r="U83" s="89"/>
      <c r="V83" s="89"/>
      <c r="W83" s="89"/>
      <c r="X83" s="89"/>
      <c r="Z83" s="114"/>
    </row>
    <row r="84" spans="1:26" ht="15.75">
      <c r="A84" s="141"/>
      <c r="B84" s="141"/>
      <c r="C84" s="94"/>
      <c r="D84" s="123" t="s">
        <v>156</v>
      </c>
      <c r="E84" s="116"/>
      <c r="F84" s="116"/>
      <c r="G84" s="116"/>
      <c r="H84" s="116"/>
      <c r="I84" s="116"/>
      <c r="J84" s="116" t="s">
        <v>105</v>
      </c>
      <c r="K84" s="116"/>
      <c r="L84" s="116"/>
      <c r="M84" s="89">
        <v>0</v>
      </c>
      <c r="N84" s="89">
        <v>0</v>
      </c>
      <c r="O84" s="89">
        <f>M84+N84</f>
        <v>0</v>
      </c>
      <c r="P84" s="89">
        <v>0</v>
      </c>
      <c r="Q84" s="114">
        <f>O84+P84</f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90" t="s">
        <v>23</v>
      </c>
      <c r="Z84" s="114"/>
    </row>
    <row r="85" spans="1:26" ht="15.75">
      <c r="A85" s="141"/>
      <c r="B85" s="141"/>
      <c r="C85" s="94"/>
      <c r="D85" s="123" t="s">
        <v>161</v>
      </c>
      <c r="E85" s="116"/>
      <c r="F85" s="116"/>
      <c r="G85" s="116"/>
      <c r="H85" s="116"/>
      <c r="I85" s="116"/>
      <c r="J85" s="134" t="s">
        <v>108</v>
      </c>
      <c r="K85" s="122"/>
      <c r="L85" s="116"/>
      <c r="M85" s="89">
        <v>0</v>
      </c>
      <c r="N85" s="89">
        <v>0</v>
      </c>
      <c r="O85" s="89">
        <f>M85+N85</f>
        <v>0</v>
      </c>
      <c r="P85" s="89">
        <v>0</v>
      </c>
      <c r="Q85" s="114">
        <f>O85+P85</f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90" t="s">
        <v>107</v>
      </c>
      <c r="Z85" s="114"/>
    </row>
    <row r="86" spans="1:26" s="122" customFormat="1" ht="15.75">
      <c r="A86" s="142"/>
      <c r="B86" s="142"/>
      <c r="C86" s="118" t="s">
        <v>232</v>
      </c>
      <c r="D86" s="118"/>
      <c r="E86" s="119"/>
      <c r="F86" s="119"/>
      <c r="G86" s="119"/>
      <c r="H86" s="119"/>
      <c r="I86" s="119" t="s">
        <v>234</v>
      </c>
      <c r="J86" s="119"/>
      <c r="K86" s="119"/>
      <c r="L86" s="119"/>
      <c r="M86" s="143">
        <f>SUM(M84:M85)</f>
        <v>0</v>
      </c>
      <c r="N86" s="143">
        <f aca="true" t="shared" si="22" ref="N86:X86">SUM(N84:N85)</f>
        <v>0</v>
      </c>
      <c r="O86" s="143">
        <f t="shared" si="22"/>
        <v>0</v>
      </c>
      <c r="P86" s="143">
        <f t="shared" si="22"/>
        <v>0</v>
      </c>
      <c r="Q86" s="143">
        <f t="shared" si="22"/>
        <v>0</v>
      </c>
      <c r="R86" s="143">
        <f t="shared" si="22"/>
        <v>0</v>
      </c>
      <c r="S86" s="143">
        <f t="shared" si="22"/>
        <v>0</v>
      </c>
      <c r="T86" s="143">
        <f t="shared" si="22"/>
        <v>0</v>
      </c>
      <c r="U86" s="143">
        <f t="shared" si="22"/>
        <v>0</v>
      </c>
      <c r="V86" s="143">
        <f t="shared" si="22"/>
        <v>0</v>
      </c>
      <c r="W86" s="143">
        <f t="shared" si="22"/>
        <v>0</v>
      </c>
      <c r="X86" s="143">
        <f t="shared" si="22"/>
        <v>0</v>
      </c>
      <c r="Y86" s="125"/>
      <c r="Z86" s="114"/>
    </row>
    <row r="87" spans="3:26" ht="15.75" customHeight="1">
      <c r="C87" s="87" t="s">
        <v>235</v>
      </c>
      <c r="I87" s="88" t="s">
        <v>236</v>
      </c>
      <c r="Q87" s="114"/>
      <c r="R87" s="89"/>
      <c r="S87" s="89"/>
      <c r="T87" s="89"/>
      <c r="U87" s="89"/>
      <c r="V87" s="89"/>
      <c r="W87" s="89"/>
      <c r="X87" s="89"/>
      <c r="Z87" s="114"/>
    </row>
    <row r="88" spans="4:26" ht="15">
      <c r="D88" s="87" t="s">
        <v>156</v>
      </c>
      <c r="J88" s="88" t="s">
        <v>249</v>
      </c>
      <c r="M88" s="89">
        <v>0</v>
      </c>
      <c r="N88" s="89">
        <v>0</v>
      </c>
      <c r="O88" s="89">
        <f>M88+N88</f>
        <v>0</v>
      </c>
      <c r="P88" s="89">
        <v>0</v>
      </c>
      <c r="Q88" s="114">
        <f>O88+P88</f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90" t="s">
        <v>238</v>
      </c>
      <c r="Z88" s="114"/>
    </row>
    <row r="89" spans="4:26" ht="15">
      <c r="D89" s="87" t="s">
        <v>161</v>
      </c>
      <c r="J89" s="88" t="s">
        <v>250</v>
      </c>
      <c r="M89" s="144">
        <v>0</v>
      </c>
      <c r="N89" s="89">
        <v>0</v>
      </c>
      <c r="O89" s="89">
        <f>M89+N89</f>
        <v>0</v>
      </c>
      <c r="P89" s="89">
        <v>0</v>
      </c>
      <c r="Q89" s="114">
        <f>O89+P89</f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90" t="s">
        <v>116</v>
      </c>
      <c r="Z89" s="114"/>
    </row>
    <row r="90" spans="1:26" s="122" customFormat="1" ht="15.75">
      <c r="A90" s="118"/>
      <c r="B90" s="118"/>
      <c r="C90" s="118" t="s">
        <v>235</v>
      </c>
      <c r="D90" s="118"/>
      <c r="E90" s="118"/>
      <c r="F90" s="119"/>
      <c r="G90" s="119"/>
      <c r="H90" s="119"/>
      <c r="I90" s="119" t="s">
        <v>251</v>
      </c>
      <c r="J90" s="119"/>
      <c r="K90" s="119"/>
      <c r="L90" s="119"/>
      <c r="M90" s="120">
        <f>SUM(M88:M89)</f>
        <v>0</v>
      </c>
      <c r="N90" s="120">
        <f aca="true" t="shared" si="23" ref="N90:X90">SUM(N88:N89)</f>
        <v>0</v>
      </c>
      <c r="O90" s="120">
        <f t="shared" si="23"/>
        <v>0</v>
      </c>
      <c r="P90" s="120">
        <f t="shared" si="23"/>
        <v>0</v>
      </c>
      <c r="Q90" s="120">
        <f t="shared" si="23"/>
        <v>0</v>
      </c>
      <c r="R90" s="120">
        <f t="shared" si="23"/>
        <v>0</v>
      </c>
      <c r="S90" s="120">
        <f t="shared" si="23"/>
        <v>0</v>
      </c>
      <c r="T90" s="120">
        <f t="shared" si="23"/>
        <v>0</v>
      </c>
      <c r="U90" s="120">
        <f t="shared" si="23"/>
        <v>0</v>
      </c>
      <c r="V90" s="120">
        <f t="shared" si="23"/>
        <v>0</v>
      </c>
      <c r="W90" s="120">
        <f t="shared" si="23"/>
        <v>0</v>
      </c>
      <c r="X90" s="120">
        <f t="shared" si="23"/>
        <v>0</v>
      </c>
      <c r="Y90" s="125"/>
      <c r="Z90" s="114"/>
    </row>
    <row r="91" spans="1:26" ht="15.75">
      <c r="A91" s="118" t="s">
        <v>229</v>
      </c>
      <c r="B91" s="118"/>
      <c r="C91" s="118"/>
      <c r="D91" s="118"/>
      <c r="E91" s="118"/>
      <c r="F91" s="119"/>
      <c r="G91" s="129"/>
      <c r="H91" s="119" t="s">
        <v>254</v>
      </c>
      <c r="I91" s="119"/>
      <c r="J91" s="119"/>
      <c r="K91" s="119"/>
      <c r="L91" s="119"/>
      <c r="M91" s="120">
        <f aca="true" t="shared" si="24" ref="M91:X91">SUM(M82+M86+M90)</f>
        <v>4684</v>
      </c>
      <c r="N91" s="120">
        <f t="shared" si="24"/>
        <v>0</v>
      </c>
      <c r="O91" s="120">
        <f t="shared" si="24"/>
        <v>4684</v>
      </c>
      <c r="P91" s="120">
        <f t="shared" si="24"/>
        <v>0</v>
      </c>
      <c r="Q91" s="120">
        <f t="shared" si="24"/>
        <v>4684</v>
      </c>
      <c r="R91" s="120">
        <f t="shared" si="24"/>
        <v>1500</v>
      </c>
      <c r="S91" s="120">
        <f t="shared" si="24"/>
        <v>0</v>
      </c>
      <c r="T91" s="120">
        <f t="shared" si="24"/>
        <v>6184</v>
      </c>
      <c r="U91" s="120">
        <f t="shared" si="24"/>
        <v>0</v>
      </c>
      <c r="V91" s="120">
        <f t="shared" si="24"/>
        <v>0</v>
      </c>
      <c r="W91" s="120">
        <f t="shared" si="24"/>
        <v>4684</v>
      </c>
      <c r="X91" s="120">
        <f t="shared" si="24"/>
        <v>0</v>
      </c>
      <c r="Y91" s="131"/>
      <c r="Z91" s="114"/>
    </row>
    <row r="92" spans="1:26" ht="15">
      <c r="A92" s="87" t="s">
        <v>255</v>
      </c>
      <c r="G92" s="88" t="s">
        <v>256</v>
      </c>
      <c r="Q92" s="114"/>
      <c r="R92" s="89"/>
      <c r="S92" s="89"/>
      <c r="T92" s="89"/>
      <c r="U92" s="89"/>
      <c r="V92" s="89"/>
      <c r="W92" s="89"/>
      <c r="X92" s="89"/>
      <c r="Z92" s="114"/>
    </row>
    <row r="93" spans="3:26" ht="15">
      <c r="C93" s="87" t="s">
        <v>158</v>
      </c>
      <c r="I93" s="88" t="s">
        <v>159</v>
      </c>
      <c r="Q93" s="114"/>
      <c r="R93" s="89"/>
      <c r="S93" s="89"/>
      <c r="T93" s="89"/>
      <c r="U93" s="89"/>
      <c r="V93" s="89"/>
      <c r="W93" s="89"/>
      <c r="X93" s="89"/>
      <c r="Z93" s="114"/>
    </row>
    <row r="94" spans="4:26" ht="15">
      <c r="D94" s="87" t="s">
        <v>156</v>
      </c>
      <c r="J94" s="88" t="s">
        <v>247</v>
      </c>
      <c r="M94" s="89">
        <v>5200</v>
      </c>
      <c r="N94" s="89">
        <v>0</v>
      </c>
      <c r="O94" s="89">
        <f>M94+N94</f>
        <v>5200</v>
      </c>
      <c r="P94" s="89">
        <v>0</v>
      </c>
      <c r="Q94" s="114">
        <f>O94+P94</f>
        <v>5200</v>
      </c>
      <c r="R94" s="89">
        <v>0</v>
      </c>
      <c r="S94" s="89">
        <v>0</v>
      </c>
      <c r="T94" s="89">
        <v>1500</v>
      </c>
      <c r="U94" s="89">
        <v>3000</v>
      </c>
      <c r="V94" s="89">
        <v>0</v>
      </c>
      <c r="W94" s="89">
        <v>1500</v>
      </c>
      <c r="X94" s="89">
        <v>3700</v>
      </c>
      <c r="Y94" s="90" t="s">
        <v>16</v>
      </c>
      <c r="Z94" s="114"/>
    </row>
    <row r="95" spans="1:26" s="122" customFormat="1" ht="15.75">
      <c r="A95" s="118"/>
      <c r="B95" s="118"/>
      <c r="C95" s="118" t="s">
        <v>158</v>
      </c>
      <c r="D95" s="118"/>
      <c r="E95" s="118"/>
      <c r="F95" s="119"/>
      <c r="G95" s="119"/>
      <c r="H95" s="119"/>
      <c r="I95" s="119" t="s">
        <v>248</v>
      </c>
      <c r="J95" s="119"/>
      <c r="K95" s="119"/>
      <c r="L95" s="119"/>
      <c r="M95" s="120">
        <f>SUM(M94)</f>
        <v>5200</v>
      </c>
      <c r="N95" s="120">
        <v>0</v>
      </c>
      <c r="O95" s="120">
        <f>M95+N95</f>
        <v>5200</v>
      </c>
      <c r="P95" s="120">
        <v>0</v>
      </c>
      <c r="Q95" s="120">
        <f>O95+P95</f>
        <v>5200</v>
      </c>
      <c r="R95" s="120">
        <f aca="true" t="shared" si="25" ref="R95:X95">SUM(R94)</f>
        <v>0</v>
      </c>
      <c r="S95" s="120">
        <f t="shared" si="25"/>
        <v>0</v>
      </c>
      <c r="T95" s="120">
        <f t="shared" si="25"/>
        <v>1500</v>
      </c>
      <c r="U95" s="120">
        <f t="shared" si="25"/>
        <v>3000</v>
      </c>
      <c r="V95" s="120">
        <f t="shared" si="25"/>
        <v>0</v>
      </c>
      <c r="W95" s="120">
        <f t="shared" si="25"/>
        <v>1500</v>
      </c>
      <c r="X95" s="120">
        <f t="shared" si="25"/>
        <v>3700</v>
      </c>
      <c r="Y95" s="125"/>
      <c r="Z95" s="114"/>
    </row>
    <row r="96" spans="1:26" ht="15.75">
      <c r="A96" s="123"/>
      <c r="B96" s="123"/>
      <c r="C96" s="123" t="s">
        <v>232</v>
      </c>
      <c r="D96" s="94"/>
      <c r="E96" s="132"/>
      <c r="F96" s="132"/>
      <c r="G96" s="132"/>
      <c r="H96" s="132"/>
      <c r="I96" s="116" t="s">
        <v>233</v>
      </c>
      <c r="J96" s="132"/>
      <c r="K96" s="132"/>
      <c r="L96" s="132"/>
      <c r="Q96" s="114"/>
      <c r="R96" s="89"/>
      <c r="S96" s="89"/>
      <c r="T96" s="89"/>
      <c r="U96" s="89"/>
      <c r="V96" s="89"/>
      <c r="W96" s="89"/>
      <c r="X96" s="89"/>
      <c r="Z96" s="114"/>
    </row>
    <row r="97" spans="1:26" ht="15.75">
      <c r="A97" s="123"/>
      <c r="B97" s="123"/>
      <c r="C97" s="94"/>
      <c r="D97" s="123" t="s">
        <v>156</v>
      </c>
      <c r="E97" s="116"/>
      <c r="F97" s="116"/>
      <c r="G97" s="116"/>
      <c r="H97" s="116"/>
      <c r="I97" s="116"/>
      <c r="J97" s="116" t="s">
        <v>105</v>
      </c>
      <c r="K97" s="116"/>
      <c r="L97" s="116"/>
      <c r="M97" s="89">
        <v>0</v>
      </c>
      <c r="N97" s="89">
        <v>899</v>
      </c>
      <c r="O97" s="89">
        <f>M97+N97</f>
        <v>899</v>
      </c>
      <c r="P97" s="89">
        <v>2374</v>
      </c>
      <c r="Q97" s="114">
        <f>O97+P97</f>
        <v>3273</v>
      </c>
      <c r="R97" s="89">
        <v>2031</v>
      </c>
      <c r="S97" s="89">
        <v>0</v>
      </c>
      <c r="T97" s="89">
        <v>0</v>
      </c>
      <c r="U97" s="89">
        <f>Q97+R97</f>
        <v>5304</v>
      </c>
      <c r="V97" s="89">
        <v>0</v>
      </c>
      <c r="W97" s="89">
        <v>0</v>
      </c>
      <c r="X97" s="89">
        <v>0</v>
      </c>
      <c r="Y97" s="90" t="s">
        <v>23</v>
      </c>
      <c r="Z97" s="114"/>
    </row>
    <row r="98" spans="1:26" ht="15.75">
      <c r="A98" s="123"/>
      <c r="B98" s="123"/>
      <c r="C98" s="94"/>
      <c r="D98" s="123" t="s">
        <v>161</v>
      </c>
      <c r="E98" s="116"/>
      <c r="F98" s="116"/>
      <c r="G98" s="116"/>
      <c r="H98" s="116"/>
      <c r="I98" s="116"/>
      <c r="J98" s="134" t="s">
        <v>108</v>
      </c>
      <c r="K98" s="122"/>
      <c r="L98" s="116"/>
      <c r="M98" s="89">
        <v>0</v>
      </c>
      <c r="N98" s="89">
        <v>0</v>
      </c>
      <c r="O98" s="89">
        <f>M98+N98</f>
        <v>0</v>
      </c>
      <c r="P98" s="89">
        <v>0</v>
      </c>
      <c r="Q98" s="114">
        <f>O98+P98</f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90" t="s">
        <v>107</v>
      </c>
      <c r="Z98" s="114"/>
    </row>
    <row r="99" spans="1:26" s="122" customFormat="1" ht="15.75">
      <c r="A99" s="118"/>
      <c r="B99" s="118"/>
      <c r="C99" s="118" t="s">
        <v>232</v>
      </c>
      <c r="D99" s="118"/>
      <c r="E99" s="119"/>
      <c r="F99" s="119"/>
      <c r="G99" s="119"/>
      <c r="H99" s="119"/>
      <c r="I99" s="119" t="s">
        <v>234</v>
      </c>
      <c r="J99" s="119"/>
      <c r="K99" s="119"/>
      <c r="L99" s="119"/>
      <c r="M99" s="120">
        <f>SUM(M97:M98)</f>
        <v>0</v>
      </c>
      <c r="N99" s="120">
        <f aca="true" t="shared" si="26" ref="N99:X99">SUM(N97:N98)</f>
        <v>899</v>
      </c>
      <c r="O99" s="120">
        <f t="shared" si="26"/>
        <v>899</v>
      </c>
      <c r="P99" s="120">
        <f t="shared" si="26"/>
        <v>2374</v>
      </c>
      <c r="Q99" s="120">
        <f t="shared" si="26"/>
        <v>3273</v>
      </c>
      <c r="R99" s="120">
        <f t="shared" si="26"/>
        <v>2031</v>
      </c>
      <c r="S99" s="120">
        <f t="shared" si="26"/>
        <v>0</v>
      </c>
      <c r="T99" s="120">
        <f t="shared" si="26"/>
        <v>0</v>
      </c>
      <c r="U99" s="120">
        <f t="shared" si="26"/>
        <v>5304</v>
      </c>
      <c r="V99" s="120">
        <f t="shared" si="26"/>
        <v>0</v>
      </c>
      <c r="W99" s="120">
        <f t="shared" si="26"/>
        <v>0</v>
      </c>
      <c r="X99" s="120">
        <f t="shared" si="26"/>
        <v>0</v>
      </c>
      <c r="Y99" s="125"/>
      <c r="Z99" s="114"/>
    </row>
    <row r="100" spans="3:26" ht="15">
      <c r="C100" s="87" t="s">
        <v>235</v>
      </c>
      <c r="I100" s="88" t="s">
        <v>236</v>
      </c>
      <c r="Q100" s="114"/>
      <c r="R100" s="89"/>
      <c r="S100" s="89"/>
      <c r="T100" s="89"/>
      <c r="U100" s="89"/>
      <c r="V100" s="89"/>
      <c r="W100" s="89"/>
      <c r="X100" s="89"/>
      <c r="Z100" s="114"/>
    </row>
    <row r="101" spans="4:26" ht="15">
      <c r="D101" s="87" t="s">
        <v>156</v>
      </c>
      <c r="J101" s="88" t="s">
        <v>249</v>
      </c>
      <c r="M101" s="89">
        <v>0</v>
      </c>
      <c r="N101" s="89">
        <v>0</v>
      </c>
      <c r="O101" s="89">
        <f>M101+N101</f>
        <v>0</v>
      </c>
      <c r="P101" s="89">
        <v>0</v>
      </c>
      <c r="Q101" s="114">
        <f>O101+P101</f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90" t="s">
        <v>238</v>
      </c>
      <c r="Z101" s="114"/>
    </row>
    <row r="102" spans="4:26" ht="15">
      <c r="D102" s="87" t="s">
        <v>161</v>
      </c>
      <c r="J102" s="88" t="s">
        <v>250</v>
      </c>
      <c r="M102" s="89">
        <v>0</v>
      </c>
      <c r="N102" s="89">
        <v>0</v>
      </c>
      <c r="O102" s="89">
        <f>M102+N102</f>
        <v>0</v>
      </c>
      <c r="P102" s="89">
        <v>0</v>
      </c>
      <c r="Q102" s="114">
        <f>O102+P102</f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90" t="s">
        <v>116</v>
      </c>
      <c r="Z102" s="114"/>
    </row>
    <row r="103" spans="1:26" s="122" customFormat="1" ht="15.75">
      <c r="A103" s="118"/>
      <c r="B103" s="118"/>
      <c r="C103" s="118" t="s">
        <v>235</v>
      </c>
      <c r="D103" s="118"/>
      <c r="E103" s="118"/>
      <c r="F103" s="119"/>
      <c r="G103" s="119"/>
      <c r="H103" s="119"/>
      <c r="I103" s="119" t="s">
        <v>251</v>
      </c>
      <c r="J103" s="119"/>
      <c r="K103" s="119"/>
      <c r="L103" s="119"/>
      <c r="M103" s="120">
        <f>SUM(M101:M102)</f>
        <v>0</v>
      </c>
      <c r="N103" s="120">
        <f aca="true" t="shared" si="27" ref="N103:X103">SUM(N101:N102)</f>
        <v>0</v>
      </c>
      <c r="O103" s="120">
        <f t="shared" si="27"/>
        <v>0</v>
      </c>
      <c r="P103" s="120">
        <f t="shared" si="27"/>
        <v>0</v>
      </c>
      <c r="Q103" s="120">
        <f t="shared" si="27"/>
        <v>0</v>
      </c>
      <c r="R103" s="120">
        <f t="shared" si="27"/>
        <v>0</v>
      </c>
      <c r="S103" s="120">
        <f t="shared" si="27"/>
        <v>0</v>
      </c>
      <c r="T103" s="120">
        <f t="shared" si="27"/>
        <v>0</v>
      </c>
      <c r="U103" s="120">
        <f t="shared" si="27"/>
        <v>0</v>
      </c>
      <c r="V103" s="120">
        <f t="shared" si="27"/>
        <v>0</v>
      </c>
      <c r="W103" s="120">
        <f t="shared" si="27"/>
        <v>0</v>
      </c>
      <c r="X103" s="120">
        <f t="shared" si="27"/>
        <v>0</v>
      </c>
      <c r="Y103" s="125"/>
      <c r="Z103" s="114"/>
    </row>
    <row r="104" spans="1:26" s="122" customFormat="1" ht="15.75">
      <c r="A104" s="119" t="s">
        <v>255</v>
      </c>
      <c r="B104" s="118"/>
      <c r="C104" s="118"/>
      <c r="D104" s="118"/>
      <c r="E104" s="118"/>
      <c r="F104" s="119"/>
      <c r="G104" s="119"/>
      <c r="H104" s="119" t="s">
        <v>257</v>
      </c>
      <c r="I104" s="119"/>
      <c r="J104" s="119"/>
      <c r="K104" s="119"/>
      <c r="L104" s="119"/>
      <c r="M104" s="120">
        <f aca="true" t="shared" si="28" ref="M104:X104">SUM(M95+M99+M103)</f>
        <v>5200</v>
      </c>
      <c r="N104" s="120">
        <f t="shared" si="28"/>
        <v>899</v>
      </c>
      <c r="O104" s="120">
        <f t="shared" si="28"/>
        <v>6099</v>
      </c>
      <c r="P104" s="120">
        <f t="shared" si="28"/>
        <v>2374</v>
      </c>
      <c r="Q104" s="120">
        <f t="shared" si="28"/>
        <v>8473</v>
      </c>
      <c r="R104" s="120">
        <f t="shared" si="28"/>
        <v>2031</v>
      </c>
      <c r="S104" s="120">
        <f t="shared" si="28"/>
        <v>0</v>
      </c>
      <c r="T104" s="120">
        <f t="shared" si="28"/>
        <v>1500</v>
      </c>
      <c r="U104" s="120">
        <f t="shared" si="28"/>
        <v>8304</v>
      </c>
      <c r="V104" s="120">
        <f t="shared" si="28"/>
        <v>0</v>
      </c>
      <c r="W104" s="120">
        <f t="shared" si="28"/>
        <v>1500</v>
      </c>
      <c r="X104" s="120">
        <f t="shared" si="28"/>
        <v>3700</v>
      </c>
      <c r="Y104" s="125"/>
      <c r="Z104" s="114"/>
    </row>
    <row r="105" spans="1:26" s="122" customFormat="1" ht="15.75">
      <c r="A105" s="94"/>
      <c r="B105" s="94"/>
      <c r="C105" s="94"/>
      <c r="D105" s="95"/>
      <c r="E105" s="95"/>
      <c r="H105" s="132"/>
      <c r="J105" s="132"/>
      <c r="K105" s="94" t="s">
        <v>258</v>
      </c>
      <c r="M105" s="127"/>
      <c r="N105" s="127"/>
      <c r="O105" s="127"/>
      <c r="P105" s="127"/>
      <c r="Q105" s="114"/>
      <c r="R105" s="127"/>
      <c r="S105" s="127"/>
      <c r="T105" s="127"/>
      <c r="U105" s="127"/>
      <c r="V105" s="127"/>
      <c r="W105" s="127"/>
      <c r="X105" s="127"/>
      <c r="Y105" s="133"/>
      <c r="Z105" s="114"/>
    </row>
    <row r="106" spans="1:26" s="122" customFormat="1" ht="15.75">
      <c r="A106" s="87"/>
      <c r="B106" s="87"/>
      <c r="C106" s="87" t="s">
        <v>158</v>
      </c>
      <c r="D106" s="87"/>
      <c r="E106" s="87"/>
      <c r="F106" s="88"/>
      <c r="G106" s="88"/>
      <c r="H106" s="88"/>
      <c r="I106" s="88" t="s">
        <v>259</v>
      </c>
      <c r="J106" s="88"/>
      <c r="K106" s="88"/>
      <c r="L106" s="88"/>
      <c r="M106" s="127"/>
      <c r="N106" s="127"/>
      <c r="O106" s="127"/>
      <c r="P106" s="127"/>
      <c r="Q106" s="114"/>
      <c r="R106" s="127"/>
      <c r="S106" s="127"/>
      <c r="T106" s="127"/>
      <c r="U106" s="127"/>
      <c r="V106" s="127"/>
      <c r="W106" s="127"/>
      <c r="X106" s="127"/>
      <c r="Y106" s="133"/>
      <c r="Z106" s="114"/>
    </row>
    <row r="107" spans="1:26" s="122" customFormat="1" ht="15.75">
      <c r="A107" s="87"/>
      <c r="B107" s="87"/>
      <c r="C107" s="87"/>
      <c r="D107" s="87" t="s">
        <v>156</v>
      </c>
      <c r="E107" s="87"/>
      <c r="F107" s="88"/>
      <c r="G107" s="88"/>
      <c r="H107" s="88"/>
      <c r="I107" s="88"/>
      <c r="J107" s="88" t="s">
        <v>247</v>
      </c>
      <c r="K107" s="88"/>
      <c r="L107" s="88"/>
      <c r="M107" s="89">
        <f aca="true" t="shared" si="29" ref="M107:U107">SUM(M13+M69+M82+M95)</f>
        <v>125496</v>
      </c>
      <c r="N107" s="89">
        <f t="shared" si="29"/>
        <v>0</v>
      </c>
      <c r="O107" s="89">
        <f t="shared" si="29"/>
        <v>125496</v>
      </c>
      <c r="P107" s="89">
        <f t="shared" si="29"/>
        <v>0</v>
      </c>
      <c r="Q107" s="89">
        <f t="shared" si="29"/>
        <v>125496</v>
      </c>
      <c r="R107" s="89">
        <f t="shared" si="29"/>
        <v>7671</v>
      </c>
      <c r="S107" s="89">
        <f t="shared" si="29"/>
        <v>0</v>
      </c>
      <c r="T107" s="89">
        <f t="shared" si="29"/>
        <v>68785</v>
      </c>
      <c r="U107" s="89">
        <f t="shared" si="29"/>
        <v>77690</v>
      </c>
      <c r="V107" s="89">
        <f>SUM(V13,V69,V82,V95)</f>
        <v>0</v>
      </c>
      <c r="W107" s="89">
        <f>SUM(W13,W69,W82,W95)</f>
        <v>28706</v>
      </c>
      <c r="X107" s="89">
        <f>SUM(X13,X69,X82,X95)</f>
        <v>96790</v>
      </c>
      <c r="Y107" s="90" t="s">
        <v>16</v>
      </c>
      <c r="Z107" s="114"/>
    </row>
    <row r="108" spans="1:26" s="122" customFormat="1" ht="15.75">
      <c r="A108" s="87"/>
      <c r="B108" s="87"/>
      <c r="C108" s="87"/>
      <c r="D108" s="87" t="s">
        <v>161</v>
      </c>
      <c r="E108" s="87"/>
      <c r="F108" s="88"/>
      <c r="G108" s="88"/>
      <c r="H108" s="88"/>
      <c r="I108" s="88"/>
      <c r="J108" s="88" t="s">
        <v>260</v>
      </c>
      <c r="K108" s="88"/>
      <c r="L108" s="88"/>
      <c r="M108" s="89">
        <f aca="true" t="shared" si="30" ref="M108:X108">SUM(M29)</f>
        <v>775876</v>
      </c>
      <c r="N108" s="89">
        <f t="shared" si="30"/>
        <v>0</v>
      </c>
      <c r="O108" s="89">
        <f t="shared" si="30"/>
        <v>775876</v>
      </c>
      <c r="P108" s="89">
        <f t="shared" si="30"/>
        <v>0</v>
      </c>
      <c r="Q108" s="89">
        <f t="shared" si="30"/>
        <v>775876</v>
      </c>
      <c r="R108" s="89">
        <f t="shared" si="30"/>
        <v>39125</v>
      </c>
      <c r="S108" s="89">
        <f t="shared" si="30"/>
        <v>0</v>
      </c>
      <c r="T108" s="89">
        <f t="shared" si="30"/>
        <v>815001</v>
      </c>
      <c r="U108" s="89">
        <f t="shared" si="30"/>
        <v>0</v>
      </c>
      <c r="V108" s="89">
        <f t="shared" si="30"/>
        <v>0</v>
      </c>
      <c r="W108" s="89">
        <f t="shared" si="30"/>
        <v>775876</v>
      </c>
      <c r="X108" s="89">
        <f t="shared" si="30"/>
        <v>0</v>
      </c>
      <c r="Y108" s="90" t="s">
        <v>170</v>
      </c>
      <c r="Z108" s="114"/>
    </row>
    <row r="109" spans="1:26" ht="15">
      <c r="A109" s="135"/>
      <c r="B109" s="135"/>
      <c r="C109" s="135" t="s">
        <v>158</v>
      </c>
      <c r="D109" s="135"/>
      <c r="E109" s="135"/>
      <c r="F109" s="129"/>
      <c r="G109" s="129"/>
      <c r="H109" s="129"/>
      <c r="I109" s="129" t="s">
        <v>190</v>
      </c>
      <c r="J109" s="129"/>
      <c r="K109" s="129"/>
      <c r="L109" s="129"/>
      <c r="M109" s="145">
        <f aca="true" t="shared" si="31" ref="M109:X109">SUM(M107:M108)</f>
        <v>901372</v>
      </c>
      <c r="N109" s="145">
        <f t="shared" si="31"/>
        <v>0</v>
      </c>
      <c r="O109" s="145">
        <f t="shared" si="31"/>
        <v>901372</v>
      </c>
      <c r="P109" s="145">
        <f t="shared" si="31"/>
        <v>0</v>
      </c>
      <c r="Q109" s="145">
        <f t="shared" si="31"/>
        <v>901372</v>
      </c>
      <c r="R109" s="145">
        <f t="shared" si="31"/>
        <v>46796</v>
      </c>
      <c r="S109" s="145">
        <f t="shared" si="31"/>
        <v>0</v>
      </c>
      <c r="T109" s="145">
        <f t="shared" si="31"/>
        <v>883786</v>
      </c>
      <c r="U109" s="145">
        <f t="shared" si="31"/>
        <v>77690</v>
      </c>
      <c r="V109" s="145">
        <f t="shared" si="31"/>
        <v>0</v>
      </c>
      <c r="W109" s="145">
        <f t="shared" si="31"/>
        <v>804582</v>
      </c>
      <c r="X109" s="145">
        <f t="shared" si="31"/>
        <v>96790</v>
      </c>
      <c r="Y109" s="131"/>
      <c r="Z109" s="114"/>
    </row>
    <row r="110" spans="1:26" s="122" customFormat="1" ht="15.75">
      <c r="A110" s="87"/>
      <c r="B110" s="87"/>
      <c r="C110" s="87" t="s">
        <v>191</v>
      </c>
      <c r="D110" s="87"/>
      <c r="E110" s="87"/>
      <c r="F110" s="88" t="s">
        <v>208</v>
      </c>
      <c r="G110" s="88"/>
      <c r="H110" s="88"/>
      <c r="I110" s="88" t="s">
        <v>224</v>
      </c>
      <c r="J110" s="88"/>
      <c r="K110" s="88"/>
      <c r="L110" s="88"/>
      <c r="M110" s="89">
        <f aca="true" t="shared" si="32" ref="M110:X110">SUM(M47)</f>
        <v>606448</v>
      </c>
      <c r="N110" s="89">
        <f t="shared" si="32"/>
        <v>16945</v>
      </c>
      <c r="O110" s="89">
        <f t="shared" si="32"/>
        <v>623393</v>
      </c>
      <c r="P110" s="89">
        <f t="shared" si="32"/>
        <v>67200</v>
      </c>
      <c r="Q110" s="89">
        <f t="shared" si="32"/>
        <v>690593</v>
      </c>
      <c r="R110" s="89">
        <f t="shared" si="32"/>
        <v>20580</v>
      </c>
      <c r="S110" s="89">
        <f t="shared" si="32"/>
        <v>0</v>
      </c>
      <c r="T110" s="89">
        <f t="shared" si="32"/>
        <v>711173</v>
      </c>
      <c r="U110" s="89">
        <f t="shared" si="32"/>
        <v>0</v>
      </c>
      <c r="V110" s="89">
        <f t="shared" si="32"/>
        <v>0</v>
      </c>
      <c r="W110" s="89">
        <f t="shared" si="32"/>
        <v>593748</v>
      </c>
      <c r="X110" s="89">
        <f t="shared" si="32"/>
        <v>12700</v>
      </c>
      <c r="Y110" s="90" t="s">
        <v>261</v>
      </c>
      <c r="Z110" s="114"/>
    </row>
    <row r="111" spans="1:26" s="122" customFormat="1" ht="15.75">
      <c r="A111" s="87"/>
      <c r="B111" s="87"/>
      <c r="C111" s="87" t="s">
        <v>225</v>
      </c>
      <c r="D111" s="87"/>
      <c r="E111" s="87"/>
      <c r="F111" s="88"/>
      <c r="G111" s="88"/>
      <c r="H111" s="88"/>
      <c r="I111" s="88" t="s">
        <v>231</v>
      </c>
      <c r="J111" s="88"/>
      <c r="K111" s="88"/>
      <c r="L111" s="88"/>
      <c r="M111" s="89">
        <f aca="true" t="shared" si="33" ref="M111:X111">SUM(M52)</f>
        <v>225828</v>
      </c>
      <c r="N111" s="89">
        <f t="shared" si="33"/>
        <v>0</v>
      </c>
      <c r="O111" s="89">
        <f t="shared" si="33"/>
        <v>225828</v>
      </c>
      <c r="P111" s="89">
        <f t="shared" si="33"/>
        <v>0</v>
      </c>
      <c r="Q111" s="89">
        <f t="shared" si="33"/>
        <v>225828</v>
      </c>
      <c r="R111" s="89">
        <f t="shared" si="33"/>
        <v>84700</v>
      </c>
      <c r="S111" s="89">
        <f t="shared" si="33"/>
        <v>0</v>
      </c>
      <c r="T111" s="89">
        <f t="shared" si="33"/>
        <v>69561</v>
      </c>
      <c r="U111" s="89">
        <f t="shared" si="33"/>
        <v>101700</v>
      </c>
      <c r="V111" s="89">
        <f t="shared" si="33"/>
        <v>0</v>
      </c>
      <c r="W111" s="89">
        <f t="shared" si="33"/>
        <v>124128</v>
      </c>
      <c r="X111" s="89">
        <f t="shared" si="33"/>
        <v>101700</v>
      </c>
      <c r="Y111" s="90" t="s">
        <v>262</v>
      </c>
      <c r="Z111" s="114"/>
    </row>
    <row r="112" spans="1:26" s="122" customFormat="1" ht="15.75">
      <c r="A112" s="87"/>
      <c r="B112" s="87"/>
      <c r="C112" s="87" t="s">
        <v>232</v>
      </c>
      <c r="D112" s="87"/>
      <c r="E112" s="87"/>
      <c r="F112" s="88"/>
      <c r="G112" s="88"/>
      <c r="H112" s="88"/>
      <c r="I112" s="88" t="s">
        <v>263</v>
      </c>
      <c r="J112" s="88"/>
      <c r="K112" s="88"/>
      <c r="L112" s="88"/>
      <c r="M112" s="127"/>
      <c r="N112" s="89"/>
      <c r="O112" s="89"/>
      <c r="P112" s="89"/>
      <c r="Q112" s="114"/>
      <c r="R112" s="127"/>
      <c r="S112" s="127"/>
      <c r="T112" s="127"/>
      <c r="U112" s="127"/>
      <c r="V112" s="127"/>
      <c r="W112" s="127"/>
      <c r="X112" s="127"/>
      <c r="Y112" s="133"/>
      <c r="Z112" s="114"/>
    </row>
    <row r="113" spans="1:26" s="122" customFormat="1" ht="15.75">
      <c r="A113" s="87"/>
      <c r="B113" s="87"/>
      <c r="C113" s="87"/>
      <c r="D113" s="87" t="s">
        <v>156</v>
      </c>
      <c r="E113" s="87"/>
      <c r="F113" s="88"/>
      <c r="G113" s="88"/>
      <c r="H113" s="88"/>
      <c r="I113" s="88"/>
      <c r="J113" s="116" t="s">
        <v>105</v>
      </c>
      <c r="K113" s="88"/>
      <c r="L113" s="88"/>
      <c r="M113" s="89">
        <f aca="true" t="shared" si="34" ref="M113:X113">SUM(M54+M71+M84+M97)</f>
        <v>84760</v>
      </c>
      <c r="N113" s="89">
        <f t="shared" si="34"/>
        <v>70265</v>
      </c>
      <c r="O113" s="89">
        <f t="shared" si="34"/>
        <v>155025</v>
      </c>
      <c r="P113" s="89">
        <f t="shared" si="34"/>
        <v>134244</v>
      </c>
      <c r="Q113" s="89">
        <f t="shared" si="34"/>
        <v>289269</v>
      </c>
      <c r="R113" s="89">
        <f t="shared" si="34"/>
        <v>108579</v>
      </c>
      <c r="S113" s="89">
        <f t="shared" si="34"/>
        <v>0</v>
      </c>
      <c r="T113" s="89">
        <f t="shared" si="34"/>
        <v>363662</v>
      </c>
      <c r="U113" s="89">
        <f t="shared" si="34"/>
        <v>22735</v>
      </c>
      <c r="V113" s="89">
        <f t="shared" si="34"/>
        <v>0</v>
      </c>
      <c r="W113" s="89">
        <f t="shared" si="34"/>
        <v>21885</v>
      </c>
      <c r="X113" s="89">
        <f t="shared" si="34"/>
        <v>62875</v>
      </c>
      <c r="Y113" s="90" t="s">
        <v>23</v>
      </c>
      <c r="Z113" s="114"/>
    </row>
    <row r="114" spans="1:26" s="122" customFormat="1" ht="15.75">
      <c r="A114" s="87"/>
      <c r="B114" s="87"/>
      <c r="C114" s="87"/>
      <c r="D114" s="87" t="s">
        <v>161</v>
      </c>
      <c r="E114" s="87"/>
      <c r="F114" s="88"/>
      <c r="G114" s="88"/>
      <c r="H114" s="88"/>
      <c r="I114" s="88"/>
      <c r="J114" s="134" t="s">
        <v>108</v>
      </c>
      <c r="K114" s="88"/>
      <c r="L114" s="88"/>
      <c r="M114" s="89">
        <f aca="true" t="shared" si="35" ref="M114:X114">SUM(M55+M72+M85+M98)</f>
        <v>282582</v>
      </c>
      <c r="N114" s="89">
        <f t="shared" si="35"/>
        <v>0</v>
      </c>
      <c r="O114" s="89">
        <f t="shared" si="35"/>
        <v>282582</v>
      </c>
      <c r="P114" s="89">
        <f t="shared" si="35"/>
        <v>24074</v>
      </c>
      <c r="Q114" s="89">
        <f t="shared" si="35"/>
        <v>306656</v>
      </c>
      <c r="R114" s="89">
        <f t="shared" si="35"/>
        <v>910683</v>
      </c>
      <c r="S114" s="89">
        <f t="shared" si="35"/>
        <v>0</v>
      </c>
      <c r="T114" s="89">
        <f t="shared" si="35"/>
        <v>560860</v>
      </c>
      <c r="U114" s="89">
        <f t="shared" si="35"/>
        <v>836504</v>
      </c>
      <c r="V114" s="89">
        <f t="shared" si="35"/>
        <v>0</v>
      </c>
      <c r="W114" s="89">
        <f t="shared" si="35"/>
        <v>282582</v>
      </c>
      <c r="X114" s="89">
        <f t="shared" si="35"/>
        <v>0</v>
      </c>
      <c r="Y114" s="90" t="s">
        <v>107</v>
      </c>
      <c r="Z114" s="114"/>
    </row>
    <row r="115" spans="1:26" s="122" customFormat="1" ht="15.75">
      <c r="A115" s="135"/>
      <c r="B115" s="135"/>
      <c r="C115" s="135" t="s">
        <v>232</v>
      </c>
      <c r="D115" s="135"/>
      <c r="E115" s="135"/>
      <c r="F115" s="129"/>
      <c r="G115" s="129"/>
      <c r="H115" s="129"/>
      <c r="I115" s="129" t="s">
        <v>264</v>
      </c>
      <c r="J115" s="129"/>
      <c r="K115" s="129"/>
      <c r="L115" s="129"/>
      <c r="M115" s="145">
        <f aca="true" t="shared" si="36" ref="M115:X115">SUM(M113:M114)</f>
        <v>367342</v>
      </c>
      <c r="N115" s="145">
        <f t="shared" si="36"/>
        <v>70265</v>
      </c>
      <c r="O115" s="145">
        <f t="shared" si="36"/>
        <v>437607</v>
      </c>
      <c r="P115" s="145">
        <f t="shared" si="36"/>
        <v>158318</v>
      </c>
      <c r="Q115" s="145">
        <f t="shared" si="36"/>
        <v>595925</v>
      </c>
      <c r="R115" s="145">
        <f t="shared" si="36"/>
        <v>1019262</v>
      </c>
      <c r="S115" s="145">
        <f t="shared" si="36"/>
        <v>0</v>
      </c>
      <c r="T115" s="145">
        <f t="shared" si="36"/>
        <v>924522</v>
      </c>
      <c r="U115" s="145">
        <f t="shared" si="36"/>
        <v>859239</v>
      </c>
      <c r="V115" s="145">
        <f t="shared" si="36"/>
        <v>0</v>
      </c>
      <c r="W115" s="145">
        <f t="shared" si="36"/>
        <v>304467</v>
      </c>
      <c r="X115" s="145">
        <f t="shared" si="36"/>
        <v>62875</v>
      </c>
      <c r="Y115" s="125"/>
      <c r="Z115" s="114"/>
    </row>
    <row r="116" spans="1:26" s="122" customFormat="1" ht="15.75">
      <c r="A116" s="123"/>
      <c r="B116" s="123"/>
      <c r="C116" s="123" t="s">
        <v>235</v>
      </c>
      <c r="D116" s="123"/>
      <c r="E116" s="123"/>
      <c r="F116" s="116"/>
      <c r="G116" s="116"/>
      <c r="H116" s="116"/>
      <c r="I116" s="116" t="s">
        <v>236</v>
      </c>
      <c r="J116" s="116"/>
      <c r="K116" s="116"/>
      <c r="L116" s="116"/>
      <c r="M116" s="127"/>
      <c r="N116" s="89"/>
      <c r="O116" s="89"/>
      <c r="P116" s="89"/>
      <c r="Q116" s="114"/>
      <c r="R116" s="127"/>
      <c r="S116" s="127"/>
      <c r="T116" s="127"/>
      <c r="U116" s="127"/>
      <c r="V116" s="127"/>
      <c r="W116" s="127"/>
      <c r="X116" s="127"/>
      <c r="Y116" s="133"/>
      <c r="Z116" s="114"/>
    </row>
    <row r="117" spans="1:26" s="122" customFormat="1" ht="15.75">
      <c r="A117" s="123"/>
      <c r="B117" s="123"/>
      <c r="C117" s="123"/>
      <c r="D117" s="123" t="s">
        <v>156</v>
      </c>
      <c r="E117" s="123"/>
      <c r="F117" s="116"/>
      <c r="G117" s="116"/>
      <c r="H117" s="116"/>
      <c r="I117" s="116"/>
      <c r="J117" s="134" t="s">
        <v>265</v>
      </c>
      <c r="K117" s="116"/>
      <c r="L117" s="116"/>
      <c r="M117" s="114">
        <f aca="true" t="shared" si="37" ref="M117:X117">SUM(M58+M75+M88+M101)</f>
        <v>0</v>
      </c>
      <c r="N117" s="114">
        <f t="shared" si="37"/>
        <v>0</v>
      </c>
      <c r="O117" s="114">
        <f t="shared" si="37"/>
        <v>0</v>
      </c>
      <c r="P117" s="114">
        <f t="shared" si="37"/>
        <v>0</v>
      </c>
      <c r="Q117" s="114">
        <f t="shared" si="37"/>
        <v>0</v>
      </c>
      <c r="R117" s="114">
        <f t="shared" si="37"/>
        <v>0</v>
      </c>
      <c r="S117" s="114">
        <f t="shared" si="37"/>
        <v>0</v>
      </c>
      <c r="T117" s="114">
        <f t="shared" si="37"/>
        <v>0</v>
      </c>
      <c r="U117" s="114">
        <f t="shared" si="37"/>
        <v>0</v>
      </c>
      <c r="V117" s="114">
        <f t="shared" si="37"/>
        <v>0</v>
      </c>
      <c r="W117" s="114">
        <f t="shared" si="37"/>
        <v>0</v>
      </c>
      <c r="X117" s="114">
        <f t="shared" si="37"/>
        <v>0</v>
      </c>
      <c r="Y117" s="90" t="s">
        <v>238</v>
      </c>
      <c r="Z117" s="114"/>
    </row>
    <row r="118" spans="1:26" s="122" customFormat="1" ht="15.75">
      <c r="A118" s="123"/>
      <c r="B118" s="123"/>
      <c r="C118" s="123"/>
      <c r="D118" s="123" t="s">
        <v>161</v>
      </c>
      <c r="E118" s="123"/>
      <c r="F118" s="116"/>
      <c r="G118" s="116"/>
      <c r="H118" s="116"/>
      <c r="I118" s="116"/>
      <c r="J118" s="134" t="s">
        <v>117</v>
      </c>
      <c r="K118" s="116"/>
      <c r="L118" s="116"/>
      <c r="M118" s="114">
        <f aca="true" t="shared" si="38" ref="M118:X118">SUM(M59+M76+M89+M102)</f>
        <v>500</v>
      </c>
      <c r="N118" s="114">
        <f t="shared" si="38"/>
        <v>0</v>
      </c>
      <c r="O118" s="114">
        <f t="shared" si="38"/>
        <v>500</v>
      </c>
      <c r="P118" s="114">
        <f t="shared" si="38"/>
        <v>0</v>
      </c>
      <c r="Q118" s="114">
        <f t="shared" si="38"/>
        <v>500</v>
      </c>
      <c r="R118" s="114">
        <f t="shared" si="38"/>
        <v>0</v>
      </c>
      <c r="S118" s="114">
        <f t="shared" si="38"/>
        <v>0</v>
      </c>
      <c r="T118" s="114">
        <f t="shared" si="38"/>
        <v>500</v>
      </c>
      <c r="U118" s="114">
        <f t="shared" si="38"/>
        <v>0</v>
      </c>
      <c r="V118" s="114">
        <f t="shared" si="38"/>
        <v>0</v>
      </c>
      <c r="W118" s="114">
        <f t="shared" si="38"/>
        <v>500</v>
      </c>
      <c r="X118" s="114">
        <f t="shared" si="38"/>
        <v>0</v>
      </c>
      <c r="Y118" s="90" t="s">
        <v>116</v>
      </c>
      <c r="Z118" s="114"/>
    </row>
    <row r="119" spans="1:26" s="122" customFormat="1" ht="15.75">
      <c r="A119" s="135"/>
      <c r="B119" s="135"/>
      <c r="C119" s="135" t="s">
        <v>235</v>
      </c>
      <c r="D119" s="135"/>
      <c r="E119" s="135"/>
      <c r="F119" s="129"/>
      <c r="G119" s="129"/>
      <c r="H119" s="129"/>
      <c r="I119" s="129" t="s">
        <v>266</v>
      </c>
      <c r="J119" s="146"/>
      <c r="K119" s="129"/>
      <c r="L119" s="129"/>
      <c r="M119" s="145">
        <f aca="true" t="shared" si="39" ref="M119:X119">SUM(M117:M118)</f>
        <v>500</v>
      </c>
      <c r="N119" s="145">
        <f t="shared" si="39"/>
        <v>0</v>
      </c>
      <c r="O119" s="145">
        <f t="shared" si="39"/>
        <v>500</v>
      </c>
      <c r="P119" s="145">
        <f t="shared" si="39"/>
        <v>0</v>
      </c>
      <c r="Q119" s="145">
        <f t="shared" si="39"/>
        <v>500</v>
      </c>
      <c r="R119" s="145">
        <f t="shared" si="39"/>
        <v>0</v>
      </c>
      <c r="S119" s="145">
        <f t="shared" si="39"/>
        <v>0</v>
      </c>
      <c r="T119" s="145">
        <f t="shared" si="39"/>
        <v>500</v>
      </c>
      <c r="U119" s="145">
        <f t="shared" si="39"/>
        <v>0</v>
      </c>
      <c r="V119" s="145">
        <f t="shared" si="39"/>
        <v>0</v>
      </c>
      <c r="W119" s="145">
        <f t="shared" si="39"/>
        <v>500</v>
      </c>
      <c r="X119" s="145">
        <f t="shared" si="39"/>
        <v>0</v>
      </c>
      <c r="Y119" s="125"/>
      <c r="Z119" s="114"/>
    </row>
    <row r="120" spans="3:26" ht="15">
      <c r="C120" s="87" t="s">
        <v>240</v>
      </c>
      <c r="I120" s="88" t="s">
        <v>241</v>
      </c>
      <c r="Q120" s="114"/>
      <c r="R120" s="89"/>
      <c r="S120" s="89"/>
      <c r="T120" s="89"/>
      <c r="U120" s="89"/>
      <c r="V120" s="89"/>
      <c r="W120" s="89"/>
      <c r="X120" s="89"/>
      <c r="Z120" s="114"/>
    </row>
    <row r="121" spans="4:26" ht="15">
      <c r="D121" s="87" t="s">
        <v>156</v>
      </c>
      <c r="J121" s="88" t="s">
        <v>242</v>
      </c>
      <c r="M121" s="89">
        <f aca="true" t="shared" si="40" ref="M121:X121">SUM(M62)</f>
        <v>3100</v>
      </c>
      <c r="N121" s="89">
        <f t="shared" si="40"/>
        <v>0</v>
      </c>
      <c r="O121" s="89">
        <f t="shared" si="40"/>
        <v>3100</v>
      </c>
      <c r="P121" s="89">
        <f t="shared" si="40"/>
        <v>0</v>
      </c>
      <c r="Q121" s="89">
        <f t="shared" si="40"/>
        <v>3100</v>
      </c>
      <c r="R121" s="89">
        <f t="shared" si="40"/>
        <v>0</v>
      </c>
      <c r="S121" s="89">
        <f t="shared" si="40"/>
        <v>0</v>
      </c>
      <c r="T121" s="89">
        <f t="shared" si="40"/>
        <v>3000</v>
      </c>
      <c r="U121" s="89">
        <f t="shared" si="40"/>
        <v>100</v>
      </c>
      <c r="V121" s="89">
        <f t="shared" si="40"/>
        <v>0</v>
      </c>
      <c r="W121" s="89">
        <f t="shared" si="40"/>
        <v>3100</v>
      </c>
      <c r="X121" s="89">
        <f t="shared" si="40"/>
        <v>0</v>
      </c>
      <c r="Y121" s="90" t="s">
        <v>119</v>
      </c>
      <c r="Z121" s="114"/>
    </row>
    <row r="122" spans="4:26" ht="15">
      <c r="D122" s="87" t="s">
        <v>161</v>
      </c>
      <c r="J122" s="88" t="s">
        <v>243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90" t="s">
        <v>119</v>
      </c>
      <c r="Z122" s="114"/>
    </row>
    <row r="123" spans="1:26" ht="15">
      <c r="A123" s="135"/>
      <c r="B123" s="135"/>
      <c r="C123" s="135" t="s">
        <v>240</v>
      </c>
      <c r="D123" s="135"/>
      <c r="E123" s="129"/>
      <c r="F123" s="129"/>
      <c r="G123" s="129"/>
      <c r="H123" s="129"/>
      <c r="I123" s="129" t="s">
        <v>244</v>
      </c>
      <c r="J123" s="129"/>
      <c r="K123" s="129"/>
      <c r="L123" s="129"/>
      <c r="M123" s="145">
        <f aca="true" t="shared" si="41" ref="M123:X123">SUM(M121:M122)</f>
        <v>3100</v>
      </c>
      <c r="N123" s="145">
        <f t="shared" si="41"/>
        <v>0</v>
      </c>
      <c r="O123" s="145">
        <f t="shared" si="41"/>
        <v>3100</v>
      </c>
      <c r="P123" s="145">
        <f t="shared" si="41"/>
        <v>0</v>
      </c>
      <c r="Q123" s="145">
        <f t="shared" si="41"/>
        <v>3100</v>
      </c>
      <c r="R123" s="145">
        <f t="shared" si="41"/>
        <v>0</v>
      </c>
      <c r="S123" s="145">
        <f t="shared" si="41"/>
        <v>0</v>
      </c>
      <c r="T123" s="145">
        <f t="shared" si="41"/>
        <v>3000</v>
      </c>
      <c r="U123" s="145">
        <f t="shared" si="41"/>
        <v>100</v>
      </c>
      <c r="V123" s="145">
        <f t="shared" si="41"/>
        <v>0</v>
      </c>
      <c r="W123" s="145">
        <f t="shared" si="41"/>
        <v>3100</v>
      </c>
      <c r="X123" s="145">
        <f t="shared" si="41"/>
        <v>0</v>
      </c>
      <c r="Y123" s="131" t="s">
        <v>119</v>
      </c>
      <c r="Z123" s="114"/>
    </row>
    <row r="124" spans="1:26" ht="15.75">
      <c r="A124" s="135"/>
      <c r="B124" s="135"/>
      <c r="C124" s="135"/>
      <c r="D124" s="118"/>
      <c r="E124" s="135"/>
      <c r="F124" s="129"/>
      <c r="G124" s="129"/>
      <c r="H124" s="129"/>
      <c r="I124" s="118" t="s">
        <v>267</v>
      </c>
      <c r="J124" s="129"/>
      <c r="K124" s="129"/>
      <c r="L124" s="129"/>
      <c r="M124" s="120">
        <f aca="true" t="shared" si="42" ref="M124:X124">SUM(M109+M110+M111+M115+M119+M123)</f>
        <v>2104590</v>
      </c>
      <c r="N124" s="120">
        <f t="shared" si="42"/>
        <v>87210</v>
      </c>
      <c r="O124" s="120">
        <f t="shared" si="42"/>
        <v>2191800</v>
      </c>
      <c r="P124" s="120">
        <f t="shared" si="42"/>
        <v>225518</v>
      </c>
      <c r="Q124" s="120">
        <f t="shared" si="42"/>
        <v>2417318</v>
      </c>
      <c r="R124" s="120">
        <f t="shared" si="42"/>
        <v>1171338</v>
      </c>
      <c r="S124" s="120">
        <f t="shared" si="42"/>
        <v>0</v>
      </c>
      <c r="T124" s="120">
        <f t="shared" si="42"/>
        <v>2592542</v>
      </c>
      <c r="U124" s="120">
        <f t="shared" si="42"/>
        <v>1038729</v>
      </c>
      <c r="V124" s="120">
        <f t="shared" si="42"/>
        <v>0</v>
      </c>
      <c r="W124" s="120">
        <f t="shared" si="42"/>
        <v>1830525</v>
      </c>
      <c r="X124" s="120">
        <f t="shared" si="42"/>
        <v>274065</v>
      </c>
      <c r="Y124" s="131"/>
      <c r="Z124" s="114"/>
    </row>
    <row r="125" spans="1:26" ht="15.75">
      <c r="A125" s="123"/>
      <c r="B125" s="123"/>
      <c r="C125" s="123"/>
      <c r="D125" s="94"/>
      <c r="E125" s="123"/>
      <c r="F125" s="116"/>
      <c r="G125" s="116"/>
      <c r="H125" s="116"/>
      <c r="I125" s="94"/>
      <c r="J125" s="116"/>
      <c r="K125" s="116"/>
      <c r="L125" s="116"/>
      <c r="M125" s="128"/>
      <c r="Q125" s="114"/>
      <c r="R125" s="89"/>
      <c r="S125" s="89"/>
      <c r="T125" s="89"/>
      <c r="U125" s="89"/>
      <c r="V125" s="89"/>
      <c r="W125" s="89"/>
      <c r="X125" s="89"/>
      <c r="Z125" s="114"/>
    </row>
    <row r="126" spans="1:26" ht="15.75">
      <c r="A126" s="123"/>
      <c r="B126" s="123"/>
      <c r="C126" s="123"/>
      <c r="D126" s="94"/>
      <c r="E126" s="123"/>
      <c r="F126" s="116"/>
      <c r="G126" s="116"/>
      <c r="H126" s="116"/>
      <c r="I126" s="94"/>
      <c r="J126" s="116"/>
      <c r="K126" s="116"/>
      <c r="L126" s="116"/>
      <c r="M126" s="114"/>
      <c r="Q126" s="114"/>
      <c r="R126" s="89"/>
      <c r="S126" s="89"/>
      <c r="T126" s="89"/>
      <c r="U126" s="89"/>
      <c r="V126" s="89"/>
      <c r="W126" s="89"/>
      <c r="X126" s="89"/>
      <c r="Z126" s="114"/>
    </row>
    <row r="127" spans="1:26" ht="15.75">
      <c r="A127" s="135"/>
      <c r="B127" s="147" t="s">
        <v>268</v>
      </c>
      <c r="C127" s="135"/>
      <c r="D127" s="118"/>
      <c r="E127" s="135"/>
      <c r="F127" s="129"/>
      <c r="G127" s="129"/>
      <c r="H127" s="129"/>
      <c r="I127" s="118"/>
      <c r="J127" s="129"/>
      <c r="K127" s="129"/>
      <c r="L127" s="129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31"/>
      <c r="Z127" s="114"/>
    </row>
    <row r="128" spans="1:26" ht="15">
      <c r="A128" s="123" t="s">
        <v>156</v>
      </c>
      <c r="B128" s="123"/>
      <c r="C128" s="123"/>
      <c r="D128" s="123"/>
      <c r="E128" s="123"/>
      <c r="F128" s="116"/>
      <c r="G128" s="116" t="s">
        <v>269</v>
      </c>
      <c r="H128" s="116"/>
      <c r="I128" s="116"/>
      <c r="J128" s="116"/>
      <c r="K128" s="116"/>
      <c r="L128" s="116"/>
      <c r="Q128" s="114"/>
      <c r="R128" s="89"/>
      <c r="S128" s="89"/>
      <c r="T128" s="89"/>
      <c r="U128" s="89"/>
      <c r="V128" s="89"/>
      <c r="W128" s="89"/>
      <c r="X128" s="89"/>
      <c r="Z128" s="114"/>
    </row>
    <row r="129" spans="3:26" ht="15">
      <c r="C129" s="87" t="s">
        <v>270</v>
      </c>
      <c r="I129" s="88" t="s">
        <v>271</v>
      </c>
      <c r="Q129" s="114"/>
      <c r="R129" s="89"/>
      <c r="S129" s="89"/>
      <c r="T129" s="89"/>
      <c r="U129" s="89"/>
      <c r="V129" s="89"/>
      <c r="W129" s="89"/>
      <c r="X129" s="89"/>
      <c r="Z129" s="114"/>
    </row>
    <row r="130" spans="4:26" ht="15">
      <c r="D130" s="87" t="s">
        <v>156</v>
      </c>
      <c r="J130" s="88" t="s">
        <v>272</v>
      </c>
      <c r="M130" s="89">
        <v>0</v>
      </c>
      <c r="N130" s="89">
        <v>0</v>
      </c>
      <c r="O130" s="89">
        <f>M130+N130</f>
        <v>0</v>
      </c>
      <c r="P130" s="89">
        <v>0</v>
      </c>
      <c r="Q130" s="114">
        <f>O130+P130</f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>
        <v>0</v>
      </c>
      <c r="X130" s="89">
        <v>0</v>
      </c>
      <c r="Y130" s="90" t="s">
        <v>119</v>
      </c>
      <c r="Z130" s="114"/>
    </row>
    <row r="131" spans="4:26" ht="15">
      <c r="D131" s="87" t="s">
        <v>161</v>
      </c>
      <c r="J131" s="88" t="s">
        <v>273</v>
      </c>
      <c r="M131" s="89">
        <v>42091</v>
      </c>
      <c r="N131" s="89">
        <v>0</v>
      </c>
      <c r="O131" s="89">
        <f>M131+N131</f>
        <v>42091</v>
      </c>
      <c r="P131" s="89">
        <v>0</v>
      </c>
      <c r="Q131" s="114">
        <f>O131+P131</f>
        <v>42091</v>
      </c>
      <c r="R131" s="89">
        <v>0</v>
      </c>
      <c r="S131" s="89">
        <v>0</v>
      </c>
      <c r="T131" s="89">
        <v>0</v>
      </c>
      <c r="U131" s="89">
        <f>Q131+R131</f>
        <v>42091</v>
      </c>
      <c r="V131" s="89">
        <v>0</v>
      </c>
      <c r="W131" s="89">
        <v>0</v>
      </c>
      <c r="X131" s="89">
        <v>42091</v>
      </c>
      <c r="Y131" s="90" t="s">
        <v>119</v>
      </c>
      <c r="Z131" s="114"/>
    </row>
    <row r="132" spans="4:26" ht="15">
      <c r="D132" s="87" t="s">
        <v>229</v>
      </c>
      <c r="J132" s="88" t="s">
        <v>274</v>
      </c>
      <c r="M132" s="89">
        <v>0</v>
      </c>
      <c r="N132" s="89">
        <v>0</v>
      </c>
      <c r="O132" s="89">
        <f>M132+N132</f>
        <v>0</v>
      </c>
      <c r="P132" s="89">
        <v>0</v>
      </c>
      <c r="Q132" s="114">
        <f>O132+P132</f>
        <v>0</v>
      </c>
      <c r="R132" s="89">
        <v>0</v>
      </c>
      <c r="S132" s="89">
        <v>0</v>
      </c>
      <c r="T132" s="89">
        <v>0</v>
      </c>
      <c r="U132" s="89">
        <v>0</v>
      </c>
      <c r="V132" s="89">
        <v>0</v>
      </c>
      <c r="W132" s="89">
        <v>0</v>
      </c>
      <c r="X132" s="89">
        <v>0</v>
      </c>
      <c r="Y132" s="90" t="s">
        <v>119</v>
      </c>
      <c r="Z132" s="114"/>
    </row>
    <row r="133" spans="1:26" ht="15.75">
      <c r="A133" s="118"/>
      <c r="B133" s="118"/>
      <c r="C133" s="118" t="s">
        <v>270</v>
      </c>
      <c r="D133" s="118"/>
      <c r="E133" s="118"/>
      <c r="F133" s="119"/>
      <c r="G133" s="119"/>
      <c r="H133" s="119"/>
      <c r="I133" s="119" t="s">
        <v>275</v>
      </c>
      <c r="J133" s="119"/>
      <c r="K133" s="119"/>
      <c r="L133" s="119"/>
      <c r="M133" s="120">
        <f>SUM(M130:M132)</f>
        <v>42091</v>
      </c>
      <c r="N133" s="120">
        <f aca="true" t="shared" si="43" ref="N133:X133">SUM(N130:N132)</f>
        <v>0</v>
      </c>
      <c r="O133" s="120">
        <f t="shared" si="43"/>
        <v>42091</v>
      </c>
      <c r="P133" s="120">
        <f t="shared" si="43"/>
        <v>0</v>
      </c>
      <c r="Q133" s="120">
        <f t="shared" si="43"/>
        <v>42091</v>
      </c>
      <c r="R133" s="120">
        <f t="shared" si="43"/>
        <v>0</v>
      </c>
      <c r="S133" s="120">
        <f t="shared" si="43"/>
        <v>0</v>
      </c>
      <c r="T133" s="120">
        <f t="shared" si="43"/>
        <v>0</v>
      </c>
      <c r="U133" s="120">
        <f t="shared" si="43"/>
        <v>42091</v>
      </c>
      <c r="V133" s="120">
        <f t="shared" si="43"/>
        <v>0</v>
      </c>
      <c r="W133" s="120">
        <f t="shared" si="43"/>
        <v>0</v>
      </c>
      <c r="X133" s="120">
        <f t="shared" si="43"/>
        <v>42091</v>
      </c>
      <c r="Y133" s="131" t="s">
        <v>119</v>
      </c>
      <c r="Z133" s="114"/>
    </row>
    <row r="134" spans="3:29" ht="15">
      <c r="C134" s="87" t="s">
        <v>276</v>
      </c>
      <c r="I134" s="88" t="s">
        <v>277</v>
      </c>
      <c r="Q134" s="114"/>
      <c r="R134" s="89"/>
      <c r="S134" s="89"/>
      <c r="T134" s="89"/>
      <c r="U134" s="89"/>
      <c r="V134" s="89"/>
      <c r="W134" s="89"/>
      <c r="X134" s="89"/>
      <c r="Z134" s="114"/>
      <c r="AC134" s="116"/>
    </row>
    <row r="135" spans="4:26" ht="15">
      <c r="D135" s="87" t="s">
        <v>156</v>
      </c>
      <c r="J135" s="88" t="s">
        <v>278</v>
      </c>
      <c r="M135" s="89">
        <v>0</v>
      </c>
      <c r="N135" s="89">
        <v>0</v>
      </c>
      <c r="O135" s="89">
        <f>M135+N135</f>
        <v>0</v>
      </c>
      <c r="P135" s="89">
        <v>481581</v>
      </c>
      <c r="Q135" s="114">
        <f>O135+P135</f>
        <v>481581</v>
      </c>
      <c r="R135" s="89">
        <v>0</v>
      </c>
      <c r="S135" s="89">
        <v>0</v>
      </c>
      <c r="T135" s="89">
        <v>1495611</v>
      </c>
      <c r="U135" s="89">
        <v>323138</v>
      </c>
      <c r="V135" s="89">
        <v>0</v>
      </c>
      <c r="W135" s="89">
        <v>0</v>
      </c>
      <c r="X135" s="89">
        <v>0</v>
      </c>
      <c r="Y135" s="148" t="s">
        <v>119</v>
      </c>
      <c r="Z135" s="114"/>
    </row>
    <row r="136" spans="1:26" ht="15.75">
      <c r="A136" s="135"/>
      <c r="B136" s="135"/>
      <c r="C136" s="118" t="s">
        <v>276</v>
      </c>
      <c r="D136" s="118"/>
      <c r="E136" s="118"/>
      <c r="F136" s="119"/>
      <c r="G136" s="119"/>
      <c r="H136" s="119"/>
      <c r="I136" s="119" t="s">
        <v>279</v>
      </c>
      <c r="J136" s="119"/>
      <c r="K136" s="119"/>
      <c r="L136" s="119"/>
      <c r="M136" s="120">
        <f aca="true" t="shared" si="44" ref="M136:X136">SUM(M135)</f>
        <v>0</v>
      </c>
      <c r="N136" s="120">
        <f t="shared" si="44"/>
        <v>0</v>
      </c>
      <c r="O136" s="120">
        <f t="shared" si="44"/>
        <v>0</v>
      </c>
      <c r="P136" s="120">
        <f t="shared" si="44"/>
        <v>481581</v>
      </c>
      <c r="Q136" s="120">
        <f t="shared" si="44"/>
        <v>481581</v>
      </c>
      <c r="R136" s="120">
        <f t="shared" si="44"/>
        <v>0</v>
      </c>
      <c r="S136" s="120">
        <f t="shared" si="44"/>
        <v>0</v>
      </c>
      <c r="T136" s="120">
        <f t="shared" si="44"/>
        <v>1495611</v>
      </c>
      <c r="U136" s="120">
        <f t="shared" si="44"/>
        <v>323138</v>
      </c>
      <c r="V136" s="120">
        <f t="shared" si="44"/>
        <v>0</v>
      </c>
      <c r="W136" s="120">
        <f t="shared" si="44"/>
        <v>0</v>
      </c>
      <c r="X136" s="120">
        <f t="shared" si="44"/>
        <v>0</v>
      </c>
      <c r="Y136" s="131" t="s">
        <v>119</v>
      </c>
      <c r="Z136" s="114"/>
    </row>
    <row r="137" spans="1:26" ht="15.75">
      <c r="A137" s="122" t="s">
        <v>156</v>
      </c>
      <c r="B137" s="94"/>
      <c r="C137" s="149"/>
      <c r="D137" s="149"/>
      <c r="E137" s="149"/>
      <c r="F137" s="150"/>
      <c r="H137" s="150" t="s">
        <v>245</v>
      </c>
      <c r="I137" s="150"/>
      <c r="J137" s="150"/>
      <c r="K137" s="150"/>
      <c r="L137" s="150"/>
      <c r="M137" s="120">
        <f aca="true" t="shared" si="45" ref="M137:X137">SUM(M133+M136)</f>
        <v>42091</v>
      </c>
      <c r="N137" s="120">
        <f t="shared" si="45"/>
        <v>0</v>
      </c>
      <c r="O137" s="120">
        <f t="shared" si="45"/>
        <v>42091</v>
      </c>
      <c r="P137" s="120">
        <f t="shared" si="45"/>
        <v>481581</v>
      </c>
      <c r="Q137" s="120">
        <f t="shared" si="45"/>
        <v>523672</v>
      </c>
      <c r="R137" s="120">
        <f t="shared" si="45"/>
        <v>0</v>
      </c>
      <c r="S137" s="120">
        <f t="shared" si="45"/>
        <v>0</v>
      </c>
      <c r="T137" s="120">
        <f t="shared" si="45"/>
        <v>1495611</v>
      </c>
      <c r="U137" s="120">
        <f t="shared" si="45"/>
        <v>365229</v>
      </c>
      <c r="V137" s="120">
        <f t="shared" si="45"/>
        <v>0</v>
      </c>
      <c r="W137" s="120">
        <f t="shared" si="45"/>
        <v>0</v>
      </c>
      <c r="X137" s="120">
        <f t="shared" si="45"/>
        <v>42091</v>
      </c>
      <c r="Y137" s="131" t="s">
        <v>119</v>
      </c>
      <c r="Z137" s="114"/>
    </row>
    <row r="138" spans="1:26" ht="15">
      <c r="A138" s="112" t="s">
        <v>161</v>
      </c>
      <c r="B138" s="112"/>
      <c r="C138" s="112"/>
      <c r="D138" s="112"/>
      <c r="E138" s="112"/>
      <c r="F138" s="113"/>
      <c r="G138" s="113" t="s">
        <v>280</v>
      </c>
      <c r="H138" s="113"/>
      <c r="I138" s="113"/>
      <c r="J138" s="113"/>
      <c r="K138" s="113"/>
      <c r="L138" s="113"/>
      <c r="Q138" s="114"/>
      <c r="R138" s="89"/>
      <c r="S138" s="89"/>
      <c r="T138" s="89"/>
      <c r="U138" s="89"/>
      <c r="V138" s="89"/>
      <c r="W138" s="89"/>
      <c r="X138" s="89"/>
      <c r="Y138" s="115"/>
      <c r="Z138" s="114"/>
    </row>
    <row r="139" spans="3:26" ht="15">
      <c r="C139" s="87" t="s">
        <v>276</v>
      </c>
      <c r="I139" s="88" t="s">
        <v>277</v>
      </c>
      <c r="Q139" s="114"/>
      <c r="R139" s="89"/>
      <c r="S139" s="89"/>
      <c r="T139" s="89"/>
      <c r="U139" s="89"/>
      <c r="V139" s="89"/>
      <c r="W139" s="89"/>
      <c r="X139" s="89"/>
      <c r="Z139" s="114"/>
    </row>
    <row r="140" spans="4:26" ht="15">
      <c r="D140" s="87" t="s">
        <v>156</v>
      </c>
      <c r="J140" s="88" t="s">
        <v>278</v>
      </c>
      <c r="M140" s="89">
        <v>0</v>
      </c>
      <c r="N140" s="89">
        <v>0</v>
      </c>
      <c r="O140" s="89">
        <f>M140+N140</f>
        <v>0</v>
      </c>
      <c r="P140" s="89">
        <v>8138</v>
      </c>
      <c r="Q140" s="114">
        <f>O140+P140</f>
        <v>8138</v>
      </c>
      <c r="R140" s="89">
        <v>0</v>
      </c>
      <c r="S140" s="89">
        <v>0</v>
      </c>
      <c r="T140" s="89">
        <v>0</v>
      </c>
      <c r="U140" s="89">
        <v>8138</v>
      </c>
      <c r="V140" s="89">
        <v>0</v>
      </c>
      <c r="W140" s="89">
        <v>0</v>
      </c>
      <c r="X140" s="89">
        <v>0</v>
      </c>
      <c r="Y140" s="90" t="s">
        <v>119</v>
      </c>
      <c r="Z140" s="114"/>
    </row>
    <row r="141" spans="1:26" s="122" customFormat="1" ht="15.75">
      <c r="A141" s="118" t="s">
        <v>161</v>
      </c>
      <c r="B141" s="118"/>
      <c r="C141" s="118"/>
      <c r="D141" s="118"/>
      <c r="E141" s="118"/>
      <c r="F141" s="119"/>
      <c r="G141" s="119"/>
      <c r="H141" s="119" t="s">
        <v>252</v>
      </c>
      <c r="I141" s="119"/>
      <c r="J141" s="119"/>
      <c r="K141" s="119"/>
      <c r="L141" s="119"/>
      <c r="M141" s="120">
        <f>SUM(M140)</f>
        <v>0</v>
      </c>
      <c r="N141" s="120">
        <f aca="true" t="shared" si="46" ref="N141:X141">SUM(N140)</f>
        <v>0</v>
      </c>
      <c r="O141" s="120">
        <f t="shared" si="46"/>
        <v>0</v>
      </c>
      <c r="P141" s="120">
        <f t="shared" si="46"/>
        <v>8138</v>
      </c>
      <c r="Q141" s="120">
        <f t="shared" si="46"/>
        <v>8138</v>
      </c>
      <c r="R141" s="120">
        <f t="shared" si="46"/>
        <v>0</v>
      </c>
      <c r="S141" s="120">
        <f t="shared" si="46"/>
        <v>0</v>
      </c>
      <c r="T141" s="120">
        <f t="shared" si="46"/>
        <v>0</v>
      </c>
      <c r="U141" s="120">
        <f t="shared" si="46"/>
        <v>8138</v>
      </c>
      <c r="V141" s="120">
        <f t="shared" si="46"/>
        <v>0</v>
      </c>
      <c r="W141" s="120">
        <f t="shared" si="46"/>
        <v>0</v>
      </c>
      <c r="X141" s="120">
        <f t="shared" si="46"/>
        <v>0</v>
      </c>
      <c r="Y141" s="125" t="s">
        <v>119</v>
      </c>
      <c r="Z141" s="114"/>
    </row>
    <row r="142" spans="1:26" ht="15">
      <c r="A142" s="87" t="s">
        <v>229</v>
      </c>
      <c r="G142" s="88" t="s">
        <v>253</v>
      </c>
      <c r="Q142" s="114"/>
      <c r="R142" s="89"/>
      <c r="S142" s="89"/>
      <c r="T142" s="89"/>
      <c r="U142" s="89"/>
      <c r="V142" s="89"/>
      <c r="W142" s="89"/>
      <c r="X142" s="89"/>
      <c r="Z142" s="114"/>
    </row>
    <row r="143" spans="3:26" ht="15">
      <c r="C143" s="87" t="s">
        <v>276</v>
      </c>
      <c r="I143" s="88" t="s">
        <v>277</v>
      </c>
      <c r="Q143" s="114"/>
      <c r="R143" s="89"/>
      <c r="S143" s="89"/>
      <c r="T143" s="89"/>
      <c r="U143" s="89"/>
      <c r="V143" s="89"/>
      <c r="W143" s="89"/>
      <c r="X143" s="89"/>
      <c r="Z143" s="114"/>
    </row>
    <row r="144" spans="4:26" ht="15">
      <c r="D144" s="87" t="s">
        <v>156</v>
      </c>
      <c r="J144" s="88" t="s">
        <v>278</v>
      </c>
      <c r="M144" s="89">
        <v>0</v>
      </c>
      <c r="N144" s="89">
        <v>0</v>
      </c>
      <c r="O144" s="89">
        <f>M144+N144</f>
        <v>0</v>
      </c>
      <c r="P144" s="89">
        <v>566</v>
      </c>
      <c r="Q144" s="114">
        <f>O144+P144</f>
        <v>566</v>
      </c>
      <c r="R144" s="89">
        <v>0</v>
      </c>
      <c r="S144" s="89">
        <v>0</v>
      </c>
      <c r="T144" s="89">
        <v>566</v>
      </c>
      <c r="U144" s="89">
        <v>0</v>
      </c>
      <c r="V144" s="89">
        <v>0</v>
      </c>
      <c r="W144" s="89">
        <v>0</v>
      </c>
      <c r="X144" s="89">
        <v>0</v>
      </c>
      <c r="Y144" s="90" t="s">
        <v>119</v>
      </c>
      <c r="Z144" s="114"/>
    </row>
    <row r="145" spans="1:26" s="122" customFormat="1" ht="15.75">
      <c r="A145" s="118" t="s">
        <v>229</v>
      </c>
      <c r="B145" s="118"/>
      <c r="C145" s="118"/>
      <c r="D145" s="118"/>
      <c r="E145" s="118"/>
      <c r="F145" s="119"/>
      <c r="G145" s="119"/>
      <c r="H145" s="119" t="s">
        <v>254</v>
      </c>
      <c r="I145" s="119"/>
      <c r="J145" s="119"/>
      <c r="K145" s="119"/>
      <c r="L145" s="119"/>
      <c r="M145" s="120">
        <f>SUM(M144)</f>
        <v>0</v>
      </c>
      <c r="N145" s="120">
        <f aca="true" t="shared" si="47" ref="N145:X145">SUM(N144)</f>
        <v>0</v>
      </c>
      <c r="O145" s="120">
        <f t="shared" si="47"/>
        <v>0</v>
      </c>
      <c r="P145" s="120">
        <f t="shared" si="47"/>
        <v>566</v>
      </c>
      <c r="Q145" s="120">
        <f t="shared" si="47"/>
        <v>566</v>
      </c>
      <c r="R145" s="120">
        <f t="shared" si="47"/>
        <v>0</v>
      </c>
      <c r="S145" s="120">
        <f t="shared" si="47"/>
        <v>0</v>
      </c>
      <c r="T145" s="120">
        <f t="shared" si="47"/>
        <v>566</v>
      </c>
      <c r="U145" s="120">
        <f t="shared" si="47"/>
        <v>0</v>
      </c>
      <c r="V145" s="120">
        <f t="shared" si="47"/>
        <v>0</v>
      </c>
      <c r="W145" s="120">
        <f t="shared" si="47"/>
        <v>0</v>
      </c>
      <c r="X145" s="120">
        <f t="shared" si="47"/>
        <v>0</v>
      </c>
      <c r="Y145" s="125" t="s">
        <v>119</v>
      </c>
      <c r="Z145" s="114"/>
    </row>
    <row r="146" spans="1:26" s="122" customFormat="1" ht="15.75">
      <c r="A146" s="87" t="s">
        <v>255</v>
      </c>
      <c r="B146" s="87"/>
      <c r="C146" s="87"/>
      <c r="D146" s="87"/>
      <c r="E146" s="87"/>
      <c r="F146" s="88"/>
      <c r="G146" s="88" t="s">
        <v>256</v>
      </c>
      <c r="I146" s="88"/>
      <c r="J146" s="88"/>
      <c r="K146" s="88"/>
      <c r="L146" s="88"/>
      <c r="M146" s="127"/>
      <c r="N146" s="127"/>
      <c r="O146" s="89"/>
      <c r="P146" s="127"/>
      <c r="Q146" s="114"/>
      <c r="R146" s="127"/>
      <c r="S146" s="127"/>
      <c r="T146" s="127"/>
      <c r="U146" s="127"/>
      <c r="V146" s="127"/>
      <c r="W146" s="127"/>
      <c r="X146" s="127"/>
      <c r="Y146" s="133"/>
      <c r="Z146" s="114"/>
    </row>
    <row r="147" spans="1:26" s="122" customFormat="1" ht="15.75">
      <c r="A147" s="87"/>
      <c r="B147" s="87"/>
      <c r="C147" s="87" t="s">
        <v>276</v>
      </c>
      <c r="D147" s="87"/>
      <c r="E147" s="87"/>
      <c r="F147" s="88"/>
      <c r="G147" s="88"/>
      <c r="H147" s="88"/>
      <c r="I147" s="88" t="s">
        <v>277</v>
      </c>
      <c r="J147" s="88"/>
      <c r="K147" s="88"/>
      <c r="L147" s="88"/>
      <c r="M147" s="127"/>
      <c r="N147" s="127"/>
      <c r="O147" s="89"/>
      <c r="P147" s="127"/>
      <c r="Q147" s="114"/>
      <c r="R147" s="127"/>
      <c r="S147" s="127"/>
      <c r="T147" s="127"/>
      <c r="U147" s="127"/>
      <c r="V147" s="127"/>
      <c r="W147" s="127"/>
      <c r="X147" s="127"/>
      <c r="Y147" s="133"/>
      <c r="Z147" s="114"/>
    </row>
    <row r="148" spans="1:26" s="122" customFormat="1" ht="15.75">
      <c r="A148" s="87"/>
      <c r="B148" s="87"/>
      <c r="C148" s="87"/>
      <c r="D148" s="87" t="s">
        <v>156</v>
      </c>
      <c r="E148" s="87"/>
      <c r="F148" s="88"/>
      <c r="G148" s="88"/>
      <c r="H148" s="88"/>
      <c r="I148" s="88"/>
      <c r="J148" s="88" t="s">
        <v>278</v>
      </c>
      <c r="K148" s="88"/>
      <c r="L148" s="88"/>
      <c r="M148" s="89">
        <v>0</v>
      </c>
      <c r="N148" s="127">
        <v>0</v>
      </c>
      <c r="O148" s="89">
        <f>M148+N148</f>
        <v>0</v>
      </c>
      <c r="P148" s="89">
        <v>4844</v>
      </c>
      <c r="Q148" s="114">
        <f>O148+P148</f>
        <v>4844</v>
      </c>
      <c r="R148" s="89">
        <v>0</v>
      </c>
      <c r="S148" s="89">
        <v>0</v>
      </c>
      <c r="T148" s="89">
        <f>3769</f>
        <v>3769</v>
      </c>
      <c r="U148" s="89">
        <v>1075</v>
      </c>
      <c r="V148" s="89">
        <v>0</v>
      </c>
      <c r="W148" s="89">
        <v>0</v>
      </c>
      <c r="X148" s="89">
        <v>0</v>
      </c>
      <c r="Y148" s="90" t="s">
        <v>119</v>
      </c>
      <c r="Z148" s="114"/>
    </row>
    <row r="149" spans="1:26" s="122" customFormat="1" ht="15.75">
      <c r="A149" s="118" t="s">
        <v>255</v>
      </c>
      <c r="B149" s="118"/>
      <c r="C149" s="118"/>
      <c r="D149" s="118"/>
      <c r="E149" s="118"/>
      <c r="F149" s="119"/>
      <c r="G149" s="119"/>
      <c r="H149" s="119" t="s">
        <v>281</v>
      </c>
      <c r="I149" s="119"/>
      <c r="J149" s="119"/>
      <c r="K149" s="119"/>
      <c r="L149" s="119"/>
      <c r="M149" s="120">
        <f aca="true" t="shared" si="48" ref="M149:X149">SUM(M148)</f>
        <v>0</v>
      </c>
      <c r="N149" s="120">
        <f t="shared" si="48"/>
        <v>0</v>
      </c>
      <c r="O149" s="120">
        <f t="shared" si="48"/>
        <v>0</v>
      </c>
      <c r="P149" s="120">
        <f t="shared" si="48"/>
        <v>4844</v>
      </c>
      <c r="Q149" s="120">
        <f t="shared" si="48"/>
        <v>4844</v>
      </c>
      <c r="R149" s="120">
        <f t="shared" si="48"/>
        <v>0</v>
      </c>
      <c r="S149" s="120">
        <f t="shared" si="48"/>
        <v>0</v>
      </c>
      <c r="T149" s="120">
        <f t="shared" si="48"/>
        <v>3769</v>
      </c>
      <c r="U149" s="120">
        <f t="shared" si="48"/>
        <v>1075</v>
      </c>
      <c r="V149" s="120">
        <f t="shared" si="48"/>
        <v>0</v>
      </c>
      <c r="W149" s="120">
        <f t="shared" si="48"/>
        <v>0</v>
      </c>
      <c r="X149" s="120">
        <f t="shared" si="48"/>
        <v>0</v>
      </c>
      <c r="Y149" s="125" t="s">
        <v>119</v>
      </c>
      <c r="Z149" s="114"/>
    </row>
    <row r="150" spans="1:26" s="122" customFormat="1" ht="15.75">
      <c r="A150" s="118"/>
      <c r="B150" s="118"/>
      <c r="C150" s="118" t="s">
        <v>276</v>
      </c>
      <c r="D150" s="118"/>
      <c r="E150" s="118"/>
      <c r="F150" s="119"/>
      <c r="G150" s="119"/>
      <c r="H150" s="119"/>
      <c r="I150" s="119" t="s">
        <v>279</v>
      </c>
      <c r="J150" s="119"/>
      <c r="K150" s="119"/>
      <c r="L150" s="119"/>
      <c r="M150" s="120">
        <f aca="true" t="shared" si="49" ref="M150:X150">SUM(M136+M141+M145+M149)</f>
        <v>0</v>
      </c>
      <c r="N150" s="120">
        <f t="shared" si="49"/>
        <v>0</v>
      </c>
      <c r="O150" s="120">
        <f t="shared" si="49"/>
        <v>0</v>
      </c>
      <c r="P150" s="120">
        <f t="shared" si="49"/>
        <v>495129</v>
      </c>
      <c r="Q150" s="120">
        <f t="shared" si="49"/>
        <v>495129</v>
      </c>
      <c r="R150" s="120">
        <f t="shared" si="49"/>
        <v>0</v>
      </c>
      <c r="S150" s="120">
        <f t="shared" si="49"/>
        <v>0</v>
      </c>
      <c r="T150" s="120">
        <f t="shared" si="49"/>
        <v>1499946</v>
      </c>
      <c r="U150" s="120">
        <f t="shared" si="49"/>
        <v>332351</v>
      </c>
      <c r="V150" s="120">
        <f t="shared" si="49"/>
        <v>0</v>
      </c>
      <c r="W150" s="120">
        <f t="shared" si="49"/>
        <v>0</v>
      </c>
      <c r="X150" s="120">
        <f t="shared" si="49"/>
        <v>0</v>
      </c>
      <c r="Y150" s="125" t="s">
        <v>119</v>
      </c>
      <c r="Z150" s="114"/>
    </row>
    <row r="151" spans="1:26" ht="15.75">
      <c r="A151" s="118"/>
      <c r="B151" s="147" t="s">
        <v>282</v>
      </c>
      <c r="C151" s="118"/>
      <c r="D151" s="118"/>
      <c r="E151" s="118"/>
      <c r="F151" s="119"/>
      <c r="G151" s="119"/>
      <c r="H151" s="119"/>
      <c r="I151" s="119"/>
      <c r="J151" s="119"/>
      <c r="K151" s="119"/>
      <c r="L151" s="119"/>
      <c r="M151" s="120">
        <f aca="true" t="shared" si="50" ref="M151:X151">SUM(M133+M150)</f>
        <v>42091</v>
      </c>
      <c r="N151" s="120">
        <f t="shared" si="50"/>
        <v>0</v>
      </c>
      <c r="O151" s="120">
        <f t="shared" si="50"/>
        <v>42091</v>
      </c>
      <c r="P151" s="120">
        <f t="shared" si="50"/>
        <v>495129</v>
      </c>
      <c r="Q151" s="120">
        <f t="shared" si="50"/>
        <v>537220</v>
      </c>
      <c r="R151" s="120">
        <f t="shared" si="50"/>
        <v>0</v>
      </c>
      <c r="S151" s="120">
        <f t="shared" si="50"/>
        <v>0</v>
      </c>
      <c r="T151" s="120">
        <f t="shared" si="50"/>
        <v>1499946</v>
      </c>
      <c r="U151" s="120">
        <f t="shared" si="50"/>
        <v>374442</v>
      </c>
      <c r="V151" s="120">
        <f t="shared" si="50"/>
        <v>0</v>
      </c>
      <c r="W151" s="120">
        <f t="shared" si="50"/>
        <v>0</v>
      </c>
      <c r="X151" s="120">
        <f t="shared" si="50"/>
        <v>42091</v>
      </c>
      <c r="Y151" s="750" t="s">
        <v>119</v>
      </c>
      <c r="Z151" s="114"/>
    </row>
    <row r="152" spans="1:26" ht="15.75">
      <c r="A152" s="118"/>
      <c r="B152" s="147" t="s">
        <v>283</v>
      </c>
      <c r="C152" s="118"/>
      <c r="D152" s="118"/>
      <c r="E152" s="118"/>
      <c r="F152" s="119"/>
      <c r="G152" s="119"/>
      <c r="H152" s="119"/>
      <c r="I152" s="119"/>
      <c r="J152" s="119"/>
      <c r="K152" s="119"/>
      <c r="L152" s="119"/>
      <c r="M152" s="120">
        <f aca="true" t="shared" si="51" ref="M152:X152">SUM(M124+M151)</f>
        <v>2146681</v>
      </c>
      <c r="N152" s="120">
        <f t="shared" si="51"/>
        <v>87210</v>
      </c>
      <c r="O152" s="120">
        <f t="shared" si="51"/>
        <v>2233891</v>
      </c>
      <c r="P152" s="120">
        <f t="shared" si="51"/>
        <v>720647</v>
      </c>
      <c r="Q152" s="120">
        <f t="shared" si="51"/>
        <v>2954538</v>
      </c>
      <c r="R152" s="120">
        <f t="shared" si="51"/>
        <v>1171338</v>
      </c>
      <c r="S152" s="120">
        <f t="shared" si="51"/>
        <v>0</v>
      </c>
      <c r="T152" s="120">
        <f t="shared" si="51"/>
        <v>4092488</v>
      </c>
      <c r="U152" s="120">
        <f t="shared" si="51"/>
        <v>1413171</v>
      </c>
      <c r="V152" s="120">
        <f t="shared" si="51"/>
        <v>0</v>
      </c>
      <c r="W152" s="120">
        <f t="shared" si="51"/>
        <v>1830525</v>
      </c>
      <c r="X152" s="120">
        <f t="shared" si="51"/>
        <v>316156</v>
      </c>
      <c r="Y152" s="750" t="s">
        <v>119</v>
      </c>
      <c r="Z152" s="114"/>
    </row>
  </sheetData>
  <sheetProtection selectLockedCells="1" selectUnlockedCells="1"/>
  <mergeCells count="1">
    <mergeCell ref="A5:Y5"/>
  </mergeCells>
  <printOptions horizontalCentered="1"/>
  <pageMargins left="0.3298611111111111" right="0.2798611111111111" top="0.4" bottom="0.4798611111111111" header="0.5118055555555555" footer="0.5118055555555555"/>
  <pageSetup horizontalDpi="300" verticalDpi="300" orientation="portrait" paperSize="9" scale="52" r:id="rId1"/>
  <rowBreaks count="2" manualBreakCount="2">
    <brk id="65" max="255" man="1"/>
    <brk id="1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címrendes kiadás"/>
  <dimension ref="A1:AC100"/>
  <sheetViews>
    <sheetView view="pageBreakPreview" zoomScale="75" zoomScaleNormal="75" zoomScaleSheetLayoutView="75" workbookViewId="0" topLeftCell="A1">
      <selection activeCell="Y2" sqref="Y2"/>
    </sheetView>
  </sheetViews>
  <sheetFormatPr defaultColWidth="9.00390625" defaultRowHeight="12.75"/>
  <cols>
    <col min="1" max="1" width="2.875" style="151" customWidth="1"/>
    <col min="2" max="2" width="3.125" style="151" customWidth="1"/>
    <col min="3" max="3" width="5.00390625" style="151" customWidth="1"/>
    <col min="4" max="4" width="4.375" style="151" customWidth="1"/>
    <col min="5" max="5" width="4.00390625" style="151" customWidth="1"/>
    <col min="6" max="6" width="3.125" style="152" customWidth="1"/>
    <col min="7" max="7" width="3.375" style="152" customWidth="1"/>
    <col min="8" max="8" width="3.125" style="152" customWidth="1"/>
    <col min="9" max="9" width="4.875" style="152" customWidth="1"/>
    <col min="10" max="10" width="2.375" style="152" customWidth="1"/>
    <col min="11" max="11" width="2.875" style="152" customWidth="1"/>
    <col min="12" max="12" width="56.625" style="152" customWidth="1"/>
    <col min="13" max="13" width="14.375" style="153" customWidth="1"/>
    <col min="14" max="21" width="0" style="153" hidden="1" customWidth="1"/>
    <col min="22" max="22" width="13.125" style="153" customWidth="1"/>
    <col min="23" max="23" width="14.25390625" style="153" customWidth="1"/>
    <col min="24" max="24" width="13.875" style="153" customWidth="1"/>
    <col min="25" max="25" width="9.125" style="154" customWidth="1"/>
    <col min="26" max="26" width="11.625" style="152" customWidth="1"/>
    <col min="27" max="16384" width="9.125" style="152" customWidth="1"/>
  </cols>
  <sheetData>
    <row r="1" spans="13:25" ht="15" customHeight="1">
      <c r="M1" s="155"/>
      <c r="N1" s="156"/>
      <c r="O1" s="156"/>
      <c r="P1" s="156"/>
      <c r="Q1" s="156"/>
      <c r="Y1" s="157" t="s">
        <v>630</v>
      </c>
    </row>
    <row r="3" spans="1:25" ht="15.75">
      <c r="A3" s="775" t="s">
        <v>284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</row>
    <row r="4" spans="1:13" ht="15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6"/>
    </row>
    <row r="5" spans="13:25" ht="15.75">
      <c r="M5" s="159"/>
      <c r="N5" s="96"/>
      <c r="O5" s="96"/>
      <c r="P5" s="96"/>
      <c r="Q5" s="160"/>
      <c r="Y5" s="161" t="s">
        <v>123</v>
      </c>
    </row>
    <row r="6" spans="1:25" ht="95.25">
      <c r="A6" s="162" t="s">
        <v>124</v>
      </c>
      <c r="B6" s="162" t="s">
        <v>125</v>
      </c>
      <c r="C6" s="162" t="s">
        <v>126</v>
      </c>
      <c r="D6" s="162" t="s">
        <v>127</v>
      </c>
      <c r="E6" s="162" t="s">
        <v>128</v>
      </c>
      <c r="F6" s="162" t="s">
        <v>129</v>
      </c>
      <c r="G6" s="162" t="s">
        <v>130</v>
      </c>
      <c r="H6" s="162" t="s">
        <v>131</v>
      </c>
      <c r="I6" s="162" t="s">
        <v>132</v>
      </c>
      <c r="J6" s="162" t="s">
        <v>133</v>
      </c>
      <c r="K6" s="162" t="s">
        <v>134</v>
      </c>
      <c r="L6" s="163" t="s">
        <v>135</v>
      </c>
      <c r="M6" s="102" t="s">
        <v>10</v>
      </c>
      <c r="N6" s="102" t="s">
        <v>9</v>
      </c>
      <c r="O6" s="102" t="s">
        <v>4</v>
      </c>
      <c r="P6" s="102" t="s">
        <v>9</v>
      </c>
      <c r="Q6" s="102" t="s">
        <v>136</v>
      </c>
      <c r="R6" s="101" t="s">
        <v>3</v>
      </c>
      <c r="S6" s="142" t="s">
        <v>137</v>
      </c>
      <c r="T6" s="105" t="s">
        <v>138</v>
      </c>
      <c r="U6" s="105" t="s">
        <v>139</v>
      </c>
      <c r="V6" s="668" t="s">
        <v>550</v>
      </c>
      <c r="W6" s="668" t="s">
        <v>551</v>
      </c>
      <c r="X6" s="668" t="s">
        <v>552</v>
      </c>
      <c r="Y6" s="102" t="s">
        <v>11</v>
      </c>
    </row>
    <row r="7" spans="1:29" s="106" customFormat="1" ht="15">
      <c r="A7" s="101" t="s">
        <v>140</v>
      </c>
      <c r="B7" s="101" t="s">
        <v>141</v>
      </c>
      <c r="C7" s="101" t="s">
        <v>142</v>
      </c>
      <c r="D7" s="101" t="s">
        <v>143</v>
      </c>
      <c r="E7" s="101" t="s">
        <v>144</v>
      </c>
      <c r="F7" s="101" t="s">
        <v>145</v>
      </c>
      <c r="G7" s="101" t="s">
        <v>146</v>
      </c>
      <c r="H7" s="101" t="s">
        <v>147</v>
      </c>
      <c r="I7" s="101" t="s">
        <v>148</v>
      </c>
      <c r="J7" s="101" t="s">
        <v>149</v>
      </c>
      <c r="K7" s="101" t="s">
        <v>150</v>
      </c>
      <c r="L7" s="101" t="s">
        <v>12</v>
      </c>
      <c r="M7" s="102" t="s">
        <v>13</v>
      </c>
      <c r="N7" s="109" t="s">
        <v>151</v>
      </c>
      <c r="O7" s="109" t="s">
        <v>151</v>
      </c>
      <c r="P7" s="109" t="s">
        <v>152</v>
      </c>
      <c r="Q7" s="164" t="s">
        <v>151</v>
      </c>
      <c r="R7" s="109" t="s">
        <v>152</v>
      </c>
      <c r="S7" s="109" t="s">
        <v>153</v>
      </c>
      <c r="T7" s="109" t="s">
        <v>154</v>
      </c>
      <c r="U7" s="109" t="s">
        <v>155</v>
      </c>
      <c r="V7" s="110" t="s">
        <v>151</v>
      </c>
      <c r="W7" s="110" t="s">
        <v>152</v>
      </c>
      <c r="X7" s="110" t="s">
        <v>153</v>
      </c>
      <c r="Y7" s="110" t="s">
        <v>14</v>
      </c>
      <c r="Z7" s="111"/>
      <c r="AA7" s="111"/>
      <c r="AB7" s="111"/>
      <c r="AC7" s="111"/>
    </row>
    <row r="8" spans="1:29" ht="15">
      <c r="A8" s="151" t="s">
        <v>156</v>
      </c>
      <c r="G8" s="152" t="s">
        <v>157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6"/>
      <c r="Z8" s="167"/>
      <c r="AA8" s="167"/>
      <c r="AB8" s="167"/>
      <c r="AC8" s="167"/>
    </row>
    <row r="9" spans="4:10" ht="15">
      <c r="D9" s="151" t="s">
        <v>156</v>
      </c>
      <c r="J9" s="152" t="s">
        <v>29</v>
      </c>
    </row>
    <row r="10" spans="5:26" ht="15">
      <c r="E10" s="168" t="s">
        <v>194</v>
      </c>
      <c r="K10" s="152" t="s">
        <v>285</v>
      </c>
      <c r="M10" s="153">
        <v>105791</v>
      </c>
      <c r="N10" s="153">
        <v>53071</v>
      </c>
      <c r="O10" s="153">
        <f aca="true" t="shared" si="0" ref="O10:O17">M10+N10</f>
        <v>158862</v>
      </c>
      <c r="P10" s="153">
        <v>129209</v>
      </c>
      <c r="Q10" s="153">
        <f aca="true" t="shared" si="1" ref="Q10:Q17">O10+P10</f>
        <v>288071</v>
      </c>
      <c r="R10" s="153">
        <f>510+2695+72080+3512</f>
        <v>78797</v>
      </c>
      <c r="S10" s="153">
        <v>0</v>
      </c>
      <c r="T10" s="153">
        <f>9089+70026+244984+56490-1</f>
        <v>380588</v>
      </c>
      <c r="U10" s="153">
        <v>0</v>
      </c>
      <c r="V10" s="153">
        <v>0</v>
      </c>
      <c r="W10" s="153">
        <v>50660</v>
      </c>
      <c r="X10" s="153">
        <v>55131</v>
      </c>
      <c r="Y10" s="154" t="s">
        <v>34</v>
      </c>
      <c r="Z10" s="153"/>
    </row>
    <row r="11" spans="5:26" ht="15">
      <c r="E11" s="168" t="s">
        <v>209</v>
      </c>
      <c r="K11" s="152" t="s">
        <v>286</v>
      </c>
      <c r="M11" s="153">
        <v>21509</v>
      </c>
      <c r="N11" s="153">
        <v>7169</v>
      </c>
      <c r="O11" s="153">
        <f t="shared" si="0"/>
        <v>28678</v>
      </c>
      <c r="P11" s="153">
        <v>21833</v>
      </c>
      <c r="Q11" s="153">
        <f t="shared" si="1"/>
        <v>50511</v>
      </c>
      <c r="R11" s="153">
        <f>-1749+9731+364+948</f>
        <v>9294</v>
      </c>
      <c r="S11" s="153">
        <v>0</v>
      </c>
      <c r="T11" s="153">
        <f>2405+10972+33073+14981</f>
        <v>61431</v>
      </c>
      <c r="U11" s="153">
        <v>0</v>
      </c>
      <c r="V11" s="153">
        <v>0</v>
      </c>
      <c r="W11" s="153">
        <v>14248</v>
      </c>
      <c r="X11" s="153">
        <v>7261</v>
      </c>
      <c r="Y11" s="154" t="s">
        <v>36</v>
      </c>
      <c r="Z11" s="153"/>
    </row>
    <row r="12" spans="5:26" ht="15">
      <c r="E12" s="168" t="s">
        <v>287</v>
      </c>
      <c r="K12" s="152" t="s">
        <v>37</v>
      </c>
      <c r="M12" s="153">
        <v>261213</v>
      </c>
      <c r="N12" s="153">
        <v>9165</v>
      </c>
      <c r="O12" s="153">
        <f t="shared" si="0"/>
        <v>270378</v>
      </c>
      <c r="P12" s="153">
        <f>158865-72+1</f>
        <v>158794</v>
      </c>
      <c r="Q12" s="153">
        <f t="shared" si="1"/>
        <v>429172</v>
      </c>
      <c r="R12" s="153">
        <f>252350-340+340</f>
        <v>252350</v>
      </c>
      <c r="S12" s="153">
        <v>0</v>
      </c>
      <c r="T12" s="153">
        <f>599479-9089-2405-70026-10972-244984-33073+4700+4917+536+1</f>
        <v>239084</v>
      </c>
      <c r="U12" s="153">
        <f>387338+62874</f>
        <v>450212</v>
      </c>
      <c r="V12" s="153">
        <v>26392</v>
      </c>
      <c r="W12" s="153">
        <v>210528</v>
      </c>
      <c r="X12" s="153">
        <v>24293</v>
      </c>
      <c r="Y12" s="154" t="s">
        <v>28</v>
      </c>
      <c r="Z12" s="153"/>
    </row>
    <row r="13" spans="5:26" ht="15">
      <c r="E13" s="168" t="s">
        <v>288</v>
      </c>
      <c r="K13" s="152" t="s">
        <v>289</v>
      </c>
      <c r="M13" s="153">
        <v>250955</v>
      </c>
      <c r="N13" s="153">
        <v>2487</v>
      </c>
      <c r="O13" s="153">
        <f t="shared" si="0"/>
        <v>253442</v>
      </c>
      <c r="P13" s="153">
        <v>13123</v>
      </c>
      <c r="Q13" s="169">
        <f t="shared" si="1"/>
        <v>266565</v>
      </c>
      <c r="R13" s="153">
        <v>11975</v>
      </c>
      <c r="S13" s="153">
        <v>0</v>
      </c>
      <c r="T13" s="153">
        <v>273971</v>
      </c>
      <c r="U13" s="153">
        <v>23375</v>
      </c>
      <c r="V13" s="153">
        <v>0</v>
      </c>
      <c r="W13" s="153">
        <v>246381</v>
      </c>
      <c r="X13" s="153">
        <v>4574</v>
      </c>
      <c r="Y13" s="154" t="s">
        <v>84</v>
      </c>
      <c r="Z13" s="153"/>
    </row>
    <row r="14" spans="5:26" ht="15">
      <c r="E14" s="168" t="s">
        <v>290</v>
      </c>
      <c r="K14" s="152" t="s">
        <v>82</v>
      </c>
      <c r="M14" s="153">
        <v>275938</v>
      </c>
      <c r="N14" s="153">
        <v>0</v>
      </c>
      <c r="O14" s="153">
        <f t="shared" si="0"/>
        <v>275938</v>
      </c>
      <c r="P14" s="153">
        <v>43334</v>
      </c>
      <c r="Q14" s="169">
        <f t="shared" si="1"/>
        <v>319272</v>
      </c>
      <c r="R14" s="153">
        <v>49298</v>
      </c>
      <c r="S14" s="153">
        <v>0</v>
      </c>
      <c r="T14" s="153">
        <v>213050</v>
      </c>
      <c r="U14" s="153">
        <v>138470</v>
      </c>
      <c r="V14" s="153">
        <v>0</v>
      </c>
      <c r="W14" s="153">
        <v>141223</v>
      </c>
      <c r="X14" s="153">
        <v>134715</v>
      </c>
      <c r="Y14" s="154" t="s">
        <v>67</v>
      </c>
      <c r="Z14" s="153"/>
    </row>
    <row r="15" spans="5:26" ht="15">
      <c r="E15" s="168" t="s">
        <v>291</v>
      </c>
      <c r="K15" s="152" t="s">
        <v>292</v>
      </c>
      <c r="M15" s="153">
        <v>62486</v>
      </c>
      <c r="N15" s="153">
        <v>1753</v>
      </c>
      <c r="O15" s="153">
        <f t="shared" si="0"/>
        <v>64239</v>
      </c>
      <c r="P15" s="153">
        <v>-129</v>
      </c>
      <c r="Q15" s="169">
        <f t="shared" si="1"/>
        <v>64110</v>
      </c>
      <c r="R15" s="153">
        <v>6308</v>
      </c>
      <c r="S15" s="153">
        <v>0</v>
      </c>
      <c r="T15" s="153">
        <v>0</v>
      </c>
      <c r="U15" s="153">
        <v>46708</v>
      </c>
      <c r="V15" s="153">
        <v>0</v>
      </c>
      <c r="W15" s="153">
        <v>0</v>
      </c>
      <c r="X15" s="153">
        <v>62486</v>
      </c>
      <c r="Y15" s="154" t="s">
        <v>31</v>
      </c>
      <c r="Z15" s="153"/>
    </row>
    <row r="16" spans="5:26" ht="15">
      <c r="E16" s="168" t="s">
        <v>293</v>
      </c>
      <c r="K16" s="152" t="s">
        <v>294</v>
      </c>
      <c r="M16" s="153">
        <v>5000</v>
      </c>
      <c r="N16" s="153">
        <v>0</v>
      </c>
      <c r="O16" s="153">
        <f t="shared" si="0"/>
        <v>5000</v>
      </c>
      <c r="P16" s="153">
        <v>0</v>
      </c>
      <c r="Q16" s="169">
        <f t="shared" si="1"/>
        <v>5000</v>
      </c>
      <c r="R16" s="153">
        <v>0</v>
      </c>
      <c r="S16" s="153">
        <v>0</v>
      </c>
      <c r="T16" s="153">
        <v>10000</v>
      </c>
      <c r="U16" s="153">
        <v>0</v>
      </c>
      <c r="V16" s="153">
        <v>0</v>
      </c>
      <c r="W16" s="153">
        <v>0</v>
      </c>
      <c r="X16" s="153">
        <v>5000</v>
      </c>
      <c r="Y16" s="154" t="s">
        <v>91</v>
      </c>
      <c r="Z16" s="153"/>
    </row>
    <row r="17" spans="5:26" ht="15">
      <c r="E17" s="168" t="s">
        <v>295</v>
      </c>
      <c r="K17" s="152" t="s">
        <v>296</v>
      </c>
      <c r="M17" s="153">
        <v>0</v>
      </c>
      <c r="N17" s="153">
        <v>808</v>
      </c>
      <c r="O17" s="153">
        <f t="shared" si="0"/>
        <v>808</v>
      </c>
      <c r="P17" s="153">
        <v>22265</v>
      </c>
      <c r="Q17" s="153">
        <f t="shared" si="1"/>
        <v>23073</v>
      </c>
      <c r="R17" s="153">
        <v>-5156</v>
      </c>
      <c r="S17" s="153">
        <v>0</v>
      </c>
      <c r="T17" s="153">
        <v>0</v>
      </c>
      <c r="U17" s="153">
        <f>Q17+R17</f>
        <v>17917</v>
      </c>
      <c r="V17" s="153">
        <v>0</v>
      </c>
      <c r="W17" s="153">
        <v>0</v>
      </c>
      <c r="X17" s="153">
        <v>0</v>
      </c>
      <c r="Y17" s="154" t="s">
        <v>297</v>
      </c>
      <c r="Z17" s="153"/>
    </row>
    <row r="18" spans="1:26" s="174" customFormat="1" ht="15.75">
      <c r="A18" s="170" t="s">
        <v>156</v>
      </c>
      <c r="B18" s="171"/>
      <c r="C18" s="170"/>
      <c r="D18" s="170"/>
      <c r="E18" s="170"/>
      <c r="F18" s="171"/>
      <c r="G18" s="171"/>
      <c r="H18" s="171" t="s">
        <v>298</v>
      </c>
      <c r="I18" s="171"/>
      <c r="J18" s="171"/>
      <c r="K18" s="171"/>
      <c r="L18" s="171"/>
      <c r="M18" s="172">
        <f>SUM(M10:M17)</f>
        <v>982892</v>
      </c>
      <c r="N18" s="172">
        <f aca="true" t="shared" si="2" ref="N18:X18">SUM(N10:N17)</f>
        <v>74453</v>
      </c>
      <c r="O18" s="172">
        <f t="shared" si="2"/>
        <v>1057345</v>
      </c>
      <c r="P18" s="172">
        <f t="shared" si="2"/>
        <v>388429</v>
      </c>
      <c r="Q18" s="172">
        <f t="shared" si="2"/>
        <v>1445774</v>
      </c>
      <c r="R18" s="172">
        <f t="shared" si="2"/>
        <v>402866</v>
      </c>
      <c r="S18" s="172">
        <f t="shared" si="2"/>
        <v>0</v>
      </c>
      <c r="T18" s="172">
        <f t="shared" si="2"/>
        <v>1178124</v>
      </c>
      <c r="U18" s="172">
        <f t="shared" si="2"/>
        <v>676682</v>
      </c>
      <c r="V18" s="172">
        <f t="shared" si="2"/>
        <v>26392</v>
      </c>
      <c r="W18" s="172">
        <f t="shared" si="2"/>
        <v>663040</v>
      </c>
      <c r="X18" s="172">
        <f t="shared" si="2"/>
        <v>293460</v>
      </c>
      <c r="Y18" s="173"/>
      <c r="Z18" s="153"/>
    </row>
    <row r="19" spans="1:26" ht="15">
      <c r="A19" s="151" t="s">
        <v>161</v>
      </c>
      <c r="G19" s="152" t="s">
        <v>280</v>
      </c>
      <c r="Z19" s="153"/>
    </row>
    <row r="20" spans="4:26" ht="15">
      <c r="D20" s="151" t="s">
        <v>156</v>
      </c>
      <c r="J20" s="152" t="s">
        <v>29</v>
      </c>
      <c r="Z20" s="153"/>
    </row>
    <row r="21" spans="5:26" ht="15">
      <c r="E21" s="168" t="s">
        <v>194</v>
      </c>
      <c r="K21" s="152" t="s">
        <v>285</v>
      </c>
      <c r="M21" s="153">
        <v>248691</v>
      </c>
      <c r="N21" s="153">
        <v>662</v>
      </c>
      <c r="O21" s="153">
        <f>M21+N21</f>
        <v>249353</v>
      </c>
      <c r="P21" s="153">
        <v>6025</v>
      </c>
      <c r="Q21" s="153">
        <f>O21+P21</f>
        <v>255378</v>
      </c>
      <c r="R21" s="153">
        <f>2137+2027+13225</f>
        <v>17389</v>
      </c>
      <c r="S21" s="153">
        <v>51496</v>
      </c>
      <c r="T21" s="153">
        <f>2137+2027+200291</f>
        <v>204455</v>
      </c>
      <c r="U21" s="153">
        <v>0</v>
      </c>
      <c r="V21" s="153">
        <v>52610</v>
      </c>
      <c r="W21" s="153">
        <v>189951</v>
      </c>
      <c r="X21" s="153">
        <v>6130</v>
      </c>
      <c r="Y21" s="154" t="s">
        <v>34</v>
      </c>
      <c r="Z21" s="153"/>
    </row>
    <row r="22" spans="5:26" ht="15">
      <c r="E22" s="168" t="s">
        <v>209</v>
      </c>
      <c r="K22" s="152" t="s">
        <v>286</v>
      </c>
      <c r="M22" s="153">
        <v>70556</v>
      </c>
      <c r="N22" s="153">
        <v>179</v>
      </c>
      <c r="O22" s="153">
        <f>M22+N22</f>
        <v>70735</v>
      </c>
      <c r="P22" s="153">
        <v>1513</v>
      </c>
      <c r="Q22" s="153">
        <f>O22+P22</f>
        <v>72248</v>
      </c>
      <c r="R22" s="153">
        <f>604+576+3880</f>
        <v>5060</v>
      </c>
      <c r="S22" s="153">
        <v>14447</v>
      </c>
      <c r="T22" s="153">
        <f>604+576+57820</f>
        <v>59000</v>
      </c>
      <c r="U22" s="153">
        <v>0</v>
      </c>
      <c r="V22" s="153">
        <v>14594</v>
      </c>
      <c r="W22" s="153">
        <v>53275</v>
      </c>
      <c r="X22" s="153">
        <v>2687</v>
      </c>
      <c r="Y22" s="154" t="s">
        <v>36</v>
      </c>
      <c r="Z22" s="153"/>
    </row>
    <row r="23" spans="5:26" ht="15">
      <c r="E23" s="168" t="s">
        <v>287</v>
      </c>
      <c r="K23" s="152" t="s">
        <v>37</v>
      </c>
      <c r="M23" s="153">
        <v>110366</v>
      </c>
      <c r="N23" s="153">
        <v>0</v>
      </c>
      <c r="O23" s="153">
        <f>M23+N23</f>
        <v>110366</v>
      </c>
      <c r="P23" s="153">
        <v>3920</v>
      </c>
      <c r="Q23" s="153">
        <f>O23+P23</f>
        <v>114286</v>
      </c>
      <c r="R23" s="153">
        <f>183+219+2828+500-2830</f>
        <v>900</v>
      </c>
      <c r="S23" s="153">
        <v>26392</v>
      </c>
      <c r="T23" s="153">
        <f>2500+183+219+500+75329+300+4635</f>
        <v>83666</v>
      </c>
      <c r="U23" s="153">
        <f>815+7090+2828</f>
        <v>10733</v>
      </c>
      <c r="V23" s="153">
        <v>0</v>
      </c>
      <c r="W23" s="153">
        <v>97631</v>
      </c>
      <c r="X23" s="153">
        <v>12735</v>
      </c>
      <c r="Y23" s="154" t="s">
        <v>28</v>
      </c>
      <c r="Z23" s="153"/>
    </row>
    <row r="24" spans="5:26" ht="15">
      <c r="E24" s="168" t="s">
        <v>290</v>
      </c>
      <c r="K24" s="152" t="s">
        <v>292</v>
      </c>
      <c r="M24" s="153">
        <v>2121</v>
      </c>
      <c r="N24" s="153">
        <v>15172</v>
      </c>
      <c r="O24" s="153">
        <f>M24+N24</f>
        <v>17293</v>
      </c>
      <c r="P24" s="153">
        <v>14584</v>
      </c>
      <c r="Q24" s="153">
        <f>O24+P24</f>
        <v>31877</v>
      </c>
      <c r="R24" s="153">
        <v>13100</v>
      </c>
      <c r="S24" s="153">
        <v>0</v>
      </c>
      <c r="T24" s="153">
        <f>Q24+R24</f>
        <v>44977</v>
      </c>
      <c r="U24" s="153">
        <v>0</v>
      </c>
      <c r="V24" s="153">
        <v>0</v>
      </c>
      <c r="W24" s="153">
        <v>2121</v>
      </c>
      <c r="X24" s="153">
        <v>0</v>
      </c>
      <c r="Y24" s="154" t="s">
        <v>31</v>
      </c>
      <c r="Z24" s="153"/>
    </row>
    <row r="25" spans="1:26" s="174" customFormat="1" ht="15.75">
      <c r="A25" s="170" t="s">
        <v>161</v>
      </c>
      <c r="B25" s="170"/>
      <c r="C25" s="170"/>
      <c r="D25" s="170"/>
      <c r="E25" s="170"/>
      <c r="F25" s="171"/>
      <c r="G25" s="171"/>
      <c r="H25" s="171" t="s">
        <v>252</v>
      </c>
      <c r="I25" s="171"/>
      <c r="J25" s="171"/>
      <c r="K25" s="171"/>
      <c r="L25" s="171"/>
      <c r="M25" s="172">
        <f>SUM(M21:M24)</f>
        <v>431734</v>
      </c>
      <c r="N25" s="172">
        <f aca="true" t="shared" si="3" ref="N25:X25">SUM(N21:N24)</f>
        <v>16013</v>
      </c>
      <c r="O25" s="172">
        <f t="shared" si="3"/>
        <v>447747</v>
      </c>
      <c r="P25" s="172">
        <f t="shared" si="3"/>
        <v>26042</v>
      </c>
      <c r="Q25" s="172">
        <f t="shared" si="3"/>
        <v>473789</v>
      </c>
      <c r="R25" s="172">
        <f t="shared" si="3"/>
        <v>36449</v>
      </c>
      <c r="S25" s="172">
        <f t="shared" si="3"/>
        <v>92335</v>
      </c>
      <c r="T25" s="172">
        <f t="shared" si="3"/>
        <v>392098</v>
      </c>
      <c r="U25" s="172">
        <f t="shared" si="3"/>
        <v>10733</v>
      </c>
      <c r="V25" s="172">
        <f t="shared" si="3"/>
        <v>67204</v>
      </c>
      <c r="W25" s="172">
        <f t="shared" si="3"/>
        <v>342978</v>
      </c>
      <c r="X25" s="172">
        <f t="shared" si="3"/>
        <v>21552</v>
      </c>
      <c r="Y25" s="173"/>
      <c r="Z25" s="153"/>
    </row>
    <row r="26" spans="1:26" ht="15">
      <c r="A26" s="151" t="s">
        <v>229</v>
      </c>
      <c r="G26" s="152" t="s">
        <v>253</v>
      </c>
      <c r="Z26" s="153"/>
    </row>
    <row r="27" spans="4:26" ht="15">
      <c r="D27" s="151" t="s">
        <v>156</v>
      </c>
      <c r="J27" s="152" t="s">
        <v>29</v>
      </c>
      <c r="Z27" s="153"/>
    </row>
    <row r="28" spans="5:26" ht="15">
      <c r="E28" s="151" t="s">
        <v>194</v>
      </c>
      <c r="K28" s="152" t="s">
        <v>285</v>
      </c>
      <c r="M28" s="153">
        <v>106927</v>
      </c>
      <c r="N28" s="153">
        <v>699</v>
      </c>
      <c r="O28" s="153">
        <f>M28+N28</f>
        <v>107626</v>
      </c>
      <c r="P28" s="153">
        <v>1485</v>
      </c>
      <c r="Q28" s="153">
        <f>O28+P28</f>
        <v>109111</v>
      </c>
      <c r="R28" s="153">
        <v>8437</v>
      </c>
      <c r="S28" s="153">
        <v>0</v>
      </c>
      <c r="T28" s="153">
        <f>Q28+R28</f>
        <v>117548</v>
      </c>
      <c r="U28" s="153">
        <v>0</v>
      </c>
      <c r="V28" s="153">
        <v>0</v>
      </c>
      <c r="W28" s="153">
        <v>106927</v>
      </c>
      <c r="X28" s="153">
        <v>0</v>
      </c>
      <c r="Y28" s="154" t="s">
        <v>34</v>
      </c>
      <c r="Z28" s="153"/>
    </row>
    <row r="29" spans="5:26" ht="15">
      <c r="E29" s="151" t="s">
        <v>209</v>
      </c>
      <c r="K29" s="152" t="s">
        <v>286</v>
      </c>
      <c r="M29" s="153">
        <v>28524</v>
      </c>
      <c r="N29" s="153">
        <v>189</v>
      </c>
      <c r="O29" s="153">
        <f>M29+N29</f>
        <v>28713</v>
      </c>
      <c r="P29" s="153">
        <v>401</v>
      </c>
      <c r="Q29" s="153">
        <f>O29+P29</f>
        <v>29114</v>
      </c>
      <c r="R29" s="153">
        <v>2278</v>
      </c>
      <c r="S29" s="153">
        <v>0</v>
      </c>
      <c r="T29" s="153">
        <f>Q29+R29</f>
        <v>31392</v>
      </c>
      <c r="U29" s="153">
        <v>0</v>
      </c>
      <c r="V29" s="153">
        <v>0</v>
      </c>
      <c r="W29" s="153">
        <v>28524</v>
      </c>
      <c r="X29" s="153">
        <v>0</v>
      </c>
      <c r="Y29" s="154" t="s">
        <v>36</v>
      </c>
      <c r="Z29" s="153"/>
    </row>
    <row r="30" spans="5:26" ht="15">
      <c r="E30" s="151" t="s">
        <v>287</v>
      </c>
      <c r="K30" s="152" t="s">
        <v>37</v>
      </c>
      <c r="M30" s="153">
        <v>20726</v>
      </c>
      <c r="N30" s="153">
        <v>0</v>
      </c>
      <c r="O30" s="153">
        <f>M30+N30</f>
        <v>20726</v>
      </c>
      <c r="P30" s="153">
        <v>566</v>
      </c>
      <c r="Q30" s="153">
        <f>O30+P30</f>
        <v>21292</v>
      </c>
      <c r="R30" s="153">
        <v>1306</v>
      </c>
      <c r="S30" s="153">
        <v>0</v>
      </c>
      <c r="T30" s="153">
        <f>Q30+R30</f>
        <v>22598</v>
      </c>
      <c r="U30" s="153">
        <v>0</v>
      </c>
      <c r="V30" s="153">
        <v>0</v>
      </c>
      <c r="W30" s="153">
        <v>20726</v>
      </c>
      <c r="X30" s="153">
        <v>0</v>
      </c>
      <c r="Y30" s="154" t="s">
        <v>28</v>
      </c>
      <c r="Z30" s="153"/>
    </row>
    <row r="31" spans="1:26" s="174" customFormat="1" ht="15.75">
      <c r="A31" s="170" t="s">
        <v>229</v>
      </c>
      <c r="B31" s="170"/>
      <c r="C31" s="170"/>
      <c r="D31" s="170"/>
      <c r="E31" s="170"/>
      <c r="F31" s="171"/>
      <c r="G31" s="171"/>
      <c r="H31" s="171" t="s">
        <v>254</v>
      </c>
      <c r="I31" s="171"/>
      <c r="J31" s="171"/>
      <c r="K31" s="171"/>
      <c r="L31" s="171"/>
      <c r="M31" s="172">
        <f>SUM(M28:M30)</f>
        <v>156177</v>
      </c>
      <c r="N31" s="172">
        <f aca="true" t="shared" si="4" ref="N31:X31">SUM(N28:N30)</f>
        <v>888</v>
      </c>
      <c r="O31" s="172">
        <f t="shared" si="4"/>
        <v>157065</v>
      </c>
      <c r="P31" s="172">
        <f t="shared" si="4"/>
        <v>2452</v>
      </c>
      <c r="Q31" s="172">
        <f t="shared" si="4"/>
        <v>159517</v>
      </c>
      <c r="R31" s="172">
        <f t="shared" si="4"/>
        <v>12021</v>
      </c>
      <c r="S31" s="172">
        <f t="shared" si="4"/>
        <v>0</v>
      </c>
      <c r="T31" s="172">
        <f t="shared" si="4"/>
        <v>171538</v>
      </c>
      <c r="U31" s="172">
        <f t="shared" si="4"/>
        <v>0</v>
      </c>
      <c r="V31" s="172">
        <f t="shared" si="4"/>
        <v>0</v>
      </c>
      <c r="W31" s="172">
        <f t="shared" si="4"/>
        <v>156177</v>
      </c>
      <c r="X31" s="172">
        <f t="shared" si="4"/>
        <v>0</v>
      </c>
      <c r="Y31" s="173"/>
      <c r="Z31" s="153"/>
    </row>
    <row r="32" spans="1:26" ht="15">
      <c r="A32" s="151" t="s">
        <v>255</v>
      </c>
      <c r="G32" s="175" t="s">
        <v>256</v>
      </c>
      <c r="Z32" s="153"/>
    </row>
    <row r="33" spans="4:26" ht="15">
      <c r="D33" s="151" t="s">
        <v>156</v>
      </c>
      <c r="J33" s="152" t="s">
        <v>29</v>
      </c>
      <c r="Z33" s="153"/>
    </row>
    <row r="34" spans="5:26" ht="15">
      <c r="E34" s="151" t="s">
        <v>194</v>
      </c>
      <c r="K34" s="152" t="s">
        <v>285</v>
      </c>
      <c r="M34" s="153">
        <v>38801</v>
      </c>
      <c r="N34" s="153">
        <v>1106</v>
      </c>
      <c r="O34" s="153">
        <f>M34+N34</f>
        <v>39907</v>
      </c>
      <c r="P34" s="153">
        <v>3014</v>
      </c>
      <c r="Q34" s="153">
        <f>O34+P34</f>
        <v>42921</v>
      </c>
      <c r="R34" s="153">
        <v>5244</v>
      </c>
      <c r="S34" s="153">
        <v>0</v>
      </c>
      <c r="T34" s="153">
        <f>16879+1295+63+63+63</f>
        <v>18363</v>
      </c>
      <c r="U34" s="153">
        <f>23386+1825+48+48+48+1790+1</f>
        <v>27146</v>
      </c>
      <c r="V34" s="153">
        <v>0</v>
      </c>
      <c r="W34" s="153">
        <v>16807</v>
      </c>
      <c r="X34" s="153">
        <v>21994</v>
      </c>
      <c r="Y34" s="154" t="s">
        <v>34</v>
      </c>
      <c r="Z34" s="153"/>
    </row>
    <row r="35" spans="5:26" ht="15">
      <c r="E35" s="151" t="s">
        <v>209</v>
      </c>
      <c r="K35" s="152" t="s">
        <v>286</v>
      </c>
      <c r="M35" s="153">
        <v>10338</v>
      </c>
      <c r="N35" s="153">
        <v>192</v>
      </c>
      <c r="O35" s="153">
        <f>M35+N35</f>
        <v>10530</v>
      </c>
      <c r="P35" s="153">
        <v>594</v>
      </c>
      <c r="Q35" s="153">
        <f>O35+P35</f>
        <v>11124</v>
      </c>
      <c r="R35" s="153">
        <v>1174</v>
      </c>
      <c r="S35" s="153">
        <v>0</v>
      </c>
      <c r="T35" s="153">
        <f>4629+350+17+17+17</f>
        <v>5030</v>
      </c>
      <c r="U35" s="153">
        <f>5916+493+13+13+13+242-1</f>
        <v>6689</v>
      </c>
      <c r="V35" s="153">
        <v>0</v>
      </c>
      <c r="W35" s="153">
        <v>4510</v>
      </c>
      <c r="X35" s="153">
        <v>5828</v>
      </c>
      <c r="Y35" s="154" t="s">
        <v>36</v>
      </c>
      <c r="Z35" s="153"/>
    </row>
    <row r="36" spans="5:26" ht="15">
      <c r="E36" s="151" t="s">
        <v>287</v>
      </c>
      <c r="K36" s="152" t="s">
        <v>37</v>
      </c>
      <c r="M36" s="153">
        <v>17500</v>
      </c>
      <c r="N36" s="153">
        <v>0</v>
      </c>
      <c r="O36" s="153">
        <f>M36+N36</f>
        <v>17500</v>
      </c>
      <c r="P36" s="153">
        <v>4385</v>
      </c>
      <c r="Q36" s="153">
        <f>O36+P36</f>
        <v>21885</v>
      </c>
      <c r="R36" s="153">
        <v>401</v>
      </c>
      <c r="S36" s="153">
        <v>0</v>
      </c>
      <c r="T36" s="153">
        <f>12107</f>
        <v>12107</v>
      </c>
      <c r="U36" s="153">
        <f>7778+401</f>
        <v>8179</v>
      </c>
      <c r="V36" s="153">
        <v>0</v>
      </c>
      <c r="W36" s="153">
        <v>9500</v>
      </c>
      <c r="X36" s="153">
        <v>8000</v>
      </c>
      <c r="Y36" s="154" t="s">
        <v>28</v>
      </c>
      <c r="Z36" s="153"/>
    </row>
    <row r="37" spans="1:26" s="174" customFormat="1" ht="15.75">
      <c r="A37" s="170" t="s">
        <v>255</v>
      </c>
      <c r="B37" s="170"/>
      <c r="C37" s="170"/>
      <c r="D37" s="170"/>
      <c r="E37" s="170"/>
      <c r="F37" s="171"/>
      <c r="G37" s="171"/>
      <c r="H37" s="171" t="s">
        <v>281</v>
      </c>
      <c r="I37" s="171"/>
      <c r="J37" s="171"/>
      <c r="K37" s="171"/>
      <c r="L37" s="171"/>
      <c r="M37" s="172">
        <f>SUM(M34:M36)</f>
        <v>66639</v>
      </c>
      <c r="N37" s="172">
        <f aca="true" t="shared" si="5" ref="N37:X37">SUM(N34:N36)</f>
        <v>1298</v>
      </c>
      <c r="O37" s="172">
        <f t="shared" si="5"/>
        <v>67937</v>
      </c>
      <c r="P37" s="172">
        <f t="shared" si="5"/>
        <v>7993</v>
      </c>
      <c r="Q37" s="172">
        <f t="shared" si="5"/>
        <v>75930</v>
      </c>
      <c r="R37" s="172">
        <f t="shared" si="5"/>
        <v>6819</v>
      </c>
      <c r="S37" s="172">
        <f t="shared" si="5"/>
        <v>0</v>
      </c>
      <c r="T37" s="172">
        <f t="shared" si="5"/>
        <v>35500</v>
      </c>
      <c r="U37" s="172">
        <f t="shared" si="5"/>
        <v>42014</v>
      </c>
      <c r="V37" s="172">
        <f t="shared" si="5"/>
        <v>0</v>
      </c>
      <c r="W37" s="172">
        <f t="shared" si="5"/>
        <v>30817</v>
      </c>
      <c r="X37" s="172">
        <f t="shared" si="5"/>
        <v>35822</v>
      </c>
      <c r="Y37" s="173"/>
      <c r="Z37" s="153"/>
    </row>
    <row r="38" spans="12:26" ht="15">
      <c r="L38" s="176"/>
      <c r="R38" s="177"/>
      <c r="S38" s="177"/>
      <c r="T38" s="177"/>
      <c r="U38" s="177"/>
      <c r="V38" s="177"/>
      <c r="W38" s="177"/>
      <c r="X38" s="177"/>
      <c r="Y38" s="178"/>
      <c r="Z38" s="153"/>
    </row>
    <row r="39" spans="1:26" ht="15">
      <c r="A39" s="179"/>
      <c r="B39" s="179"/>
      <c r="C39" s="179"/>
      <c r="D39" s="179" t="s">
        <v>156</v>
      </c>
      <c r="E39" s="179"/>
      <c r="F39" s="180"/>
      <c r="G39" s="180"/>
      <c r="H39" s="180"/>
      <c r="I39" s="180"/>
      <c r="J39" s="180" t="s">
        <v>299</v>
      </c>
      <c r="K39" s="180"/>
      <c r="L39" s="180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8"/>
      <c r="Z39" s="153"/>
    </row>
    <row r="40" spans="5:26" ht="15">
      <c r="E40" s="168" t="s">
        <v>194</v>
      </c>
      <c r="K40" s="152" t="s">
        <v>285</v>
      </c>
      <c r="M40" s="153">
        <f aca="true" t="shared" si="6" ref="M40:X40">SUM(M10+M28+M34+M21)</f>
        <v>500210</v>
      </c>
      <c r="N40" s="153">
        <f t="shared" si="6"/>
        <v>55538</v>
      </c>
      <c r="O40" s="153">
        <f t="shared" si="6"/>
        <v>555748</v>
      </c>
      <c r="P40" s="153">
        <f t="shared" si="6"/>
        <v>139733</v>
      </c>
      <c r="Q40" s="153">
        <f t="shared" si="6"/>
        <v>695481</v>
      </c>
      <c r="R40" s="153">
        <f t="shared" si="6"/>
        <v>109867</v>
      </c>
      <c r="S40" s="153">
        <f t="shared" si="6"/>
        <v>51496</v>
      </c>
      <c r="T40" s="153">
        <f t="shared" si="6"/>
        <v>720954</v>
      </c>
      <c r="U40" s="153">
        <f t="shared" si="6"/>
        <v>27146</v>
      </c>
      <c r="V40" s="153">
        <f t="shared" si="6"/>
        <v>52610</v>
      </c>
      <c r="W40" s="153">
        <f>W10+W21+W28+W34</f>
        <v>364345</v>
      </c>
      <c r="X40" s="153">
        <f t="shared" si="6"/>
        <v>83255</v>
      </c>
      <c r="Y40" s="154" t="s">
        <v>34</v>
      </c>
      <c r="Z40" s="153"/>
    </row>
    <row r="41" spans="5:26" ht="15">
      <c r="E41" s="168" t="s">
        <v>209</v>
      </c>
      <c r="K41" s="152" t="s">
        <v>286</v>
      </c>
      <c r="M41" s="153">
        <f aca="true" t="shared" si="7" ref="M41:X41">SUM(M11+M29+M35+M22)</f>
        <v>130927</v>
      </c>
      <c r="N41" s="153">
        <f t="shared" si="7"/>
        <v>7729</v>
      </c>
      <c r="O41" s="153">
        <f t="shared" si="7"/>
        <v>138656</v>
      </c>
      <c r="P41" s="153">
        <f t="shared" si="7"/>
        <v>24341</v>
      </c>
      <c r="Q41" s="153">
        <f t="shared" si="7"/>
        <v>162997</v>
      </c>
      <c r="R41" s="153">
        <f t="shared" si="7"/>
        <v>17806</v>
      </c>
      <c r="S41" s="153">
        <f t="shared" si="7"/>
        <v>14447</v>
      </c>
      <c r="T41" s="153">
        <f t="shared" si="7"/>
        <v>156853</v>
      </c>
      <c r="U41" s="153">
        <f t="shared" si="7"/>
        <v>6689</v>
      </c>
      <c r="V41" s="153">
        <f t="shared" si="7"/>
        <v>14594</v>
      </c>
      <c r="W41" s="153">
        <f>W11+W22+W29+W35</f>
        <v>100557</v>
      </c>
      <c r="X41" s="153">
        <f t="shared" si="7"/>
        <v>15776</v>
      </c>
      <c r="Y41" s="154" t="s">
        <v>36</v>
      </c>
      <c r="Z41" s="153"/>
    </row>
    <row r="42" spans="5:26" ht="15">
      <c r="E42" s="168" t="s">
        <v>287</v>
      </c>
      <c r="K42" s="152" t="s">
        <v>37</v>
      </c>
      <c r="M42" s="153">
        <f aca="true" t="shared" si="8" ref="M42:X42">SUM(M12+M30+M36+M23)</f>
        <v>409805</v>
      </c>
      <c r="N42" s="153">
        <f t="shared" si="8"/>
        <v>9165</v>
      </c>
      <c r="O42" s="153">
        <f t="shared" si="8"/>
        <v>418970</v>
      </c>
      <c r="P42" s="153">
        <f t="shared" si="8"/>
        <v>167665</v>
      </c>
      <c r="Q42" s="153">
        <f t="shared" si="8"/>
        <v>586635</v>
      </c>
      <c r="R42" s="153">
        <f t="shared" si="8"/>
        <v>254957</v>
      </c>
      <c r="S42" s="153">
        <f t="shared" si="8"/>
        <v>26392</v>
      </c>
      <c r="T42" s="153">
        <f t="shared" si="8"/>
        <v>357455</v>
      </c>
      <c r="U42" s="153">
        <f t="shared" si="8"/>
        <v>469124</v>
      </c>
      <c r="V42" s="153">
        <f t="shared" si="8"/>
        <v>26392</v>
      </c>
      <c r="W42" s="153">
        <f>W12+W23+W30+W36</f>
        <v>338385</v>
      </c>
      <c r="X42" s="153">
        <f t="shared" si="8"/>
        <v>45028</v>
      </c>
      <c r="Y42" s="154" t="s">
        <v>28</v>
      </c>
      <c r="Z42" s="153"/>
    </row>
    <row r="43" spans="5:26" ht="15">
      <c r="E43" s="168" t="s">
        <v>288</v>
      </c>
      <c r="K43" s="152" t="s">
        <v>289</v>
      </c>
      <c r="M43" s="153">
        <f aca="true" t="shared" si="9" ref="M43:X43">SUM(M13)</f>
        <v>250955</v>
      </c>
      <c r="N43" s="153">
        <f t="shared" si="9"/>
        <v>2487</v>
      </c>
      <c r="O43" s="153">
        <f t="shared" si="9"/>
        <v>253442</v>
      </c>
      <c r="P43" s="153">
        <f t="shared" si="9"/>
        <v>13123</v>
      </c>
      <c r="Q43" s="153">
        <f t="shared" si="9"/>
        <v>266565</v>
      </c>
      <c r="R43" s="153">
        <f t="shared" si="9"/>
        <v>11975</v>
      </c>
      <c r="S43" s="153">
        <f t="shared" si="9"/>
        <v>0</v>
      </c>
      <c r="T43" s="153">
        <f t="shared" si="9"/>
        <v>273971</v>
      </c>
      <c r="U43" s="153">
        <f t="shared" si="9"/>
        <v>23375</v>
      </c>
      <c r="V43" s="153">
        <f t="shared" si="9"/>
        <v>0</v>
      </c>
      <c r="W43" s="153">
        <f>W13</f>
        <v>246381</v>
      </c>
      <c r="X43" s="153">
        <f t="shared" si="9"/>
        <v>4574</v>
      </c>
      <c r="Y43" s="154" t="s">
        <v>84</v>
      </c>
      <c r="Z43" s="153"/>
    </row>
    <row r="44" spans="5:26" ht="15">
      <c r="E44" s="168" t="s">
        <v>290</v>
      </c>
      <c r="K44" s="152" t="s">
        <v>82</v>
      </c>
      <c r="M44" s="153">
        <f aca="true" t="shared" si="10" ref="M44:X44">SUM(M14)</f>
        <v>275938</v>
      </c>
      <c r="N44" s="153">
        <f t="shared" si="10"/>
        <v>0</v>
      </c>
      <c r="O44" s="153">
        <f t="shared" si="10"/>
        <v>275938</v>
      </c>
      <c r="P44" s="153">
        <f t="shared" si="10"/>
        <v>43334</v>
      </c>
      <c r="Q44" s="153">
        <f t="shared" si="10"/>
        <v>319272</v>
      </c>
      <c r="R44" s="153">
        <f t="shared" si="10"/>
        <v>49298</v>
      </c>
      <c r="S44" s="153">
        <f t="shared" si="10"/>
        <v>0</v>
      </c>
      <c r="T44" s="153">
        <f t="shared" si="10"/>
        <v>213050</v>
      </c>
      <c r="U44" s="153">
        <f t="shared" si="10"/>
        <v>138470</v>
      </c>
      <c r="V44" s="153">
        <f t="shared" si="10"/>
        <v>0</v>
      </c>
      <c r="W44" s="153">
        <f>W14</f>
        <v>141223</v>
      </c>
      <c r="X44" s="153">
        <f t="shared" si="10"/>
        <v>134715</v>
      </c>
      <c r="Y44" s="154" t="s">
        <v>67</v>
      </c>
      <c r="Z44" s="153"/>
    </row>
    <row r="45" spans="5:26" ht="15">
      <c r="E45" s="168" t="s">
        <v>291</v>
      </c>
      <c r="K45" s="152" t="s">
        <v>292</v>
      </c>
      <c r="M45" s="153">
        <f aca="true" t="shared" si="11" ref="M45:X45">SUM(M15+M24)</f>
        <v>64607</v>
      </c>
      <c r="N45" s="153">
        <f t="shared" si="11"/>
        <v>16925</v>
      </c>
      <c r="O45" s="153">
        <f t="shared" si="11"/>
        <v>81532</v>
      </c>
      <c r="P45" s="153">
        <f t="shared" si="11"/>
        <v>14455</v>
      </c>
      <c r="Q45" s="153">
        <f t="shared" si="11"/>
        <v>95987</v>
      </c>
      <c r="R45" s="153">
        <f t="shared" si="11"/>
        <v>19408</v>
      </c>
      <c r="S45" s="153">
        <f t="shared" si="11"/>
        <v>0</v>
      </c>
      <c r="T45" s="153">
        <f t="shared" si="11"/>
        <v>44977</v>
      </c>
      <c r="U45" s="153">
        <f t="shared" si="11"/>
        <v>46708</v>
      </c>
      <c r="V45" s="153">
        <f t="shared" si="11"/>
        <v>0</v>
      </c>
      <c r="W45" s="153">
        <f t="shared" si="11"/>
        <v>2121</v>
      </c>
      <c r="X45" s="153">
        <f t="shared" si="11"/>
        <v>62486</v>
      </c>
      <c r="Y45" s="154" t="s">
        <v>31</v>
      </c>
      <c r="Z45" s="153"/>
    </row>
    <row r="46" spans="5:26" ht="15">
      <c r="E46" s="168" t="s">
        <v>293</v>
      </c>
      <c r="K46" s="152" t="s">
        <v>294</v>
      </c>
      <c r="M46" s="153">
        <f aca="true" t="shared" si="12" ref="M46:X46">SUM(M16)</f>
        <v>5000</v>
      </c>
      <c r="N46" s="153">
        <f t="shared" si="12"/>
        <v>0</v>
      </c>
      <c r="O46" s="153">
        <f t="shared" si="12"/>
        <v>5000</v>
      </c>
      <c r="P46" s="153">
        <f t="shared" si="12"/>
        <v>0</v>
      </c>
      <c r="Q46" s="153">
        <f t="shared" si="12"/>
        <v>5000</v>
      </c>
      <c r="R46" s="153">
        <f t="shared" si="12"/>
        <v>0</v>
      </c>
      <c r="S46" s="153">
        <f t="shared" si="12"/>
        <v>0</v>
      </c>
      <c r="T46" s="153">
        <f t="shared" si="12"/>
        <v>10000</v>
      </c>
      <c r="U46" s="153">
        <f t="shared" si="12"/>
        <v>0</v>
      </c>
      <c r="V46" s="153">
        <f t="shared" si="12"/>
        <v>0</v>
      </c>
      <c r="W46" s="153">
        <f t="shared" si="12"/>
        <v>0</v>
      </c>
      <c r="X46" s="153">
        <f t="shared" si="12"/>
        <v>5000</v>
      </c>
      <c r="Y46" s="154" t="s">
        <v>91</v>
      </c>
      <c r="Z46" s="153"/>
    </row>
    <row r="47" spans="5:26" ht="15">
      <c r="E47" s="168" t="s">
        <v>295</v>
      </c>
      <c r="K47" s="152" t="s">
        <v>296</v>
      </c>
      <c r="M47" s="153">
        <f aca="true" t="shared" si="13" ref="M47:X47">SUM(M17)</f>
        <v>0</v>
      </c>
      <c r="N47" s="153">
        <f t="shared" si="13"/>
        <v>808</v>
      </c>
      <c r="O47" s="153">
        <f t="shared" si="13"/>
        <v>808</v>
      </c>
      <c r="P47" s="153">
        <f t="shared" si="13"/>
        <v>22265</v>
      </c>
      <c r="Q47" s="153">
        <f t="shared" si="13"/>
        <v>23073</v>
      </c>
      <c r="R47" s="153">
        <f t="shared" si="13"/>
        <v>-5156</v>
      </c>
      <c r="S47" s="153">
        <f t="shared" si="13"/>
        <v>0</v>
      </c>
      <c r="T47" s="153">
        <f t="shared" si="13"/>
        <v>0</v>
      </c>
      <c r="U47" s="153">
        <f t="shared" si="13"/>
        <v>17917</v>
      </c>
      <c r="V47" s="153">
        <f t="shared" si="13"/>
        <v>0</v>
      </c>
      <c r="W47" s="153">
        <f t="shared" si="13"/>
        <v>0</v>
      </c>
      <c r="X47" s="153">
        <f t="shared" si="13"/>
        <v>0</v>
      </c>
      <c r="Y47" s="154" t="s">
        <v>297</v>
      </c>
      <c r="Z47" s="153"/>
    </row>
    <row r="48" spans="1:26" s="174" customFormat="1" ht="15.75">
      <c r="A48" s="170"/>
      <c r="B48" s="170"/>
      <c r="C48" s="170"/>
      <c r="D48" s="170" t="s">
        <v>156</v>
      </c>
      <c r="E48" s="170"/>
      <c r="F48" s="171"/>
      <c r="G48" s="171"/>
      <c r="H48" s="171"/>
      <c r="I48" s="171"/>
      <c r="J48" s="171" t="s">
        <v>300</v>
      </c>
      <c r="K48" s="171"/>
      <c r="L48" s="171"/>
      <c r="M48" s="172">
        <f>SUM(M40:M47)</f>
        <v>1637442</v>
      </c>
      <c r="N48" s="172">
        <f aca="true" t="shared" si="14" ref="N48:X48">SUM(N40:N47)</f>
        <v>92652</v>
      </c>
      <c r="O48" s="172">
        <f t="shared" si="14"/>
        <v>1730094</v>
      </c>
      <c r="P48" s="172">
        <f t="shared" si="14"/>
        <v>424916</v>
      </c>
      <c r="Q48" s="172">
        <f t="shared" si="14"/>
        <v>2155010</v>
      </c>
      <c r="R48" s="172">
        <f t="shared" si="14"/>
        <v>458155</v>
      </c>
      <c r="S48" s="172">
        <f t="shared" si="14"/>
        <v>92335</v>
      </c>
      <c r="T48" s="172">
        <f t="shared" si="14"/>
        <v>1777260</v>
      </c>
      <c r="U48" s="172">
        <f t="shared" si="14"/>
        <v>729429</v>
      </c>
      <c r="V48" s="172">
        <f t="shared" si="14"/>
        <v>93596</v>
      </c>
      <c r="W48" s="172">
        <f t="shared" si="14"/>
        <v>1193012</v>
      </c>
      <c r="X48" s="172">
        <f t="shared" si="14"/>
        <v>350834</v>
      </c>
      <c r="Y48" s="173"/>
      <c r="Z48" s="153"/>
    </row>
    <row r="49" spans="1:26" ht="15.75">
      <c r="A49" s="158"/>
      <c r="B49" s="158"/>
      <c r="C49" s="158"/>
      <c r="D49" s="158"/>
      <c r="E49" s="158"/>
      <c r="F49" s="181"/>
      <c r="G49" s="181"/>
      <c r="H49" s="181"/>
      <c r="I49" s="181"/>
      <c r="J49" s="181"/>
      <c r="K49" s="181"/>
      <c r="L49" s="181"/>
      <c r="Z49" s="153"/>
    </row>
    <row r="50" spans="1:26" ht="15.75">
      <c r="A50" s="775" t="s">
        <v>301</v>
      </c>
      <c r="B50" s="775"/>
      <c r="C50" s="775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5"/>
      <c r="R50" s="775"/>
      <c r="S50" s="775"/>
      <c r="T50" s="775"/>
      <c r="U50" s="775"/>
      <c r="V50" s="775"/>
      <c r="W50" s="775"/>
      <c r="X50" s="775"/>
      <c r="Y50" s="775"/>
      <c r="Z50" s="153"/>
    </row>
    <row r="51" spans="1:26" ht="15.7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Z51" s="153"/>
    </row>
    <row r="52" spans="1:26" ht="15.7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M52" s="159"/>
      <c r="N52" s="96"/>
      <c r="O52" s="96"/>
      <c r="P52" s="96"/>
      <c r="Q52" s="96"/>
      <c r="Y52" s="182" t="s">
        <v>123</v>
      </c>
      <c r="Z52" s="153"/>
    </row>
    <row r="53" spans="1:26" ht="95.25">
      <c r="A53" s="162" t="s">
        <v>124</v>
      </c>
      <c r="B53" s="162" t="s">
        <v>125</v>
      </c>
      <c r="C53" s="162" t="s">
        <v>126</v>
      </c>
      <c r="D53" s="162" t="s">
        <v>127</v>
      </c>
      <c r="E53" s="162" t="s">
        <v>128</v>
      </c>
      <c r="F53" s="162" t="s">
        <v>129</v>
      </c>
      <c r="G53" s="162" t="s">
        <v>130</v>
      </c>
      <c r="H53" s="162" t="s">
        <v>131</v>
      </c>
      <c r="I53" s="162" t="s">
        <v>132</v>
      </c>
      <c r="J53" s="162" t="s">
        <v>133</v>
      </c>
      <c r="K53" s="162" t="s">
        <v>134</v>
      </c>
      <c r="L53" s="163" t="s">
        <v>135</v>
      </c>
      <c r="M53" s="102" t="s">
        <v>10</v>
      </c>
      <c r="N53" s="102" t="s">
        <v>9</v>
      </c>
      <c r="O53" s="102" t="s">
        <v>4</v>
      </c>
      <c r="P53" s="102" t="s">
        <v>9</v>
      </c>
      <c r="Q53" s="102" t="s">
        <v>136</v>
      </c>
      <c r="R53" s="101" t="s">
        <v>3</v>
      </c>
      <c r="S53" s="142" t="s">
        <v>137</v>
      </c>
      <c r="T53" s="105" t="s">
        <v>138</v>
      </c>
      <c r="U53" s="105" t="s">
        <v>139</v>
      </c>
      <c r="V53" s="668" t="s">
        <v>550</v>
      </c>
      <c r="W53" s="668" t="s">
        <v>551</v>
      </c>
      <c r="X53" s="668" t="s">
        <v>552</v>
      </c>
      <c r="Y53" s="102" t="s">
        <v>11</v>
      </c>
      <c r="Z53" s="153"/>
    </row>
    <row r="54" spans="1:29" s="106" customFormat="1" ht="15">
      <c r="A54" s="101" t="s">
        <v>140</v>
      </c>
      <c r="B54" s="101" t="s">
        <v>141</v>
      </c>
      <c r="C54" s="101" t="s">
        <v>142</v>
      </c>
      <c r="D54" s="101" t="s">
        <v>143</v>
      </c>
      <c r="E54" s="101" t="s">
        <v>144</v>
      </c>
      <c r="F54" s="101" t="s">
        <v>145</v>
      </c>
      <c r="G54" s="101" t="s">
        <v>146</v>
      </c>
      <c r="H54" s="101" t="s">
        <v>147</v>
      </c>
      <c r="I54" s="101" t="s">
        <v>148</v>
      </c>
      <c r="J54" s="101" t="s">
        <v>149</v>
      </c>
      <c r="K54" s="101" t="s">
        <v>150</v>
      </c>
      <c r="L54" s="101" t="s">
        <v>12</v>
      </c>
      <c r="M54" s="102" t="s">
        <v>13</v>
      </c>
      <c r="N54" s="109" t="s">
        <v>151</v>
      </c>
      <c r="O54" s="109" t="s">
        <v>151</v>
      </c>
      <c r="P54" s="109" t="s">
        <v>152</v>
      </c>
      <c r="Q54" s="164" t="s">
        <v>151</v>
      </c>
      <c r="R54" s="109" t="s">
        <v>152</v>
      </c>
      <c r="S54" s="109" t="s">
        <v>153</v>
      </c>
      <c r="T54" s="109" t="s">
        <v>154</v>
      </c>
      <c r="U54" s="109" t="s">
        <v>155</v>
      </c>
      <c r="V54" s="110" t="s">
        <v>151</v>
      </c>
      <c r="W54" s="110" t="s">
        <v>152</v>
      </c>
      <c r="X54" s="110" t="s">
        <v>153</v>
      </c>
      <c r="Y54" s="110" t="s">
        <v>14</v>
      </c>
      <c r="Z54" s="153"/>
      <c r="AA54" s="111"/>
      <c r="AB54" s="111"/>
      <c r="AC54" s="111"/>
    </row>
    <row r="55" spans="1:26" ht="15">
      <c r="A55" s="151" t="s">
        <v>156</v>
      </c>
      <c r="G55" s="152" t="s">
        <v>157</v>
      </c>
      <c r="Z55" s="153"/>
    </row>
    <row r="56" spans="4:26" ht="15">
      <c r="D56" s="151" t="s">
        <v>161</v>
      </c>
      <c r="J56" s="152" t="s">
        <v>302</v>
      </c>
      <c r="Z56" s="153"/>
    </row>
    <row r="57" spans="5:26" ht="15">
      <c r="E57" s="168" t="s">
        <v>303</v>
      </c>
      <c r="K57" s="152" t="s">
        <v>304</v>
      </c>
      <c r="Z57" s="153"/>
    </row>
    <row r="58" spans="5:26" ht="15">
      <c r="E58" s="168"/>
      <c r="K58" s="152" t="s">
        <v>305</v>
      </c>
      <c r="M58" s="153">
        <v>18000</v>
      </c>
      <c r="V58" s="153">
        <v>0</v>
      </c>
      <c r="W58" s="153">
        <v>0</v>
      </c>
      <c r="X58" s="153">
        <v>18000</v>
      </c>
      <c r="Y58" s="154" t="s">
        <v>306</v>
      </c>
      <c r="Z58" s="153"/>
    </row>
    <row r="59" spans="5:26" ht="15">
      <c r="E59" s="168"/>
      <c r="K59" s="152" t="s">
        <v>557</v>
      </c>
      <c r="M59" s="153">
        <v>14400</v>
      </c>
      <c r="V59" s="153">
        <v>0</v>
      </c>
      <c r="W59" s="153">
        <v>0</v>
      </c>
      <c r="X59" s="153">
        <v>14400</v>
      </c>
      <c r="Y59" s="154" t="s">
        <v>306</v>
      </c>
      <c r="Z59" s="153"/>
    </row>
    <row r="60" spans="5:26" ht="15">
      <c r="E60" s="168"/>
      <c r="K60" s="152" t="s">
        <v>307</v>
      </c>
      <c r="M60" s="153">
        <v>282582</v>
      </c>
      <c r="V60" s="153">
        <v>0</v>
      </c>
      <c r="W60" s="153">
        <v>282582</v>
      </c>
      <c r="X60" s="153">
        <v>0</v>
      </c>
      <c r="Y60" s="154" t="s">
        <v>306</v>
      </c>
      <c r="Z60" s="153"/>
    </row>
    <row r="61" spans="1:26" ht="15.75">
      <c r="A61" s="170"/>
      <c r="B61" s="170"/>
      <c r="C61" s="170"/>
      <c r="D61" s="170"/>
      <c r="E61" s="183" t="s">
        <v>303</v>
      </c>
      <c r="F61" s="171"/>
      <c r="G61" s="171" t="s">
        <v>308</v>
      </c>
      <c r="H61" s="171"/>
      <c r="I61" s="171"/>
      <c r="J61" s="171"/>
      <c r="K61" s="171"/>
      <c r="L61" s="171"/>
      <c r="M61" s="172">
        <f>SUM(M58:M60)</f>
        <v>314982</v>
      </c>
      <c r="N61" s="172">
        <f aca="true" t="shared" si="15" ref="N61:X61">SUM(N58:N60)</f>
        <v>0</v>
      </c>
      <c r="O61" s="172">
        <f t="shared" si="15"/>
        <v>0</v>
      </c>
      <c r="P61" s="172">
        <f t="shared" si="15"/>
        <v>0</v>
      </c>
      <c r="Q61" s="172">
        <f t="shared" si="15"/>
        <v>0</v>
      </c>
      <c r="R61" s="172">
        <f t="shared" si="15"/>
        <v>0</v>
      </c>
      <c r="S61" s="172">
        <f t="shared" si="15"/>
        <v>0</v>
      </c>
      <c r="T61" s="172">
        <f t="shared" si="15"/>
        <v>0</v>
      </c>
      <c r="U61" s="172">
        <f t="shared" si="15"/>
        <v>0</v>
      </c>
      <c r="V61" s="172">
        <f t="shared" si="15"/>
        <v>0</v>
      </c>
      <c r="W61" s="172">
        <f t="shared" si="15"/>
        <v>282582</v>
      </c>
      <c r="X61" s="172">
        <f t="shared" si="15"/>
        <v>32400</v>
      </c>
      <c r="Y61" s="173" t="s">
        <v>306</v>
      </c>
      <c r="Z61" s="153"/>
    </row>
    <row r="62" spans="1:26" ht="15">
      <c r="A62" s="185"/>
      <c r="B62" s="185"/>
      <c r="C62" s="185"/>
      <c r="D62" s="185"/>
      <c r="E62" s="185" t="s">
        <v>163</v>
      </c>
      <c r="F62" s="167"/>
      <c r="G62" s="167"/>
      <c r="H62" s="167"/>
      <c r="I62" s="167"/>
      <c r="J62" s="167"/>
      <c r="K62" s="175" t="s">
        <v>309</v>
      </c>
      <c r="L62" s="167"/>
      <c r="M62" s="165"/>
      <c r="Z62" s="153"/>
    </row>
    <row r="63" spans="1:26" ht="15">
      <c r="A63" s="185"/>
      <c r="B63" s="185"/>
      <c r="C63" s="185"/>
      <c r="D63" s="185"/>
      <c r="E63" s="185"/>
      <c r="F63" s="167"/>
      <c r="G63" s="167"/>
      <c r="H63" s="167"/>
      <c r="I63" s="167"/>
      <c r="J63" s="167"/>
      <c r="K63" s="175" t="s">
        <v>310</v>
      </c>
      <c r="L63" s="167"/>
      <c r="M63" s="165">
        <v>102705</v>
      </c>
      <c r="V63" s="153">
        <v>0</v>
      </c>
      <c r="W63" s="153">
        <v>0</v>
      </c>
      <c r="X63" s="153">
        <v>102705</v>
      </c>
      <c r="Y63" s="154" t="s">
        <v>311</v>
      </c>
      <c r="Z63" s="153"/>
    </row>
    <row r="64" spans="1:26" s="174" customFormat="1" ht="15.75">
      <c r="A64" s="170"/>
      <c r="B64" s="170"/>
      <c r="C64" s="170"/>
      <c r="D64" s="170"/>
      <c r="E64" s="170" t="s">
        <v>163</v>
      </c>
      <c r="F64" s="171"/>
      <c r="G64" s="171" t="s">
        <v>312</v>
      </c>
      <c r="H64" s="171"/>
      <c r="I64" s="171"/>
      <c r="J64" s="171"/>
      <c r="K64" s="186"/>
      <c r="L64" s="171"/>
      <c r="M64" s="172">
        <f>SUM(M63)</f>
        <v>102705</v>
      </c>
      <c r="N64" s="172">
        <f aca="true" t="shared" si="16" ref="N64:X64">SUM(N63)</f>
        <v>0</v>
      </c>
      <c r="O64" s="172">
        <f t="shared" si="16"/>
        <v>0</v>
      </c>
      <c r="P64" s="172">
        <f t="shared" si="16"/>
        <v>0</v>
      </c>
      <c r="Q64" s="172">
        <f t="shared" si="16"/>
        <v>0</v>
      </c>
      <c r="R64" s="172">
        <f t="shared" si="16"/>
        <v>0</v>
      </c>
      <c r="S64" s="172">
        <f t="shared" si="16"/>
        <v>0</v>
      </c>
      <c r="T64" s="172">
        <f t="shared" si="16"/>
        <v>0</v>
      </c>
      <c r="U64" s="172">
        <f t="shared" si="16"/>
        <v>0</v>
      </c>
      <c r="V64" s="172">
        <f t="shared" si="16"/>
        <v>0</v>
      </c>
      <c r="W64" s="172">
        <f t="shared" si="16"/>
        <v>0</v>
      </c>
      <c r="X64" s="172">
        <f t="shared" si="16"/>
        <v>102705</v>
      </c>
      <c r="Y64" s="173" t="s">
        <v>311</v>
      </c>
      <c r="Z64" s="153"/>
    </row>
    <row r="65" spans="1:26" ht="15">
      <c r="A65" s="185"/>
      <c r="B65" s="185"/>
      <c r="C65" s="185"/>
      <c r="D65" s="185"/>
      <c r="E65" s="151" t="s">
        <v>174</v>
      </c>
      <c r="F65" s="167"/>
      <c r="G65" s="167"/>
      <c r="H65" s="167"/>
      <c r="I65" s="167"/>
      <c r="J65" s="167"/>
      <c r="K65" s="175" t="s">
        <v>313</v>
      </c>
      <c r="L65" s="167"/>
      <c r="M65" s="165">
        <v>0</v>
      </c>
      <c r="V65" s="153">
        <v>0</v>
      </c>
      <c r="W65" s="153">
        <v>0</v>
      </c>
      <c r="X65" s="153">
        <v>0</v>
      </c>
      <c r="Y65" s="154" t="s">
        <v>314</v>
      </c>
      <c r="Z65" s="153"/>
    </row>
    <row r="66" spans="1:26" s="181" customFormat="1" ht="15.75">
      <c r="A66" s="170"/>
      <c r="B66" s="170"/>
      <c r="C66" s="170"/>
      <c r="D66" s="170"/>
      <c r="E66" s="170" t="s">
        <v>174</v>
      </c>
      <c r="F66" s="171"/>
      <c r="G66" s="186" t="s">
        <v>315</v>
      </c>
      <c r="H66" s="171"/>
      <c r="I66" s="171"/>
      <c r="J66" s="171"/>
      <c r="K66" s="186"/>
      <c r="L66" s="171"/>
      <c r="M66" s="172">
        <v>0</v>
      </c>
      <c r="N66" s="172">
        <v>0</v>
      </c>
      <c r="O66" s="172">
        <f>M66+N66</f>
        <v>0</v>
      </c>
      <c r="P66" s="172" t="e">
        <f>SUM(#REF!)</f>
        <v>#REF!</v>
      </c>
      <c r="Q66" s="172" t="e">
        <f>O66+P66</f>
        <v>#REF!</v>
      </c>
      <c r="R66" s="172" t="e">
        <f>SUM(#REF!)</f>
        <v>#REF!</v>
      </c>
      <c r="S66" s="172" t="e">
        <f>SUM(#REF!)</f>
        <v>#REF!</v>
      </c>
      <c r="T66" s="172" t="e">
        <f>SUM(#REF!)</f>
        <v>#REF!</v>
      </c>
      <c r="U66" s="172" t="e">
        <f>SUM(#REF!)</f>
        <v>#REF!</v>
      </c>
      <c r="V66" s="172">
        <v>0</v>
      </c>
      <c r="W66" s="172">
        <v>0</v>
      </c>
      <c r="X66" s="172">
        <v>0</v>
      </c>
      <c r="Y66" s="173"/>
      <c r="Z66" s="153"/>
    </row>
    <row r="67" spans="1:26" ht="15">
      <c r="A67" s="185"/>
      <c r="B67" s="185"/>
      <c r="C67" s="185"/>
      <c r="D67" s="185"/>
      <c r="E67" s="185" t="s">
        <v>178</v>
      </c>
      <c r="F67" s="167"/>
      <c r="G67" s="167"/>
      <c r="H67" s="167"/>
      <c r="I67" s="167"/>
      <c r="J67" s="167"/>
      <c r="K67" s="175" t="s">
        <v>316</v>
      </c>
      <c r="L67" s="167"/>
      <c r="M67" s="165">
        <v>0</v>
      </c>
      <c r="V67" s="153">
        <v>0</v>
      </c>
      <c r="W67" s="153">
        <v>0</v>
      </c>
      <c r="X67" s="153">
        <v>0</v>
      </c>
      <c r="Y67" s="154" t="s">
        <v>314</v>
      </c>
      <c r="Z67" s="153"/>
    </row>
    <row r="68" spans="1:26" s="174" customFormat="1" ht="15.75">
      <c r="A68" s="170"/>
      <c r="B68" s="170"/>
      <c r="C68" s="170"/>
      <c r="D68" s="170"/>
      <c r="E68" s="170" t="s">
        <v>178</v>
      </c>
      <c r="F68" s="171"/>
      <c r="G68" s="171" t="s">
        <v>317</v>
      </c>
      <c r="H68" s="171"/>
      <c r="I68" s="171"/>
      <c r="J68" s="171"/>
      <c r="K68" s="186"/>
      <c r="L68" s="171"/>
      <c r="M68" s="172">
        <v>0</v>
      </c>
      <c r="N68" s="172" t="e">
        <f>SUM(#REF!)</f>
        <v>#REF!</v>
      </c>
      <c r="O68" s="172" t="e">
        <f>M68+N68</f>
        <v>#REF!</v>
      </c>
      <c r="P68" s="172" t="e">
        <f>SUM(#REF!)</f>
        <v>#REF!</v>
      </c>
      <c r="Q68" s="172" t="e">
        <f>O68+P68</f>
        <v>#REF!</v>
      </c>
      <c r="R68" s="172" t="e">
        <f>SUM(#REF!)</f>
        <v>#REF!</v>
      </c>
      <c r="S68" s="172" t="e">
        <f>SUM(#REF!)</f>
        <v>#REF!</v>
      </c>
      <c r="T68" s="172" t="e">
        <f>SUM(#REF!)</f>
        <v>#REF!</v>
      </c>
      <c r="U68" s="172" t="e">
        <f>SUM(#REF!)</f>
        <v>#REF!</v>
      </c>
      <c r="V68" s="172">
        <v>0</v>
      </c>
      <c r="W68" s="172">
        <v>0</v>
      </c>
      <c r="X68" s="172">
        <v>0</v>
      </c>
      <c r="Y68" s="173"/>
      <c r="Z68" s="153"/>
    </row>
    <row r="69" spans="1:26" ht="15">
      <c r="A69" s="185"/>
      <c r="B69" s="185"/>
      <c r="C69" s="185"/>
      <c r="D69" s="185"/>
      <c r="E69" s="187" t="s">
        <v>318</v>
      </c>
      <c r="F69" s="167"/>
      <c r="G69" s="167"/>
      <c r="H69" s="167"/>
      <c r="I69" s="167"/>
      <c r="J69" s="167"/>
      <c r="K69" s="175" t="s">
        <v>319</v>
      </c>
      <c r="L69" s="167"/>
      <c r="M69" s="165">
        <v>0</v>
      </c>
      <c r="V69" s="153">
        <v>0</v>
      </c>
      <c r="W69" s="153">
        <v>0</v>
      </c>
      <c r="X69" s="153">
        <v>0</v>
      </c>
      <c r="Y69" s="154" t="s">
        <v>320</v>
      </c>
      <c r="Z69" s="153"/>
    </row>
    <row r="70" spans="1:26" s="174" customFormat="1" ht="15.75">
      <c r="A70" s="170"/>
      <c r="B70" s="170"/>
      <c r="C70" s="170"/>
      <c r="D70" s="170"/>
      <c r="E70" s="170" t="s">
        <v>318</v>
      </c>
      <c r="F70" s="171"/>
      <c r="G70" s="171" t="s">
        <v>321</v>
      </c>
      <c r="H70" s="171"/>
      <c r="I70" s="171"/>
      <c r="J70" s="171"/>
      <c r="K70" s="186"/>
      <c r="L70" s="171"/>
      <c r="M70" s="172">
        <v>0</v>
      </c>
      <c r="N70" s="172">
        <v>0</v>
      </c>
      <c r="O70" s="172">
        <f>M70+N70</f>
        <v>0</v>
      </c>
      <c r="P70" s="172" t="e">
        <f>SUM(#REF!)</f>
        <v>#REF!</v>
      </c>
      <c r="Q70" s="172" t="e">
        <f>O70+P70</f>
        <v>#REF!</v>
      </c>
      <c r="R70" s="172" t="e">
        <f>SUM(#REF!)</f>
        <v>#REF!</v>
      </c>
      <c r="S70" s="172" t="e">
        <f>SUM(#REF!)</f>
        <v>#REF!</v>
      </c>
      <c r="T70" s="172" t="e">
        <f>SUM(#REF!)</f>
        <v>#REF!</v>
      </c>
      <c r="U70" s="172" t="e">
        <f>SUM(#REF!)</f>
        <v>#REF!</v>
      </c>
      <c r="V70" s="172">
        <v>0</v>
      </c>
      <c r="W70" s="172">
        <v>0</v>
      </c>
      <c r="X70" s="172">
        <v>0</v>
      </c>
      <c r="Y70" s="173"/>
      <c r="Z70" s="153"/>
    </row>
    <row r="71" spans="1:26" s="174" customFormat="1" ht="15.75">
      <c r="A71" s="188"/>
      <c r="B71" s="188"/>
      <c r="C71" s="188"/>
      <c r="D71" s="188"/>
      <c r="E71" s="188" t="s">
        <v>322</v>
      </c>
      <c r="F71" s="189"/>
      <c r="G71" s="189"/>
      <c r="H71" s="189"/>
      <c r="I71" s="189"/>
      <c r="J71" s="189"/>
      <c r="K71" s="189" t="s">
        <v>323</v>
      </c>
      <c r="L71" s="189"/>
      <c r="M71" s="184">
        <v>87187</v>
      </c>
      <c r="N71" s="190">
        <v>0</v>
      </c>
      <c r="O71" s="190">
        <f>M71+N71</f>
        <v>87187</v>
      </c>
      <c r="P71" s="190">
        <v>-165104</v>
      </c>
      <c r="Q71" s="190">
        <f>O71+P71</f>
        <v>-77917</v>
      </c>
      <c r="R71" s="172">
        <v>-717565</v>
      </c>
      <c r="S71" s="172">
        <v>0</v>
      </c>
      <c r="T71" s="172">
        <v>0</v>
      </c>
      <c r="U71" s="172">
        <f>Q71+R71</f>
        <v>-795482</v>
      </c>
      <c r="V71" s="172">
        <v>0</v>
      </c>
      <c r="W71" s="172">
        <v>0</v>
      </c>
      <c r="X71" s="172">
        <v>87187</v>
      </c>
      <c r="Y71" s="173" t="s">
        <v>297</v>
      </c>
      <c r="Z71" s="153"/>
    </row>
    <row r="72" spans="1:26" ht="15.75">
      <c r="A72" s="170" t="s">
        <v>156</v>
      </c>
      <c r="B72" s="170"/>
      <c r="C72" s="170"/>
      <c r="D72" s="170"/>
      <c r="E72" s="170"/>
      <c r="F72" s="171"/>
      <c r="G72" s="180"/>
      <c r="H72" s="171" t="s">
        <v>245</v>
      </c>
      <c r="I72" s="171"/>
      <c r="J72" s="180"/>
      <c r="K72" s="171"/>
      <c r="L72" s="171"/>
      <c r="M72" s="172">
        <f aca="true" t="shared" si="17" ref="M72:X72">SUM(M61+M64+M66+M68+M70+M71)</f>
        <v>504874</v>
      </c>
      <c r="N72" s="172" t="e">
        <f t="shared" si="17"/>
        <v>#REF!</v>
      </c>
      <c r="O72" s="172" t="e">
        <f t="shared" si="17"/>
        <v>#REF!</v>
      </c>
      <c r="P72" s="172" t="e">
        <f t="shared" si="17"/>
        <v>#REF!</v>
      </c>
      <c r="Q72" s="172" t="e">
        <f t="shared" si="17"/>
        <v>#REF!</v>
      </c>
      <c r="R72" s="172" t="e">
        <f t="shared" si="17"/>
        <v>#REF!</v>
      </c>
      <c r="S72" s="172" t="e">
        <f t="shared" si="17"/>
        <v>#REF!</v>
      </c>
      <c r="T72" s="172" t="e">
        <f t="shared" si="17"/>
        <v>#REF!</v>
      </c>
      <c r="U72" s="172" t="e">
        <f t="shared" si="17"/>
        <v>#REF!</v>
      </c>
      <c r="V72" s="172">
        <f t="shared" si="17"/>
        <v>0</v>
      </c>
      <c r="W72" s="172">
        <f t="shared" si="17"/>
        <v>282582</v>
      </c>
      <c r="X72" s="172">
        <f t="shared" si="17"/>
        <v>222292</v>
      </c>
      <c r="Y72" s="178"/>
      <c r="Z72" s="153"/>
    </row>
    <row r="73" spans="1:26" s="174" customFormat="1" ht="15.75">
      <c r="A73" s="158"/>
      <c r="B73" s="158"/>
      <c r="C73" s="158"/>
      <c r="D73" s="158"/>
      <c r="E73" s="185" t="s">
        <v>303</v>
      </c>
      <c r="F73" s="167"/>
      <c r="G73" s="167"/>
      <c r="H73" s="167"/>
      <c r="I73" s="167"/>
      <c r="J73" s="167"/>
      <c r="K73" s="167" t="s">
        <v>304</v>
      </c>
      <c r="L73" s="167"/>
      <c r="M73" s="165">
        <f>M61</f>
        <v>314982</v>
      </c>
      <c r="N73" s="165">
        <f aca="true" t="shared" si="18" ref="N73:X73">N61</f>
        <v>0</v>
      </c>
      <c r="O73" s="165">
        <f t="shared" si="18"/>
        <v>0</v>
      </c>
      <c r="P73" s="165">
        <f t="shared" si="18"/>
        <v>0</v>
      </c>
      <c r="Q73" s="165">
        <f t="shared" si="18"/>
        <v>0</v>
      </c>
      <c r="R73" s="165">
        <f t="shared" si="18"/>
        <v>0</v>
      </c>
      <c r="S73" s="165">
        <f t="shared" si="18"/>
        <v>0</v>
      </c>
      <c r="T73" s="165">
        <f t="shared" si="18"/>
        <v>0</v>
      </c>
      <c r="U73" s="165">
        <f t="shared" si="18"/>
        <v>0</v>
      </c>
      <c r="V73" s="165">
        <f t="shared" si="18"/>
        <v>0</v>
      </c>
      <c r="W73" s="165">
        <f t="shared" si="18"/>
        <v>282582</v>
      </c>
      <c r="X73" s="165">
        <f t="shared" si="18"/>
        <v>32400</v>
      </c>
      <c r="Y73" s="154" t="s">
        <v>306</v>
      </c>
      <c r="Z73" s="153"/>
    </row>
    <row r="74" spans="1:26" ht="15">
      <c r="A74" s="185"/>
      <c r="B74" s="185"/>
      <c r="C74" s="185"/>
      <c r="D74" s="185"/>
      <c r="E74" s="185" t="s">
        <v>163</v>
      </c>
      <c r="F74" s="167"/>
      <c r="G74" s="167"/>
      <c r="H74" s="167"/>
      <c r="I74" s="167"/>
      <c r="J74" s="167"/>
      <c r="K74" s="175" t="s">
        <v>309</v>
      </c>
      <c r="L74" s="167"/>
      <c r="M74" s="165">
        <f aca="true" t="shared" si="19" ref="M74:X74">SUM(M64)</f>
        <v>102705</v>
      </c>
      <c r="N74" s="165">
        <f t="shared" si="19"/>
        <v>0</v>
      </c>
      <c r="O74" s="165">
        <f t="shared" si="19"/>
        <v>0</v>
      </c>
      <c r="P74" s="165">
        <f t="shared" si="19"/>
        <v>0</v>
      </c>
      <c r="Q74" s="165">
        <f t="shared" si="19"/>
        <v>0</v>
      </c>
      <c r="R74" s="165">
        <f t="shared" si="19"/>
        <v>0</v>
      </c>
      <c r="S74" s="165">
        <f t="shared" si="19"/>
        <v>0</v>
      </c>
      <c r="T74" s="165">
        <f t="shared" si="19"/>
        <v>0</v>
      </c>
      <c r="U74" s="165">
        <f t="shared" si="19"/>
        <v>0</v>
      </c>
      <c r="V74" s="165">
        <f t="shared" si="19"/>
        <v>0</v>
      </c>
      <c r="W74" s="165">
        <f t="shared" si="19"/>
        <v>0</v>
      </c>
      <c r="X74" s="165">
        <f t="shared" si="19"/>
        <v>102705</v>
      </c>
      <c r="Y74" s="154" t="s">
        <v>311</v>
      </c>
      <c r="Z74" s="153"/>
    </row>
    <row r="75" spans="1:26" ht="15">
      <c r="A75" s="185"/>
      <c r="B75" s="185"/>
      <c r="C75" s="185"/>
      <c r="D75" s="185"/>
      <c r="E75" s="185" t="s">
        <v>174</v>
      </c>
      <c r="F75" s="167"/>
      <c r="G75" s="167"/>
      <c r="H75" s="167"/>
      <c r="I75" s="167"/>
      <c r="J75" s="167"/>
      <c r="K75" s="175" t="s">
        <v>313</v>
      </c>
      <c r="L75" s="167"/>
      <c r="M75" s="165">
        <f aca="true" t="shared" si="20" ref="M75:X75">SUM(M66)</f>
        <v>0</v>
      </c>
      <c r="N75" s="165">
        <f t="shared" si="20"/>
        <v>0</v>
      </c>
      <c r="O75" s="165">
        <f t="shared" si="20"/>
        <v>0</v>
      </c>
      <c r="P75" s="165" t="e">
        <f t="shared" si="20"/>
        <v>#REF!</v>
      </c>
      <c r="Q75" s="165" t="e">
        <f t="shared" si="20"/>
        <v>#REF!</v>
      </c>
      <c r="R75" s="165" t="e">
        <f t="shared" si="20"/>
        <v>#REF!</v>
      </c>
      <c r="S75" s="165" t="e">
        <f t="shared" si="20"/>
        <v>#REF!</v>
      </c>
      <c r="T75" s="165" t="e">
        <f t="shared" si="20"/>
        <v>#REF!</v>
      </c>
      <c r="U75" s="165" t="e">
        <f t="shared" si="20"/>
        <v>#REF!</v>
      </c>
      <c r="V75" s="165">
        <f t="shared" si="20"/>
        <v>0</v>
      </c>
      <c r="W75" s="165">
        <f t="shared" si="20"/>
        <v>0</v>
      </c>
      <c r="X75" s="165">
        <f t="shared" si="20"/>
        <v>0</v>
      </c>
      <c r="Y75" s="154" t="s">
        <v>314</v>
      </c>
      <c r="Z75" s="153"/>
    </row>
    <row r="76" spans="1:26" ht="15">
      <c r="A76" s="185"/>
      <c r="B76" s="185"/>
      <c r="C76" s="185"/>
      <c r="D76" s="185"/>
      <c r="E76" s="185" t="s">
        <v>178</v>
      </c>
      <c r="F76" s="167"/>
      <c r="G76" s="167"/>
      <c r="H76" s="167"/>
      <c r="I76" s="167"/>
      <c r="J76" s="167"/>
      <c r="K76" s="175" t="s">
        <v>324</v>
      </c>
      <c r="L76" s="167"/>
      <c r="M76" s="165">
        <f aca="true" t="shared" si="21" ref="M76:X76">SUM(M68)</f>
        <v>0</v>
      </c>
      <c r="N76" s="165" t="e">
        <f t="shared" si="21"/>
        <v>#REF!</v>
      </c>
      <c r="O76" s="165" t="e">
        <f t="shared" si="21"/>
        <v>#REF!</v>
      </c>
      <c r="P76" s="165" t="e">
        <f t="shared" si="21"/>
        <v>#REF!</v>
      </c>
      <c r="Q76" s="165" t="e">
        <f t="shared" si="21"/>
        <v>#REF!</v>
      </c>
      <c r="R76" s="165" t="e">
        <f t="shared" si="21"/>
        <v>#REF!</v>
      </c>
      <c r="S76" s="165" t="e">
        <f t="shared" si="21"/>
        <v>#REF!</v>
      </c>
      <c r="T76" s="165" t="e">
        <f t="shared" si="21"/>
        <v>#REF!</v>
      </c>
      <c r="U76" s="165" t="e">
        <f t="shared" si="21"/>
        <v>#REF!</v>
      </c>
      <c r="V76" s="165">
        <f t="shared" si="21"/>
        <v>0</v>
      </c>
      <c r="W76" s="165">
        <f t="shared" si="21"/>
        <v>0</v>
      </c>
      <c r="X76" s="165">
        <f t="shared" si="21"/>
        <v>0</v>
      </c>
      <c r="Y76" s="154" t="s">
        <v>314</v>
      </c>
      <c r="Z76" s="153"/>
    </row>
    <row r="77" spans="1:26" ht="15">
      <c r="A77" s="185"/>
      <c r="B77" s="185"/>
      <c r="C77" s="185"/>
      <c r="D77" s="185"/>
      <c r="E77" s="185" t="s">
        <v>318</v>
      </c>
      <c r="F77" s="167"/>
      <c r="G77" s="167"/>
      <c r="H77" s="167"/>
      <c r="I77" s="167"/>
      <c r="J77" s="167"/>
      <c r="K77" s="175" t="s">
        <v>319</v>
      </c>
      <c r="L77" s="167"/>
      <c r="M77" s="165">
        <f aca="true" t="shared" si="22" ref="M77:X77">SUM(M70)</f>
        <v>0</v>
      </c>
      <c r="N77" s="165">
        <f t="shared" si="22"/>
        <v>0</v>
      </c>
      <c r="O77" s="165">
        <f t="shared" si="22"/>
        <v>0</v>
      </c>
      <c r="P77" s="165" t="e">
        <f t="shared" si="22"/>
        <v>#REF!</v>
      </c>
      <c r="Q77" s="165" t="e">
        <f t="shared" si="22"/>
        <v>#REF!</v>
      </c>
      <c r="R77" s="165" t="e">
        <f t="shared" si="22"/>
        <v>#REF!</v>
      </c>
      <c r="S77" s="165" t="e">
        <f t="shared" si="22"/>
        <v>#REF!</v>
      </c>
      <c r="T77" s="165" t="e">
        <f t="shared" si="22"/>
        <v>#REF!</v>
      </c>
      <c r="U77" s="165" t="e">
        <f t="shared" si="22"/>
        <v>#REF!</v>
      </c>
      <c r="V77" s="165">
        <f t="shared" si="22"/>
        <v>0</v>
      </c>
      <c r="W77" s="165">
        <f t="shared" si="22"/>
        <v>0</v>
      </c>
      <c r="X77" s="165">
        <f t="shared" si="22"/>
        <v>0</v>
      </c>
      <c r="Y77" s="154" t="s">
        <v>325</v>
      </c>
      <c r="Z77" s="153"/>
    </row>
    <row r="78" spans="1:26" ht="15">
      <c r="A78" s="185"/>
      <c r="B78" s="185"/>
      <c r="C78" s="185"/>
      <c r="D78" s="185"/>
      <c r="E78" s="151" t="s">
        <v>322</v>
      </c>
      <c r="F78" s="167"/>
      <c r="G78" s="167"/>
      <c r="H78" s="167"/>
      <c r="I78" s="167"/>
      <c r="J78" s="167"/>
      <c r="K78" s="175" t="s">
        <v>323</v>
      </c>
      <c r="L78" s="167"/>
      <c r="M78" s="165">
        <f aca="true" t="shared" si="23" ref="M78:X78">SUM(M71)</f>
        <v>87187</v>
      </c>
      <c r="N78" s="165">
        <f t="shared" si="23"/>
        <v>0</v>
      </c>
      <c r="O78" s="165">
        <f t="shared" si="23"/>
        <v>87187</v>
      </c>
      <c r="P78" s="165">
        <f t="shared" si="23"/>
        <v>-165104</v>
      </c>
      <c r="Q78" s="165">
        <f t="shared" si="23"/>
        <v>-77917</v>
      </c>
      <c r="R78" s="165">
        <f t="shared" si="23"/>
        <v>-717565</v>
      </c>
      <c r="S78" s="165">
        <f t="shared" si="23"/>
        <v>0</v>
      </c>
      <c r="T78" s="165">
        <f t="shared" si="23"/>
        <v>0</v>
      </c>
      <c r="U78" s="165">
        <f t="shared" si="23"/>
        <v>-795482</v>
      </c>
      <c r="V78" s="165">
        <f t="shared" si="23"/>
        <v>0</v>
      </c>
      <c r="W78" s="165">
        <f t="shared" si="23"/>
        <v>0</v>
      </c>
      <c r="X78" s="165">
        <f t="shared" si="23"/>
        <v>87187</v>
      </c>
      <c r="Y78" s="154" t="s">
        <v>297</v>
      </c>
      <c r="Z78" s="153"/>
    </row>
    <row r="79" spans="1:26" ht="15.75">
      <c r="A79" s="170"/>
      <c r="B79" s="170"/>
      <c r="C79" s="170"/>
      <c r="D79" s="170" t="s">
        <v>161</v>
      </c>
      <c r="E79" s="170"/>
      <c r="F79" s="171"/>
      <c r="G79" s="171"/>
      <c r="H79" s="171"/>
      <c r="I79" s="171"/>
      <c r="J79" s="171" t="s">
        <v>326</v>
      </c>
      <c r="K79" s="171"/>
      <c r="L79" s="171"/>
      <c r="M79" s="172">
        <f>SUM(M73:M78)</f>
        <v>504874</v>
      </c>
      <c r="N79" s="172" t="e">
        <f aca="true" t="shared" si="24" ref="N79:X79">SUM(N73:N78)</f>
        <v>#REF!</v>
      </c>
      <c r="O79" s="172" t="e">
        <f t="shared" si="24"/>
        <v>#REF!</v>
      </c>
      <c r="P79" s="172" t="e">
        <f t="shared" si="24"/>
        <v>#REF!</v>
      </c>
      <c r="Q79" s="172" t="e">
        <f t="shared" si="24"/>
        <v>#REF!</v>
      </c>
      <c r="R79" s="172" t="e">
        <f t="shared" si="24"/>
        <v>#REF!</v>
      </c>
      <c r="S79" s="172" t="e">
        <f t="shared" si="24"/>
        <v>#REF!</v>
      </c>
      <c r="T79" s="172" t="e">
        <f t="shared" si="24"/>
        <v>#REF!</v>
      </c>
      <c r="U79" s="172" t="e">
        <f t="shared" si="24"/>
        <v>#REF!</v>
      </c>
      <c r="V79" s="172">
        <f t="shared" si="24"/>
        <v>0</v>
      </c>
      <c r="W79" s="172">
        <f t="shared" si="24"/>
        <v>282582</v>
      </c>
      <c r="X79" s="172">
        <f t="shared" si="24"/>
        <v>222292</v>
      </c>
      <c r="Y79" s="178"/>
      <c r="Z79" s="153"/>
    </row>
    <row r="80" spans="1:26" ht="15.75">
      <c r="A80" s="158"/>
      <c r="B80" s="158"/>
      <c r="C80" s="158"/>
      <c r="D80" s="158"/>
      <c r="E80" s="158"/>
      <c r="F80" s="181"/>
      <c r="G80" s="181"/>
      <c r="H80" s="181"/>
      <c r="I80" s="181"/>
      <c r="J80" s="181"/>
      <c r="K80" s="181"/>
      <c r="L80" s="181"/>
      <c r="Z80" s="153"/>
    </row>
    <row r="81" spans="1:26" ht="15.75">
      <c r="A81" s="158"/>
      <c r="B81" s="158"/>
      <c r="C81" s="158"/>
      <c r="D81" s="158"/>
      <c r="E81" s="158"/>
      <c r="F81" s="181"/>
      <c r="G81" s="181"/>
      <c r="H81" s="181"/>
      <c r="I81" s="181"/>
      <c r="J81" s="181"/>
      <c r="K81" s="181"/>
      <c r="L81" s="181"/>
      <c r="Z81" s="153"/>
    </row>
    <row r="82" spans="1:26" ht="15.75">
      <c r="A82" s="158"/>
      <c r="B82" s="158"/>
      <c r="C82" s="158"/>
      <c r="D82" s="158"/>
      <c r="E82" s="158"/>
      <c r="F82" s="181"/>
      <c r="G82" s="181"/>
      <c r="H82" s="181"/>
      <c r="I82" s="181"/>
      <c r="J82" s="181"/>
      <c r="K82" s="181"/>
      <c r="L82" s="181"/>
      <c r="M82" s="191"/>
      <c r="Z82" s="153"/>
    </row>
    <row r="83" spans="1:26" ht="15.75">
      <c r="A83" s="158"/>
      <c r="B83" s="158"/>
      <c r="C83" s="158"/>
      <c r="D83" s="158"/>
      <c r="E83" s="158"/>
      <c r="F83" s="181"/>
      <c r="G83" s="181"/>
      <c r="H83" s="181"/>
      <c r="I83" s="181"/>
      <c r="J83" s="181"/>
      <c r="K83" s="181"/>
      <c r="L83" s="181"/>
      <c r="Z83" s="153"/>
    </row>
    <row r="84" spans="1:26" ht="15.75">
      <c r="A84" s="158"/>
      <c r="B84" s="158"/>
      <c r="C84" s="158"/>
      <c r="D84" s="158"/>
      <c r="E84" s="158"/>
      <c r="F84" s="181"/>
      <c r="G84" s="181"/>
      <c r="H84" s="181"/>
      <c r="I84" s="181"/>
      <c r="J84" s="181"/>
      <c r="K84" s="181"/>
      <c r="L84" s="181"/>
      <c r="Z84" s="153"/>
    </row>
    <row r="85" spans="1:26" ht="15.75">
      <c r="A85" s="158"/>
      <c r="B85" s="158"/>
      <c r="C85" s="158"/>
      <c r="D85" s="158"/>
      <c r="E85" s="158"/>
      <c r="F85" s="181"/>
      <c r="G85" s="181"/>
      <c r="H85" s="181"/>
      <c r="I85" s="181"/>
      <c r="J85" s="181"/>
      <c r="K85" s="181"/>
      <c r="L85" s="181"/>
      <c r="Z85" s="153"/>
    </row>
    <row r="86" spans="1:26" ht="15.75">
      <c r="A86" s="775" t="s">
        <v>327</v>
      </c>
      <c r="B86" s="775"/>
      <c r="C86" s="775"/>
      <c r="D86" s="775"/>
      <c r="E86" s="775"/>
      <c r="F86" s="775"/>
      <c r="G86" s="775"/>
      <c r="H86" s="775"/>
      <c r="I86" s="775"/>
      <c r="J86" s="775"/>
      <c r="K86" s="775"/>
      <c r="L86" s="775"/>
      <c r="M86" s="775"/>
      <c r="N86" s="775"/>
      <c r="O86" s="775"/>
      <c r="P86" s="775"/>
      <c r="Q86" s="775"/>
      <c r="R86" s="775"/>
      <c r="S86" s="775"/>
      <c r="T86" s="775"/>
      <c r="U86" s="775"/>
      <c r="V86" s="775"/>
      <c r="W86" s="775"/>
      <c r="X86" s="775"/>
      <c r="Y86" s="775"/>
      <c r="Z86" s="153"/>
    </row>
    <row r="87" spans="1:26" ht="15.75">
      <c r="A87" s="158"/>
      <c r="B87" s="158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3"/>
      <c r="Z87" s="153"/>
    </row>
    <row r="88" spans="1:26" ht="15.75">
      <c r="A88" s="158"/>
      <c r="B88" s="158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3"/>
      <c r="Z88" s="153"/>
    </row>
    <row r="89" spans="1:26" ht="15.75">
      <c r="A89" s="158"/>
      <c r="B89" s="158"/>
      <c r="C89" s="192"/>
      <c r="D89" s="192"/>
      <c r="E89" s="192"/>
      <c r="F89" s="192"/>
      <c r="G89" s="192"/>
      <c r="H89" s="192"/>
      <c r="I89" s="192"/>
      <c r="J89" s="192"/>
      <c r="K89" s="192"/>
      <c r="L89" s="159"/>
      <c r="M89" s="159"/>
      <c r="N89" s="96"/>
      <c r="O89" s="96"/>
      <c r="P89" s="96"/>
      <c r="Q89" s="96"/>
      <c r="Y89" s="182" t="s">
        <v>123</v>
      </c>
      <c r="Z89" s="153"/>
    </row>
    <row r="90" spans="1:26" ht="95.25">
      <c r="A90" s="162" t="s">
        <v>124</v>
      </c>
      <c r="B90" s="162" t="s">
        <v>125</v>
      </c>
      <c r="C90" s="162" t="s">
        <v>126</v>
      </c>
      <c r="D90" s="162" t="s">
        <v>127</v>
      </c>
      <c r="E90" s="162" t="s">
        <v>128</v>
      </c>
      <c r="F90" s="162" t="s">
        <v>129</v>
      </c>
      <c r="G90" s="162" t="s">
        <v>130</v>
      </c>
      <c r="H90" s="162" t="s">
        <v>131</v>
      </c>
      <c r="I90" s="162" t="s">
        <v>132</v>
      </c>
      <c r="J90" s="162" t="s">
        <v>133</v>
      </c>
      <c r="K90" s="162" t="s">
        <v>134</v>
      </c>
      <c r="L90" s="194" t="s">
        <v>135</v>
      </c>
      <c r="M90" s="102" t="s">
        <v>10</v>
      </c>
      <c r="N90" s="102" t="s">
        <v>9</v>
      </c>
      <c r="O90" s="102" t="s">
        <v>4</v>
      </c>
      <c r="P90" s="102" t="s">
        <v>9</v>
      </c>
      <c r="Q90" s="102" t="s">
        <v>136</v>
      </c>
      <c r="R90" s="101" t="s">
        <v>3</v>
      </c>
      <c r="S90" s="142" t="s">
        <v>137</v>
      </c>
      <c r="T90" s="105" t="s">
        <v>138</v>
      </c>
      <c r="U90" s="105" t="s">
        <v>139</v>
      </c>
      <c r="V90" s="668" t="s">
        <v>550</v>
      </c>
      <c r="W90" s="668" t="s">
        <v>551</v>
      </c>
      <c r="X90" s="668" t="s">
        <v>552</v>
      </c>
      <c r="Y90" s="102" t="s">
        <v>11</v>
      </c>
      <c r="Z90" s="153"/>
    </row>
    <row r="91" spans="1:29" s="106" customFormat="1" ht="15">
      <c r="A91" s="101" t="s">
        <v>140</v>
      </c>
      <c r="B91" s="101" t="s">
        <v>141</v>
      </c>
      <c r="C91" s="101" t="s">
        <v>142</v>
      </c>
      <c r="D91" s="101" t="s">
        <v>143</v>
      </c>
      <c r="E91" s="101" t="s">
        <v>144</v>
      </c>
      <c r="F91" s="101" t="s">
        <v>145</v>
      </c>
      <c r="G91" s="101" t="s">
        <v>146</v>
      </c>
      <c r="H91" s="101" t="s">
        <v>147</v>
      </c>
      <c r="I91" s="101" t="s">
        <v>148</v>
      </c>
      <c r="J91" s="101" t="s">
        <v>149</v>
      </c>
      <c r="K91" s="101" t="s">
        <v>150</v>
      </c>
      <c r="L91" s="101" t="s">
        <v>12</v>
      </c>
      <c r="M91" s="102" t="s">
        <v>13</v>
      </c>
      <c r="N91" s="109" t="s">
        <v>151</v>
      </c>
      <c r="O91" s="109" t="s">
        <v>151</v>
      </c>
      <c r="P91" s="109" t="s">
        <v>152</v>
      </c>
      <c r="Q91" s="164" t="s">
        <v>151</v>
      </c>
      <c r="R91" s="109" t="s">
        <v>152</v>
      </c>
      <c r="S91" s="109" t="s">
        <v>153</v>
      </c>
      <c r="T91" s="109" t="s">
        <v>154</v>
      </c>
      <c r="U91" s="109" t="s">
        <v>155</v>
      </c>
      <c r="V91" s="110" t="s">
        <v>151</v>
      </c>
      <c r="W91" s="110" t="s">
        <v>152</v>
      </c>
      <c r="X91" s="110" t="s">
        <v>153</v>
      </c>
      <c r="Y91" s="110" t="s">
        <v>14</v>
      </c>
      <c r="Z91" s="153"/>
      <c r="AA91" s="111"/>
      <c r="AB91" s="111"/>
      <c r="AC91" s="111"/>
    </row>
    <row r="92" spans="1:26" ht="15">
      <c r="A92" s="151" t="s">
        <v>328</v>
      </c>
      <c r="G92" s="152" t="s">
        <v>157</v>
      </c>
      <c r="Z92" s="153"/>
    </row>
    <row r="93" spans="4:26" ht="15">
      <c r="D93" s="151" t="s">
        <v>229</v>
      </c>
      <c r="J93" s="152" t="s">
        <v>329</v>
      </c>
      <c r="Z93" s="153"/>
    </row>
    <row r="94" spans="5:26" ht="15">
      <c r="E94" s="151" t="s">
        <v>330</v>
      </c>
      <c r="K94" s="152" t="s">
        <v>331</v>
      </c>
      <c r="Z94" s="153"/>
    </row>
    <row r="95" spans="11:26" ht="15">
      <c r="K95" s="152" t="s">
        <v>332</v>
      </c>
      <c r="M95" s="153">
        <v>4365</v>
      </c>
      <c r="N95" s="153">
        <v>0</v>
      </c>
      <c r="O95" s="153">
        <f>M95+N95</f>
        <v>4365</v>
      </c>
      <c r="P95" s="153">
        <v>0</v>
      </c>
      <c r="Q95" s="153">
        <f>O95+P95</f>
        <v>4365</v>
      </c>
      <c r="R95" s="153">
        <v>0</v>
      </c>
      <c r="S95" s="153">
        <v>0</v>
      </c>
      <c r="T95" s="153">
        <f>Q95+R95</f>
        <v>4365</v>
      </c>
      <c r="U95" s="153">
        <v>0</v>
      </c>
      <c r="V95" s="153">
        <v>0</v>
      </c>
      <c r="W95" s="153">
        <v>0</v>
      </c>
      <c r="X95" s="153">
        <v>0</v>
      </c>
      <c r="Y95" s="154" t="s">
        <v>333</v>
      </c>
      <c r="Z95" s="153"/>
    </row>
    <row r="96" spans="1:26" s="174" customFormat="1" ht="15.75">
      <c r="A96" s="170"/>
      <c r="B96" s="170"/>
      <c r="C96" s="170"/>
      <c r="D96" s="170"/>
      <c r="E96" s="170" t="s">
        <v>330</v>
      </c>
      <c r="F96" s="171"/>
      <c r="G96" s="171" t="s">
        <v>334</v>
      </c>
      <c r="H96" s="171"/>
      <c r="I96" s="171"/>
      <c r="J96" s="171"/>
      <c r="K96" s="171"/>
      <c r="L96" s="171"/>
      <c r="M96" s="172">
        <f>SUM(M95:M95)</f>
        <v>4365</v>
      </c>
      <c r="N96" s="172">
        <f aca="true" t="shared" si="25" ref="N96:X96">SUM(N95:N95)</f>
        <v>0</v>
      </c>
      <c r="O96" s="172">
        <f t="shared" si="25"/>
        <v>4365</v>
      </c>
      <c r="P96" s="172">
        <f t="shared" si="25"/>
        <v>0</v>
      </c>
      <c r="Q96" s="172">
        <f t="shared" si="25"/>
        <v>4365</v>
      </c>
      <c r="R96" s="172">
        <f t="shared" si="25"/>
        <v>0</v>
      </c>
      <c r="S96" s="172">
        <f t="shared" si="25"/>
        <v>0</v>
      </c>
      <c r="T96" s="172">
        <f t="shared" si="25"/>
        <v>4365</v>
      </c>
      <c r="U96" s="172">
        <f t="shared" si="25"/>
        <v>0</v>
      </c>
      <c r="V96" s="172">
        <f t="shared" si="25"/>
        <v>0</v>
      </c>
      <c r="W96" s="172">
        <f t="shared" si="25"/>
        <v>0</v>
      </c>
      <c r="X96" s="172">
        <f t="shared" si="25"/>
        <v>0</v>
      </c>
      <c r="Y96" s="173" t="s">
        <v>333</v>
      </c>
      <c r="Z96" s="153"/>
    </row>
    <row r="97" spans="1:26" ht="15.75">
      <c r="A97" s="170" t="s">
        <v>328</v>
      </c>
      <c r="B97" s="170"/>
      <c r="C97" s="170"/>
      <c r="D97" s="170"/>
      <c r="E97" s="170"/>
      <c r="F97" s="171"/>
      <c r="G97" s="180"/>
      <c r="H97" s="171" t="s">
        <v>245</v>
      </c>
      <c r="I97" s="171"/>
      <c r="J97" s="171"/>
      <c r="K97" s="171"/>
      <c r="L97" s="171"/>
      <c r="M97" s="172">
        <f>SUM(M96)</f>
        <v>4365</v>
      </c>
      <c r="N97" s="172">
        <f aca="true" t="shared" si="26" ref="N97:X97">SUM(N96)</f>
        <v>0</v>
      </c>
      <c r="O97" s="172">
        <f t="shared" si="26"/>
        <v>4365</v>
      </c>
      <c r="P97" s="172">
        <f t="shared" si="26"/>
        <v>0</v>
      </c>
      <c r="Q97" s="172">
        <f t="shared" si="26"/>
        <v>4365</v>
      </c>
      <c r="R97" s="172">
        <f t="shared" si="26"/>
        <v>0</v>
      </c>
      <c r="S97" s="172">
        <f t="shared" si="26"/>
        <v>0</v>
      </c>
      <c r="T97" s="172">
        <f t="shared" si="26"/>
        <v>4365</v>
      </c>
      <c r="U97" s="172">
        <f t="shared" si="26"/>
        <v>0</v>
      </c>
      <c r="V97" s="172">
        <f t="shared" si="26"/>
        <v>0</v>
      </c>
      <c r="W97" s="172">
        <f t="shared" si="26"/>
        <v>0</v>
      </c>
      <c r="X97" s="172">
        <f t="shared" si="26"/>
        <v>0</v>
      </c>
      <c r="Y97" s="173" t="s">
        <v>333</v>
      </c>
      <c r="Z97" s="153"/>
    </row>
    <row r="98" ht="15">
      <c r="Z98" s="153"/>
    </row>
    <row r="100" ht="15">
      <c r="H100" s="152" t="s">
        <v>208</v>
      </c>
    </row>
  </sheetData>
  <sheetProtection selectLockedCells="1" selectUnlockedCells="1"/>
  <mergeCells count="3">
    <mergeCell ref="A3:Y3"/>
    <mergeCell ref="A50:Y50"/>
    <mergeCell ref="A86:Y86"/>
  </mergeCells>
  <printOptions horizontalCentered="1"/>
  <pageMargins left="0.39375" right="0.39375" top="0.39375" bottom="0.19652777777777777" header="0.5118055555555555" footer="0.5118055555555555"/>
  <pageSetup horizontalDpi="300" verticalDpi="300" orientation="portrait" paperSize="9" scale="49" r:id="rId1"/>
  <rowBreaks count="2" manualBreakCount="2">
    <brk id="49" max="255" man="1"/>
    <brk id="8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itel 3.sz."/>
  <dimension ref="A1:S40"/>
  <sheetViews>
    <sheetView view="pageBreakPreview" zoomScale="75" zoomScaleSheetLayoutView="75" workbookViewId="0" topLeftCell="A1">
      <selection activeCell="P3" sqref="P3"/>
    </sheetView>
  </sheetViews>
  <sheetFormatPr defaultColWidth="9.00390625" defaultRowHeight="12.75"/>
  <cols>
    <col min="1" max="1" width="20.375" style="195" customWidth="1"/>
    <col min="2" max="2" width="18.00390625" style="195" customWidth="1"/>
    <col min="3" max="3" width="10.125" style="195" customWidth="1"/>
    <col min="4" max="4" width="7.875" style="195" customWidth="1"/>
    <col min="5" max="5" width="9.875" style="195" customWidth="1"/>
    <col min="6" max="6" width="10.125" style="195" customWidth="1"/>
    <col min="7" max="7" width="9.375" style="195" customWidth="1"/>
    <col min="8" max="8" width="9.00390625" style="195" customWidth="1"/>
    <col min="9" max="9" width="9.375" style="195" customWidth="1"/>
    <col min="10" max="10" width="9.125" style="195" customWidth="1"/>
    <col min="11" max="14" width="9.375" style="195" customWidth="1"/>
    <col min="15" max="17" width="10.125" style="195" customWidth="1"/>
    <col min="18" max="18" width="9.625" style="195" customWidth="1"/>
    <col min="19" max="16384" width="9.125" style="195" customWidth="1"/>
  </cols>
  <sheetData>
    <row r="1" spans="7:19" ht="12.75"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196"/>
    </row>
    <row r="2" spans="7:19" s="197" customFormat="1" ht="12.75">
      <c r="G2" s="198"/>
      <c r="H2" s="198"/>
      <c r="I2" s="198"/>
      <c r="K2" s="199"/>
      <c r="L2" s="199"/>
      <c r="M2" s="199"/>
      <c r="N2" s="199"/>
      <c r="O2" s="199"/>
      <c r="P2" s="198" t="s">
        <v>631</v>
      </c>
      <c r="Q2" s="199"/>
      <c r="R2" s="199"/>
      <c r="S2" s="196"/>
    </row>
    <row r="4" spans="1:18" ht="15.75">
      <c r="A4" s="790" t="s">
        <v>335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</row>
    <row r="5" spans="1:18" ht="15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18" ht="15.75">
      <c r="A6" s="200"/>
      <c r="B6" s="200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200"/>
      <c r="N6" s="200"/>
      <c r="O6" s="200"/>
      <c r="P6" s="200"/>
      <c r="Q6" s="200"/>
      <c r="R6" s="200"/>
    </row>
    <row r="7" spans="1:18" ht="15.75">
      <c r="A7" s="792" t="s">
        <v>336</v>
      </c>
      <c r="B7" s="792"/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201"/>
      <c r="R7" s="201"/>
    </row>
    <row r="8" spans="1:18" ht="12.75">
      <c r="A8" s="202"/>
      <c r="B8" s="202"/>
      <c r="C8" s="202"/>
      <c r="D8" s="202"/>
      <c r="E8" s="202"/>
      <c r="F8" s="202"/>
      <c r="G8" s="202"/>
      <c r="I8" s="202"/>
      <c r="J8" s="202"/>
      <c r="L8" s="203"/>
      <c r="M8" s="203"/>
      <c r="N8" s="203"/>
      <c r="O8" s="203"/>
      <c r="P8" s="204" t="s">
        <v>123</v>
      </c>
      <c r="Q8" s="203"/>
      <c r="R8" s="203"/>
    </row>
    <row r="9" spans="1:16" ht="12.75" customHeight="1">
      <c r="A9" s="205"/>
      <c r="B9" s="206"/>
      <c r="C9" s="787" t="s">
        <v>337</v>
      </c>
      <c r="D9" s="787"/>
      <c r="E9" s="787"/>
      <c r="F9" s="787"/>
      <c r="G9" s="207" t="s">
        <v>338</v>
      </c>
      <c r="H9" s="207" t="s">
        <v>339</v>
      </c>
      <c r="I9" s="207" t="s">
        <v>340</v>
      </c>
      <c r="J9" s="207" t="s">
        <v>341</v>
      </c>
      <c r="K9" s="207" t="s">
        <v>342</v>
      </c>
      <c r="L9" s="207" t="s">
        <v>343</v>
      </c>
      <c r="M9" s="207" t="s">
        <v>344</v>
      </c>
      <c r="N9" s="207" t="s">
        <v>345</v>
      </c>
      <c r="O9" s="207" t="s">
        <v>346</v>
      </c>
      <c r="P9" s="788" t="s">
        <v>347</v>
      </c>
    </row>
    <row r="10" spans="1:16" ht="12.75">
      <c r="A10" s="208" t="s">
        <v>348</v>
      </c>
      <c r="B10" s="209"/>
      <c r="C10" s="210" t="s">
        <v>349</v>
      </c>
      <c r="D10" s="210" t="s">
        <v>350</v>
      </c>
      <c r="E10" s="211" t="s">
        <v>351</v>
      </c>
      <c r="F10" s="210" t="s">
        <v>352</v>
      </c>
      <c r="G10" s="207"/>
      <c r="H10" s="207"/>
      <c r="I10" s="207"/>
      <c r="J10" s="207"/>
      <c r="K10" s="207"/>
      <c r="L10" s="207"/>
      <c r="M10" s="207"/>
      <c r="N10" s="207"/>
      <c r="O10" s="212"/>
      <c r="P10" s="788"/>
    </row>
    <row r="11" spans="1:16" ht="12" customHeight="1">
      <c r="A11" s="213" t="s">
        <v>353</v>
      </c>
      <c r="B11" s="214"/>
      <c r="C11" s="215">
        <v>42091</v>
      </c>
      <c r="D11" s="215">
        <v>0</v>
      </c>
      <c r="E11" s="215">
        <v>4365</v>
      </c>
      <c r="F11" s="216">
        <f>SUM(C11-E11)</f>
        <v>37726</v>
      </c>
      <c r="G11" s="215">
        <v>5804</v>
      </c>
      <c r="H11" s="215">
        <v>5804</v>
      </c>
      <c r="I11" s="215">
        <v>5804</v>
      </c>
      <c r="J11" s="215">
        <v>5804</v>
      </c>
      <c r="K11" s="215">
        <v>5804</v>
      </c>
      <c r="L11" s="215">
        <v>5804</v>
      </c>
      <c r="M11" s="215">
        <v>2902</v>
      </c>
      <c r="N11" s="215"/>
      <c r="O11" s="215"/>
      <c r="P11" s="216">
        <f>SUM(G11:M11)</f>
        <v>37726</v>
      </c>
    </row>
    <row r="12" spans="1:16" ht="12" customHeight="1">
      <c r="A12" s="213" t="s">
        <v>354</v>
      </c>
      <c r="B12" s="214"/>
      <c r="C12" s="215">
        <v>109898</v>
      </c>
      <c r="D12" s="215">
        <v>0</v>
      </c>
      <c r="E12" s="215">
        <v>0</v>
      </c>
      <c r="F12" s="216">
        <v>109898</v>
      </c>
      <c r="G12" s="215">
        <v>9998</v>
      </c>
      <c r="H12" s="215">
        <v>13320</v>
      </c>
      <c r="I12" s="215">
        <v>13320</v>
      </c>
      <c r="J12" s="215">
        <v>13320</v>
      </c>
      <c r="K12" s="215">
        <v>13320</v>
      </c>
      <c r="L12" s="215">
        <v>13320</v>
      </c>
      <c r="M12" s="215">
        <v>13320</v>
      </c>
      <c r="N12" s="215">
        <v>13320</v>
      </c>
      <c r="O12" s="215">
        <v>6660</v>
      </c>
      <c r="P12" s="216">
        <f>SUM(G12:O12)</f>
        <v>109898</v>
      </c>
    </row>
    <row r="13" spans="1:16" ht="12.75">
      <c r="A13" s="217" t="s">
        <v>355</v>
      </c>
      <c r="B13" s="218"/>
      <c r="C13" s="219">
        <f aca="true" t="shared" si="0" ref="C13:P13">SUM(C11:C12)</f>
        <v>151989</v>
      </c>
      <c r="D13" s="219">
        <f t="shared" si="0"/>
        <v>0</v>
      </c>
      <c r="E13" s="219">
        <f t="shared" si="0"/>
        <v>4365</v>
      </c>
      <c r="F13" s="219">
        <f t="shared" si="0"/>
        <v>147624</v>
      </c>
      <c r="G13" s="219">
        <f t="shared" si="0"/>
        <v>15802</v>
      </c>
      <c r="H13" s="219">
        <f t="shared" si="0"/>
        <v>19124</v>
      </c>
      <c r="I13" s="219">
        <f t="shared" si="0"/>
        <v>19124</v>
      </c>
      <c r="J13" s="219">
        <f t="shared" si="0"/>
        <v>19124</v>
      </c>
      <c r="K13" s="219">
        <f t="shared" si="0"/>
        <v>19124</v>
      </c>
      <c r="L13" s="219">
        <f t="shared" si="0"/>
        <v>19124</v>
      </c>
      <c r="M13" s="219">
        <f t="shared" si="0"/>
        <v>16222</v>
      </c>
      <c r="N13" s="219">
        <f t="shared" si="0"/>
        <v>13320</v>
      </c>
      <c r="O13" s="219">
        <f t="shared" si="0"/>
        <v>6660</v>
      </c>
      <c r="P13" s="219">
        <f t="shared" si="0"/>
        <v>147624</v>
      </c>
    </row>
    <row r="14" spans="1:18" s="197" customFormat="1" ht="13.5" customHeight="1">
      <c r="A14" s="779" t="s">
        <v>356</v>
      </c>
      <c r="B14" s="779"/>
      <c r="C14" s="220"/>
      <c r="D14" s="219"/>
      <c r="E14" s="221">
        <v>5000</v>
      </c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2"/>
      <c r="R14" s="222"/>
    </row>
    <row r="15" spans="1:18" s="197" customFormat="1" ht="12.75">
      <c r="A15" s="223"/>
      <c r="B15" s="223"/>
      <c r="C15" s="222"/>
      <c r="D15" s="224"/>
      <c r="E15" s="225"/>
      <c r="F15" s="224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</row>
    <row r="16" spans="1:18" s="197" customFormat="1" ht="12.75" customHeight="1" hidden="1">
      <c r="A16" s="786" t="s">
        <v>357</v>
      </c>
      <c r="B16" s="786"/>
      <c r="C16" s="786"/>
      <c r="D16" s="786"/>
      <c r="E16" s="786"/>
      <c r="F16" s="786"/>
      <c r="G16" s="786"/>
      <c r="H16" s="786"/>
      <c r="I16" s="786"/>
      <c r="J16" s="786"/>
      <c r="K16" s="786"/>
      <c r="L16" s="786"/>
      <c r="M16" s="786"/>
      <c r="N16" s="786"/>
      <c r="O16" s="786"/>
      <c r="P16" s="786"/>
      <c r="Q16" s="786"/>
      <c r="R16" s="786"/>
    </row>
    <row r="17" spans="1:18" s="197" customFormat="1" ht="14.25" customHeight="1" hidden="1">
      <c r="A17" s="784" t="s">
        <v>358</v>
      </c>
      <c r="B17" s="784"/>
      <c r="C17" s="785">
        <v>788330</v>
      </c>
      <c r="D17" s="785"/>
      <c r="E17" s="785"/>
      <c r="F17" s="224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</row>
    <row r="18" spans="1:18" s="197" customFormat="1" ht="12.75" customHeight="1" hidden="1">
      <c r="A18" s="786" t="s">
        <v>359</v>
      </c>
      <c r="B18" s="786"/>
      <c r="C18" s="786"/>
      <c r="D18" s="786"/>
      <c r="E18" s="786"/>
      <c r="F18" s="786"/>
      <c r="G18" s="786"/>
      <c r="H18" s="786"/>
      <c r="I18" s="786"/>
      <c r="J18" s="786"/>
      <c r="K18" s="786"/>
      <c r="L18" s="786"/>
      <c r="M18" s="786"/>
      <c r="N18" s="786"/>
      <c r="O18" s="786"/>
      <c r="P18" s="786"/>
      <c r="Q18" s="786"/>
      <c r="R18" s="786"/>
    </row>
    <row r="19" spans="1:18" ht="12.75" customHeight="1" hidden="1">
      <c r="A19" s="784" t="s">
        <v>358</v>
      </c>
      <c r="B19" s="784"/>
      <c r="C19" s="785">
        <v>723138</v>
      </c>
      <c r="D19" s="785"/>
      <c r="E19" s="785"/>
      <c r="F19" s="224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</row>
    <row r="20" spans="1:18" ht="18.75" customHeight="1" hidden="1">
      <c r="A20" s="226"/>
      <c r="B20" s="226"/>
      <c r="C20" s="227"/>
      <c r="D20" s="227"/>
      <c r="E20" s="227"/>
      <c r="F20" s="224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</row>
    <row r="21" spans="1:18" ht="15" customHeight="1">
      <c r="A21" s="226"/>
      <c r="B21" s="226"/>
      <c r="C21" s="227"/>
      <c r="D21" s="227"/>
      <c r="E21" s="227"/>
      <c r="F21" s="224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</row>
    <row r="22" spans="1:18" ht="12.75">
      <c r="A22" s="781" t="s">
        <v>360</v>
      </c>
      <c r="B22" s="781"/>
      <c r="C22" s="781"/>
      <c r="D22" s="781"/>
      <c r="E22" s="781"/>
      <c r="F22" s="781"/>
      <c r="G22" s="781"/>
      <c r="H22" s="781"/>
      <c r="I22" s="781"/>
      <c r="J22" s="781"/>
      <c r="K22" s="781"/>
      <c r="L22" s="781"/>
      <c r="M22" s="781"/>
      <c r="N22" s="781"/>
      <c r="O22" s="781"/>
      <c r="P22" s="229"/>
      <c r="Q22" s="229"/>
      <c r="R22" s="229"/>
    </row>
    <row r="23" spans="1:18" ht="12.75">
      <c r="A23" s="230"/>
      <c r="B23" s="230"/>
      <c r="C23" s="230"/>
      <c r="D23" s="230"/>
      <c r="E23" s="230"/>
      <c r="F23" s="228"/>
      <c r="G23" s="228"/>
      <c r="H23" s="228"/>
      <c r="I23" s="228"/>
      <c r="J23" s="228"/>
      <c r="K23" s="230"/>
      <c r="L23" s="230"/>
      <c r="M23" s="231" t="s">
        <v>123</v>
      </c>
      <c r="N23" s="228"/>
      <c r="O23" s="228"/>
      <c r="P23" s="229"/>
      <c r="Q23" s="229"/>
      <c r="R23" s="229"/>
    </row>
    <row r="24" spans="1:17" s="241" customFormat="1" ht="12.75">
      <c r="A24" s="232" t="s">
        <v>2</v>
      </c>
      <c r="B24" s="233"/>
      <c r="C24" s="233"/>
      <c r="D24" s="233"/>
      <c r="E24" s="233"/>
      <c r="F24" s="234" t="s">
        <v>337</v>
      </c>
      <c r="G24" s="234" t="s">
        <v>338</v>
      </c>
      <c r="H24" s="234" t="s">
        <v>339</v>
      </c>
      <c r="I24" s="235" t="s">
        <v>340</v>
      </c>
      <c r="J24" s="235" t="s">
        <v>341</v>
      </c>
      <c r="K24" s="236" t="s">
        <v>342</v>
      </c>
      <c r="L24" s="237" t="s">
        <v>343</v>
      </c>
      <c r="M24" s="238" t="s">
        <v>361</v>
      </c>
      <c r="N24" s="239"/>
      <c r="O24" s="239"/>
      <c r="P24" s="240"/>
      <c r="Q24" s="240"/>
    </row>
    <row r="25" spans="1:18" s="243" customFormat="1" ht="12.75">
      <c r="A25" s="242" t="s">
        <v>362</v>
      </c>
      <c r="F25" s="244">
        <v>1907</v>
      </c>
      <c r="G25" s="245">
        <v>1908</v>
      </c>
      <c r="H25" s="244">
        <v>1907</v>
      </c>
      <c r="I25" s="246">
        <v>1908</v>
      </c>
      <c r="J25" s="246">
        <v>1907</v>
      </c>
      <c r="K25" s="246">
        <v>1908</v>
      </c>
      <c r="L25" s="246">
        <v>1908</v>
      </c>
      <c r="M25" s="246">
        <f>SUM(F25:L25)</f>
        <v>13353</v>
      </c>
      <c r="N25" s="247"/>
      <c r="O25" s="247"/>
      <c r="P25" s="248"/>
      <c r="Q25" s="248"/>
      <c r="R25" s="249"/>
    </row>
    <row r="26" spans="1:18" ht="12.75">
      <c r="A26" s="250" t="s">
        <v>363</v>
      </c>
      <c r="B26" s="251"/>
      <c r="C26" s="252"/>
      <c r="D26" s="252"/>
      <c r="E26" s="252"/>
      <c r="F26" s="253">
        <v>30000</v>
      </c>
      <c r="G26" s="254"/>
      <c r="H26" s="254"/>
      <c r="I26" s="782"/>
      <c r="J26" s="782"/>
      <c r="K26" s="254"/>
      <c r="L26" s="254"/>
      <c r="M26" s="254"/>
      <c r="N26" s="255"/>
      <c r="O26" s="255"/>
      <c r="P26" s="255"/>
      <c r="Q26" s="255"/>
      <c r="R26" s="255"/>
    </row>
    <row r="27" spans="1:18" ht="12.75">
      <c r="A27" s="255"/>
      <c r="B27" s="255"/>
      <c r="C27" s="255"/>
      <c r="D27" s="255"/>
      <c r="E27" s="255"/>
      <c r="F27" s="256"/>
      <c r="G27" s="256"/>
      <c r="H27" s="256"/>
      <c r="I27" s="257"/>
      <c r="J27" s="258"/>
      <c r="K27" s="256"/>
      <c r="L27" s="256"/>
      <c r="M27" s="256"/>
      <c r="N27" s="256"/>
      <c r="O27" s="256"/>
      <c r="P27" s="256"/>
      <c r="Q27" s="256"/>
      <c r="R27" s="256"/>
    </row>
    <row r="28" spans="2:19" ht="12.75">
      <c r="B28" s="259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</row>
    <row r="29" spans="1:18" ht="12.75">
      <c r="A29" s="781" t="s">
        <v>364</v>
      </c>
      <c r="B29" s="781"/>
      <c r="C29" s="781"/>
      <c r="D29" s="781"/>
      <c r="E29" s="781"/>
      <c r="F29" s="781"/>
      <c r="G29" s="781"/>
      <c r="H29" s="781"/>
      <c r="I29" s="781"/>
      <c r="J29" s="781"/>
      <c r="K29" s="781"/>
      <c r="L29" s="781"/>
      <c r="M29" s="781"/>
      <c r="N29" s="781"/>
      <c r="O29" s="781"/>
      <c r="P29" s="781"/>
      <c r="Q29" s="255"/>
      <c r="R29" s="255"/>
    </row>
    <row r="30" ht="12.75">
      <c r="O30" s="260" t="s">
        <v>123</v>
      </c>
    </row>
    <row r="31" spans="1:18" ht="12.75">
      <c r="A31" s="783" t="s">
        <v>2</v>
      </c>
      <c r="B31" s="783"/>
      <c r="C31" s="252"/>
      <c r="D31" s="252"/>
      <c r="E31" s="206"/>
      <c r="F31" s="234" t="s">
        <v>337</v>
      </c>
      <c r="G31" s="234" t="s">
        <v>338</v>
      </c>
      <c r="H31" s="234" t="s">
        <v>339</v>
      </c>
      <c r="I31" s="235" t="s">
        <v>340</v>
      </c>
      <c r="J31" s="235" t="s">
        <v>341</v>
      </c>
      <c r="K31" s="236" t="s">
        <v>342</v>
      </c>
      <c r="L31" s="237" t="s">
        <v>343</v>
      </c>
      <c r="M31" s="261" t="s">
        <v>344</v>
      </c>
      <c r="N31" s="261" t="s">
        <v>345</v>
      </c>
      <c r="O31" s="261" t="s">
        <v>346</v>
      </c>
      <c r="R31" s="260"/>
    </row>
    <row r="32" spans="1:18" ht="15" customHeight="1">
      <c r="A32" s="779" t="s">
        <v>365</v>
      </c>
      <c r="B32" s="779"/>
      <c r="C32" s="779"/>
      <c r="D32" s="779"/>
      <c r="E32" s="779"/>
      <c r="F32" s="262">
        <v>957828</v>
      </c>
      <c r="G32" s="220">
        <v>820112</v>
      </c>
      <c r="H32" s="220">
        <v>836514</v>
      </c>
      <c r="I32" s="220">
        <v>853244</v>
      </c>
      <c r="J32" s="220">
        <v>873109</v>
      </c>
      <c r="K32" s="220">
        <v>887715</v>
      </c>
      <c r="L32" s="220">
        <v>905470</v>
      </c>
      <c r="M32" s="220">
        <v>923579</v>
      </c>
      <c r="N32" s="220">
        <v>942051</v>
      </c>
      <c r="O32" s="220">
        <v>960892</v>
      </c>
      <c r="P32" s="263"/>
      <c r="Q32" s="263"/>
      <c r="R32" s="264"/>
    </row>
    <row r="33" spans="1:18" ht="14.25" customHeight="1">
      <c r="A33" s="780" t="s">
        <v>366</v>
      </c>
      <c r="B33" s="780"/>
      <c r="C33" s="780"/>
      <c r="D33" s="780"/>
      <c r="E33" s="780"/>
      <c r="F33" s="265">
        <v>478914</v>
      </c>
      <c r="G33" s="266">
        <v>410056</v>
      </c>
      <c r="H33" s="266">
        <v>418257</v>
      </c>
      <c r="I33" s="266">
        <v>426622</v>
      </c>
      <c r="J33" s="266">
        <v>435155</v>
      </c>
      <c r="K33" s="266">
        <v>443858</v>
      </c>
      <c r="L33" s="266">
        <v>452735</v>
      </c>
      <c r="M33" s="266">
        <v>461790</v>
      </c>
      <c r="N33" s="266">
        <v>471026</v>
      </c>
      <c r="O33" s="266">
        <v>480446</v>
      </c>
      <c r="P33" s="267"/>
      <c r="Q33" s="267"/>
      <c r="R33" s="268"/>
    </row>
    <row r="34" spans="1:15" ht="12.75">
      <c r="A34" s="778"/>
      <c r="B34" s="778"/>
      <c r="C34" s="778"/>
      <c r="D34" s="778"/>
      <c r="E34" s="778"/>
      <c r="F34" s="254"/>
      <c r="G34" s="254"/>
      <c r="H34" s="254"/>
      <c r="I34" s="254"/>
      <c r="J34" s="254"/>
      <c r="K34" s="254"/>
      <c r="L34" s="254"/>
      <c r="M34" s="254"/>
      <c r="N34" s="254"/>
      <c r="O34" s="254"/>
    </row>
    <row r="35" spans="1:16" ht="12.75">
      <c r="A35" s="777" t="s">
        <v>367</v>
      </c>
      <c r="B35" s="777"/>
      <c r="C35" s="777"/>
      <c r="D35" s="777"/>
      <c r="E35" s="777"/>
      <c r="F35" s="253">
        <v>4365</v>
      </c>
      <c r="G35" s="253">
        <v>15802</v>
      </c>
      <c r="H35" s="253">
        <v>19124</v>
      </c>
      <c r="I35" s="253">
        <v>19124</v>
      </c>
      <c r="J35" s="253">
        <v>19124</v>
      </c>
      <c r="K35" s="253">
        <v>19124</v>
      </c>
      <c r="L35" s="253">
        <v>19124</v>
      </c>
      <c r="M35" s="253">
        <v>16222</v>
      </c>
      <c r="N35" s="253">
        <v>13320</v>
      </c>
      <c r="O35" s="253">
        <v>6660</v>
      </c>
      <c r="P35" s="269"/>
    </row>
    <row r="36" spans="1:15" ht="12.75">
      <c r="A36" s="777" t="s">
        <v>368</v>
      </c>
      <c r="B36" s="777"/>
      <c r="C36" s="777"/>
      <c r="D36" s="777"/>
      <c r="E36" s="777"/>
      <c r="F36" s="253">
        <v>5000</v>
      </c>
      <c r="G36" s="253">
        <v>4871</v>
      </c>
      <c r="H36" s="253">
        <v>4350</v>
      </c>
      <c r="I36" s="253">
        <v>3719</v>
      </c>
      <c r="J36" s="253">
        <v>3088</v>
      </c>
      <c r="K36" s="253">
        <v>2457</v>
      </c>
      <c r="L36" s="253">
        <v>1826</v>
      </c>
      <c r="M36" s="253">
        <v>1195</v>
      </c>
      <c r="N36" s="253">
        <v>659</v>
      </c>
      <c r="O36" s="253">
        <v>220</v>
      </c>
    </row>
    <row r="37" spans="1:15" ht="12.75">
      <c r="A37" s="777" t="s">
        <v>369</v>
      </c>
      <c r="B37" s="777"/>
      <c r="C37" s="777"/>
      <c r="D37" s="777"/>
      <c r="E37" s="777"/>
      <c r="F37" s="253">
        <v>31907</v>
      </c>
      <c r="G37" s="253">
        <v>1908</v>
      </c>
      <c r="H37" s="253">
        <v>1907</v>
      </c>
      <c r="I37" s="253">
        <v>1908</v>
      </c>
      <c r="J37" s="253">
        <v>1907</v>
      </c>
      <c r="K37" s="253">
        <v>1908</v>
      </c>
      <c r="L37" s="253">
        <v>1908</v>
      </c>
      <c r="M37" s="254">
        <v>0</v>
      </c>
      <c r="N37" s="254">
        <v>0</v>
      </c>
      <c r="O37" s="254">
        <v>0</v>
      </c>
    </row>
    <row r="38" spans="1:15" s="197" customFormat="1" ht="12.75">
      <c r="A38" s="776" t="s">
        <v>370</v>
      </c>
      <c r="B38" s="776"/>
      <c r="C38" s="776"/>
      <c r="D38" s="776"/>
      <c r="E38" s="776"/>
      <c r="F38" s="270">
        <f>SUM(F35:F37)</f>
        <v>41272</v>
      </c>
      <c r="G38" s="270">
        <f aca="true" t="shared" si="1" ref="G38:O38">SUM(G35:G37)</f>
        <v>22581</v>
      </c>
      <c r="H38" s="270">
        <f t="shared" si="1"/>
        <v>25381</v>
      </c>
      <c r="I38" s="270">
        <f t="shared" si="1"/>
        <v>24751</v>
      </c>
      <c r="J38" s="270">
        <f t="shared" si="1"/>
        <v>24119</v>
      </c>
      <c r="K38" s="270">
        <f t="shared" si="1"/>
        <v>23489</v>
      </c>
      <c r="L38" s="270">
        <f t="shared" si="1"/>
        <v>22858</v>
      </c>
      <c r="M38" s="270">
        <f t="shared" si="1"/>
        <v>17417</v>
      </c>
      <c r="N38" s="270">
        <f t="shared" si="1"/>
        <v>13979</v>
      </c>
      <c r="O38" s="270">
        <f t="shared" si="1"/>
        <v>6880</v>
      </c>
    </row>
    <row r="39" spans="1:15" ht="12.75">
      <c r="A39" s="778"/>
      <c r="B39" s="778"/>
      <c r="C39" s="778"/>
      <c r="D39" s="778"/>
      <c r="E39" s="778"/>
      <c r="F39" s="254"/>
      <c r="G39" s="254"/>
      <c r="H39" s="254"/>
      <c r="I39" s="254"/>
      <c r="J39" s="254"/>
      <c r="K39" s="254"/>
      <c r="L39" s="254"/>
      <c r="M39" s="254"/>
      <c r="N39" s="254"/>
      <c r="O39" s="254"/>
    </row>
    <row r="40" spans="1:15" s="197" customFormat="1" ht="12.75">
      <c r="A40" s="776" t="s">
        <v>371</v>
      </c>
      <c r="B40" s="776"/>
      <c r="C40" s="776"/>
      <c r="D40" s="776"/>
      <c r="E40" s="776"/>
      <c r="F40" s="271">
        <f>F38/F32</f>
        <v>0.04308915588184935</v>
      </c>
      <c r="G40" s="271">
        <f aca="true" t="shared" si="2" ref="G40:O40">G38/G32</f>
        <v>0.027534044130557777</v>
      </c>
      <c r="H40" s="271">
        <f t="shared" si="2"/>
        <v>0.030341392971307116</v>
      </c>
      <c r="I40" s="271">
        <f t="shared" si="2"/>
        <v>0.029008114912029852</v>
      </c>
      <c r="J40" s="271">
        <f t="shared" si="2"/>
        <v>0.02762427142544631</v>
      </c>
      <c r="K40" s="271">
        <f t="shared" si="2"/>
        <v>0.0264600688283965</v>
      </c>
      <c r="L40" s="271">
        <f t="shared" si="2"/>
        <v>0.025244348239036082</v>
      </c>
      <c r="M40" s="271">
        <f t="shared" si="2"/>
        <v>0.01885815939946664</v>
      </c>
      <c r="N40" s="271">
        <f t="shared" si="2"/>
        <v>0.014838899380182177</v>
      </c>
      <c r="O40" s="271">
        <f t="shared" si="2"/>
        <v>0.007160013820491793</v>
      </c>
    </row>
  </sheetData>
  <sheetProtection selectLockedCells="1" selectUnlockedCells="1"/>
  <mergeCells count="26">
    <mergeCell ref="G1:R1"/>
    <mergeCell ref="A4:R4"/>
    <mergeCell ref="C6:L6"/>
    <mergeCell ref="A7:P7"/>
    <mergeCell ref="C9:F9"/>
    <mergeCell ref="P9:P10"/>
    <mergeCell ref="A14:B14"/>
    <mergeCell ref="A16:R16"/>
    <mergeCell ref="A17:B17"/>
    <mergeCell ref="C17:E17"/>
    <mergeCell ref="A18:R18"/>
    <mergeCell ref="A19:B19"/>
    <mergeCell ref="C19:E19"/>
    <mergeCell ref="A22:O22"/>
    <mergeCell ref="I26:J26"/>
    <mergeCell ref="A29:P29"/>
    <mergeCell ref="A31:B31"/>
    <mergeCell ref="A32:E32"/>
    <mergeCell ref="A33:E33"/>
    <mergeCell ref="A34:E34"/>
    <mergeCell ref="A35:E35"/>
    <mergeCell ref="A40:E40"/>
    <mergeCell ref="A36:E36"/>
    <mergeCell ref="A37:E37"/>
    <mergeCell ref="A38:E38"/>
    <mergeCell ref="A39:E39"/>
  </mergeCells>
  <printOptions horizontalCentered="1"/>
  <pageMargins left="0.1597222222222222" right="0.1701388888888889" top="0.7479166666666667" bottom="0.19652777777777777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"/>
  <dimension ref="A1:AC40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2.75"/>
  <cols>
    <col min="1" max="1" width="39.125" style="272" customWidth="1"/>
    <col min="2" max="2" width="12.25390625" style="272" customWidth="1"/>
    <col min="3" max="3" width="14.00390625" style="272" customWidth="1"/>
    <col min="4" max="4" width="14.75390625" style="273" customWidth="1"/>
    <col min="5" max="5" width="14.625" style="272" customWidth="1"/>
    <col min="6" max="7" width="0" style="272" hidden="1" customWidth="1"/>
    <col min="8" max="9" width="0" style="273" hidden="1" customWidth="1"/>
    <col min="10" max="10" width="0" style="274" hidden="1" customWidth="1"/>
    <col min="11" max="14" width="0" style="273" hidden="1" customWidth="1"/>
    <col min="15" max="15" width="1.75390625" style="272" customWidth="1"/>
    <col min="16" max="16" width="38.125" style="275" customWidth="1"/>
    <col min="17" max="17" width="12.25390625" style="671" customWidth="1"/>
    <col min="18" max="19" width="14.625" style="689" customWidth="1"/>
    <col min="20" max="20" width="14.625" style="273" customWidth="1"/>
    <col min="21" max="21" width="0" style="273" hidden="1" customWidth="1"/>
    <col min="22" max="22" width="0" style="272" hidden="1" customWidth="1"/>
    <col min="23" max="23" width="0" style="273" hidden="1" customWidth="1"/>
    <col min="24" max="27" width="0" style="276" hidden="1" customWidth="1"/>
    <col min="28" max="28" width="0" style="277" hidden="1" customWidth="1"/>
    <col min="29" max="29" width="0" style="276" hidden="1" customWidth="1"/>
    <col min="30" max="16384" width="9.125" style="272" customWidth="1"/>
  </cols>
  <sheetData>
    <row r="1" spans="1:29" ht="17.25" customHeight="1">
      <c r="A1" s="793" t="s">
        <v>632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  <c r="P1" s="793"/>
      <c r="Q1" s="793"/>
      <c r="R1" s="793"/>
      <c r="S1" s="793"/>
      <c r="T1" s="793"/>
      <c r="U1" s="793"/>
      <c r="V1" s="793"/>
      <c r="W1" s="793"/>
      <c r="X1" s="793"/>
      <c r="Y1" s="793"/>
      <c r="Z1" s="793"/>
      <c r="AA1" s="793"/>
      <c r="AB1" s="793"/>
      <c r="AC1" s="793"/>
    </row>
    <row r="2" spans="1:23" ht="15">
      <c r="A2" s="278"/>
      <c r="B2" s="278"/>
      <c r="C2" s="278"/>
      <c r="D2" s="276"/>
      <c r="E2" s="276"/>
      <c r="F2" s="276"/>
      <c r="G2" s="276"/>
      <c r="H2" s="276"/>
      <c r="I2" s="276"/>
      <c r="J2" s="279"/>
      <c r="K2" s="276"/>
      <c r="L2" s="276"/>
      <c r="M2" s="276"/>
      <c r="N2" s="276"/>
      <c r="O2" s="276"/>
      <c r="P2" s="280"/>
      <c r="Q2" s="280"/>
      <c r="R2" s="307"/>
      <c r="S2" s="307"/>
      <c r="T2" s="276"/>
      <c r="U2" s="276"/>
      <c r="V2" s="278"/>
      <c r="W2" s="276"/>
    </row>
    <row r="3" spans="1:29" ht="30.75" customHeight="1">
      <c r="A3" s="762" t="s">
        <v>372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</row>
    <row r="4" spans="1:23" ht="15">
      <c r="A4" s="278"/>
      <c r="B4" s="278"/>
      <c r="C4" s="278"/>
      <c r="D4" s="276"/>
      <c r="E4" s="278"/>
      <c r="F4" s="278"/>
      <c r="G4" s="278"/>
      <c r="H4" s="276"/>
      <c r="I4" s="276"/>
      <c r="J4" s="279"/>
      <c r="K4" s="276"/>
      <c r="L4" s="276"/>
      <c r="M4" s="276"/>
      <c r="N4" s="276"/>
      <c r="O4" s="278"/>
      <c r="P4" s="280"/>
      <c r="Q4" s="280"/>
      <c r="R4" s="307"/>
      <c r="S4" s="307"/>
      <c r="T4" s="276"/>
      <c r="U4" s="276"/>
      <c r="V4" s="278"/>
      <c r="W4" s="276"/>
    </row>
    <row r="5" spans="1:29" ht="16.5" customHeight="1">
      <c r="A5" s="278"/>
      <c r="B5" s="278"/>
      <c r="C5" s="278"/>
      <c r="D5" s="276"/>
      <c r="E5" s="276"/>
      <c r="F5" s="276"/>
      <c r="G5" s="276"/>
      <c r="H5" s="276"/>
      <c r="I5" s="276"/>
      <c r="J5" s="279"/>
      <c r="K5" s="276"/>
      <c r="L5" s="276"/>
      <c r="M5" s="276"/>
      <c r="N5" s="276"/>
      <c r="O5" s="276"/>
      <c r="P5" s="763" t="s">
        <v>123</v>
      </c>
      <c r="Q5" s="763"/>
      <c r="R5" s="763"/>
      <c r="S5" s="763"/>
      <c r="T5" s="764"/>
      <c r="U5" s="763"/>
      <c r="V5" s="763"/>
      <c r="W5" s="763"/>
      <c r="X5" s="763"/>
      <c r="Y5" s="763"/>
      <c r="Z5" s="763"/>
      <c r="AA5" s="763"/>
      <c r="AB5" s="763"/>
      <c r="AC5" s="763"/>
    </row>
    <row r="6" spans="1:29" ht="15">
      <c r="A6" s="281" t="s">
        <v>12</v>
      </c>
      <c r="B6" s="282" t="s">
        <v>13</v>
      </c>
      <c r="C6" s="676" t="s">
        <v>151</v>
      </c>
      <c r="D6" s="677" t="s">
        <v>152</v>
      </c>
      <c r="E6" s="677" t="s">
        <v>153</v>
      </c>
      <c r="F6" s="282"/>
      <c r="G6" s="282"/>
      <c r="H6" s="282"/>
      <c r="I6" s="283"/>
      <c r="J6" s="284"/>
      <c r="K6" s="283"/>
      <c r="L6" s="282"/>
      <c r="M6" s="283"/>
      <c r="N6" s="285"/>
      <c r="O6" s="285"/>
      <c r="P6" s="281" t="s">
        <v>12</v>
      </c>
      <c r="Q6" s="282" t="s">
        <v>13</v>
      </c>
      <c r="R6" s="282" t="s">
        <v>151</v>
      </c>
      <c r="S6" s="286" t="s">
        <v>152</v>
      </c>
      <c r="T6" s="680" t="s">
        <v>153</v>
      </c>
      <c r="U6" s="283" t="s">
        <v>151</v>
      </c>
      <c r="V6" s="281" t="s">
        <v>151</v>
      </c>
      <c r="W6" s="282" t="s">
        <v>152</v>
      </c>
      <c r="X6" s="283" t="s">
        <v>153</v>
      </c>
      <c r="Y6" s="286" t="s">
        <v>152</v>
      </c>
      <c r="Z6" s="282" t="s">
        <v>151</v>
      </c>
      <c r="AA6" s="282" t="s">
        <v>152</v>
      </c>
      <c r="AB6" s="287" t="s">
        <v>153</v>
      </c>
      <c r="AC6" s="288" t="s">
        <v>152</v>
      </c>
    </row>
    <row r="7" spans="1:29" s="301" customFormat="1" ht="30.75" customHeight="1">
      <c r="A7" s="289" t="s">
        <v>373</v>
      </c>
      <c r="B7" s="674" t="s">
        <v>10</v>
      </c>
      <c r="C7" s="678" t="s">
        <v>550</v>
      </c>
      <c r="D7" s="678" t="s">
        <v>551</v>
      </c>
      <c r="E7" s="678" t="s">
        <v>552</v>
      </c>
      <c r="F7" s="675"/>
      <c r="G7" s="291"/>
      <c r="H7" s="292"/>
      <c r="I7" s="293"/>
      <c r="J7" s="294"/>
      <c r="K7" s="293"/>
      <c r="L7" s="292"/>
      <c r="M7" s="293"/>
      <c r="N7" s="295"/>
      <c r="O7" s="296"/>
      <c r="P7" s="289" t="s">
        <v>376</v>
      </c>
      <c r="Q7" s="290" t="s">
        <v>10</v>
      </c>
      <c r="R7" s="678" t="s">
        <v>550</v>
      </c>
      <c r="S7" s="679" t="s">
        <v>551</v>
      </c>
      <c r="T7" s="678" t="s">
        <v>552</v>
      </c>
      <c r="U7" s="675" t="s">
        <v>9</v>
      </c>
      <c r="V7" s="291" t="s">
        <v>4</v>
      </c>
      <c r="W7" s="292" t="s">
        <v>374</v>
      </c>
      <c r="X7" s="297" t="s">
        <v>6</v>
      </c>
      <c r="Y7" s="298" t="s">
        <v>3</v>
      </c>
      <c r="Z7" s="297" t="s">
        <v>7</v>
      </c>
      <c r="AA7" s="297" t="s">
        <v>375</v>
      </c>
      <c r="AB7" s="299" t="s">
        <v>6</v>
      </c>
      <c r="AC7" s="300" t="s">
        <v>9</v>
      </c>
    </row>
    <row r="8" spans="1:29" ht="15">
      <c r="A8" s="302" t="s">
        <v>159</v>
      </c>
      <c r="B8" s="303">
        <v>125496</v>
      </c>
      <c r="C8" s="302">
        <v>0</v>
      </c>
      <c r="D8" s="309">
        <v>28706</v>
      </c>
      <c r="E8" s="303">
        <v>96790</v>
      </c>
      <c r="F8" s="303"/>
      <c r="G8" s="303"/>
      <c r="H8" s="303"/>
      <c r="I8" s="304"/>
      <c r="J8" s="305"/>
      <c r="K8" s="306"/>
      <c r="L8" s="307"/>
      <c r="M8" s="306"/>
      <c r="N8" s="307"/>
      <c r="O8" s="307"/>
      <c r="P8" s="302" t="s">
        <v>285</v>
      </c>
      <c r="Q8" s="303">
        <v>500210</v>
      </c>
      <c r="R8" s="690">
        <v>52610</v>
      </c>
      <c r="S8" s="692">
        <v>364345</v>
      </c>
      <c r="T8" s="692">
        <v>83255</v>
      </c>
      <c r="U8" s="304">
        <v>0</v>
      </c>
      <c r="V8" s="303">
        <f aca="true" t="shared" si="0" ref="V8:V14">T8+U8</f>
        <v>83255</v>
      </c>
      <c r="W8" s="303">
        <v>131840</v>
      </c>
      <c r="X8" s="304">
        <f aca="true" t="shared" si="1" ref="X8:X14">SUM(W8/V8)*100</f>
        <v>158.35685544411746</v>
      </c>
      <c r="Y8" s="276">
        <v>293581</v>
      </c>
      <c r="Z8" s="303">
        <f aca="true" t="shared" si="2" ref="Z8:Z14">V8+Y8</f>
        <v>376836</v>
      </c>
      <c r="AA8" s="276">
        <v>279267</v>
      </c>
      <c r="AB8" s="308">
        <f aca="true" t="shared" si="3" ref="AB8:AB14">SUM(AA8/Z8)*100</f>
        <v>74.10836544279209</v>
      </c>
      <c r="AC8" s="309">
        <v>11620</v>
      </c>
    </row>
    <row r="9" spans="1:29" ht="15">
      <c r="A9" s="302" t="s">
        <v>164</v>
      </c>
      <c r="B9" s="313">
        <v>680876</v>
      </c>
      <c r="C9" s="302">
        <v>0</v>
      </c>
      <c r="D9" s="309">
        <v>680876</v>
      </c>
      <c r="E9" s="303">
        <v>0</v>
      </c>
      <c r="F9" s="303"/>
      <c r="G9" s="303"/>
      <c r="H9" s="303"/>
      <c r="I9" s="304"/>
      <c r="J9" s="305"/>
      <c r="K9" s="309"/>
      <c r="L9" s="309"/>
      <c r="M9" s="303"/>
      <c r="N9" s="309"/>
      <c r="O9" s="304"/>
      <c r="P9" s="310" t="s">
        <v>377</v>
      </c>
      <c r="Q9" s="303">
        <v>130927</v>
      </c>
      <c r="R9" s="691">
        <v>14594</v>
      </c>
      <c r="S9" s="693">
        <v>100557</v>
      </c>
      <c r="T9" s="693">
        <v>15776</v>
      </c>
      <c r="U9" s="304">
        <v>0</v>
      </c>
      <c r="V9" s="303">
        <f t="shared" si="0"/>
        <v>15776</v>
      </c>
      <c r="W9" s="303">
        <v>31532</v>
      </c>
      <c r="X9" s="304">
        <f t="shared" si="1"/>
        <v>199.8732251521298</v>
      </c>
      <c r="Y9" s="276">
        <v>42034</v>
      </c>
      <c r="Z9" s="309">
        <f t="shared" si="2"/>
        <v>57810</v>
      </c>
      <c r="AA9" s="309">
        <v>60191</v>
      </c>
      <c r="AB9" s="311">
        <f t="shared" si="3"/>
        <v>104.11866459090122</v>
      </c>
      <c r="AC9" s="309">
        <v>2997</v>
      </c>
    </row>
    <row r="10" spans="1:29" ht="15">
      <c r="A10" s="302" t="s">
        <v>192</v>
      </c>
      <c r="B10" s="303">
        <v>606448</v>
      </c>
      <c r="C10" s="302">
        <v>0</v>
      </c>
      <c r="D10" s="309">
        <v>593748</v>
      </c>
      <c r="E10" s="303">
        <v>12700</v>
      </c>
      <c r="F10" s="303"/>
      <c r="G10" s="303"/>
      <c r="H10" s="303"/>
      <c r="I10" s="304"/>
      <c r="J10" s="305"/>
      <c r="K10" s="309"/>
      <c r="L10" s="309"/>
      <c r="M10" s="303"/>
      <c r="N10" s="309"/>
      <c r="O10" s="304"/>
      <c r="P10" s="302" t="s">
        <v>378</v>
      </c>
      <c r="Q10" s="303">
        <v>409805</v>
      </c>
      <c r="R10" s="691">
        <v>26392</v>
      </c>
      <c r="S10" s="693">
        <v>338385</v>
      </c>
      <c r="T10" s="693">
        <v>45028</v>
      </c>
      <c r="U10" s="304">
        <v>0</v>
      </c>
      <c r="V10" s="303">
        <f t="shared" si="0"/>
        <v>45028</v>
      </c>
      <c r="W10" s="303">
        <v>167346</v>
      </c>
      <c r="X10" s="304">
        <f t="shared" si="1"/>
        <v>371.6487518877143</v>
      </c>
      <c r="Y10" s="276">
        <v>277640</v>
      </c>
      <c r="Z10" s="309">
        <f t="shared" si="2"/>
        <v>322668</v>
      </c>
      <c r="AA10" s="309">
        <v>303905</v>
      </c>
      <c r="AB10" s="311">
        <f t="shared" si="3"/>
        <v>94.18504468989798</v>
      </c>
      <c r="AC10" s="309">
        <v>142930</v>
      </c>
    </row>
    <row r="11" spans="1:29" ht="15">
      <c r="A11" s="312" t="s">
        <v>177</v>
      </c>
      <c r="B11" s="313">
        <v>42000</v>
      </c>
      <c r="C11" s="312">
        <v>0</v>
      </c>
      <c r="D11" s="688">
        <v>42000</v>
      </c>
      <c r="E11" s="313">
        <v>0</v>
      </c>
      <c r="F11" s="313"/>
      <c r="G11" s="303"/>
      <c r="H11" s="303"/>
      <c r="I11" s="304"/>
      <c r="J11" s="305"/>
      <c r="K11" s="309"/>
      <c r="L11" s="309"/>
      <c r="M11" s="303"/>
      <c r="N11" s="309"/>
      <c r="O11" s="304"/>
      <c r="P11" s="302" t="s">
        <v>379</v>
      </c>
      <c r="Q11" s="303">
        <v>250955</v>
      </c>
      <c r="R11" s="691">
        <v>0</v>
      </c>
      <c r="S11" s="693">
        <v>246381</v>
      </c>
      <c r="T11" s="693">
        <v>4574</v>
      </c>
      <c r="U11" s="304">
        <v>0</v>
      </c>
      <c r="V11" s="303">
        <f t="shared" si="0"/>
        <v>4574</v>
      </c>
      <c r="W11" s="303">
        <v>5859</v>
      </c>
      <c r="X11" s="304">
        <f t="shared" si="1"/>
        <v>128.09357236554436</v>
      </c>
      <c r="Y11" s="276">
        <v>20657</v>
      </c>
      <c r="Z11" s="309">
        <f t="shared" si="2"/>
        <v>25231</v>
      </c>
      <c r="AA11" s="309">
        <v>41771</v>
      </c>
      <c r="AB11" s="311">
        <f t="shared" si="3"/>
        <v>165.55427846696523</v>
      </c>
      <c r="AC11" s="309">
        <v>128758</v>
      </c>
    </row>
    <row r="12" spans="1:29" ht="15">
      <c r="A12" s="302" t="s">
        <v>380</v>
      </c>
      <c r="B12" s="313">
        <v>40000</v>
      </c>
      <c r="C12" s="302">
        <v>0</v>
      </c>
      <c r="D12" s="309">
        <v>40000</v>
      </c>
      <c r="E12" s="313">
        <v>0</v>
      </c>
      <c r="F12" s="313"/>
      <c r="G12" s="303"/>
      <c r="H12" s="303"/>
      <c r="I12" s="304"/>
      <c r="J12" s="305"/>
      <c r="K12" s="309"/>
      <c r="L12" s="309"/>
      <c r="M12" s="303"/>
      <c r="N12" s="309"/>
      <c r="O12" s="304"/>
      <c r="P12" s="302" t="s">
        <v>82</v>
      </c>
      <c r="Q12" s="303">
        <v>275938</v>
      </c>
      <c r="R12" s="691">
        <v>0</v>
      </c>
      <c r="S12" s="693">
        <v>141223</v>
      </c>
      <c r="T12" s="693">
        <v>134715</v>
      </c>
      <c r="U12" s="304">
        <v>0</v>
      </c>
      <c r="V12" s="303">
        <f t="shared" si="0"/>
        <v>134715</v>
      </c>
      <c r="W12" s="303">
        <v>32384</v>
      </c>
      <c r="X12" s="304">
        <f t="shared" si="1"/>
        <v>24.0388969305571</v>
      </c>
      <c r="Y12" s="276">
        <v>24048</v>
      </c>
      <c r="Z12" s="309">
        <f t="shared" si="2"/>
        <v>158763</v>
      </c>
      <c r="AA12" s="309">
        <v>77977</v>
      </c>
      <c r="AB12" s="311">
        <f t="shared" si="3"/>
        <v>49.11534803449166</v>
      </c>
      <c r="AC12" s="309">
        <v>1094</v>
      </c>
    </row>
    <row r="13" spans="1:29" ht="15">
      <c r="A13" s="302" t="s">
        <v>381</v>
      </c>
      <c r="B13" s="303">
        <v>84760</v>
      </c>
      <c r="C13" s="302">
        <v>0</v>
      </c>
      <c r="D13" s="309">
        <v>21885</v>
      </c>
      <c r="E13" s="303">
        <v>62875</v>
      </c>
      <c r="F13" s="303"/>
      <c r="G13" s="303"/>
      <c r="H13" s="303"/>
      <c r="I13" s="304"/>
      <c r="J13" s="305"/>
      <c r="K13" s="309"/>
      <c r="L13" s="309"/>
      <c r="M13" s="303"/>
      <c r="N13" s="309"/>
      <c r="O13" s="304"/>
      <c r="P13" s="302" t="s">
        <v>382</v>
      </c>
      <c r="Q13" s="303">
        <v>64607</v>
      </c>
      <c r="R13" s="691">
        <v>0</v>
      </c>
      <c r="S13" s="693">
        <v>2121</v>
      </c>
      <c r="T13" s="693">
        <v>62486</v>
      </c>
      <c r="U13" s="304">
        <v>23709</v>
      </c>
      <c r="V13" s="303">
        <f t="shared" si="0"/>
        <v>86195</v>
      </c>
      <c r="W13" s="303">
        <v>39261</v>
      </c>
      <c r="X13" s="304">
        <f t="shared" si="1"/>
        <v>45.54904576831603</v>
      </c>
      <c r="Y13" s="276">
        <v>22284</v>
      </c>
      <c r="Z13" s="309">
        <f t="shared" si="2"/>
        <v>108479</v>
      </c>
      <c r="AA13" s="309">
        <v>62071</v>
      </c>
      <c r="AB13" s="311">
        <f t="shared" si="3"/>
        <v>57.219369647581566</v>
      </c>
      <c r="AC13" s="309">
        <v>18947</v>
      </c>
    </row>
    <row r="14" spans="1:29" ht="15">
      <c r="A14" s="302"/>
      <c r="B14" s="303"/>
      <c r="C14" s="302"/>
      <c r="D14" s="309"/>
      <c r="E14" s="303"/>
      <c r="F14" s="303"/>
      <c r="G14" s="303"/>
      <c r="H14" s="303"/>
      <c r="I14" s="304"/>
      <c r="J14" s="305"/>
      <c r="K14" s="303"/>
      <c r="L14" s="307"/>
      <c r="M14" s="303"/>
      <c r="N14" s="307"/>
      <c r="O14" s="307"/>
      <c r="P14" s="302" t="s">
        <v>383</v>
      </c>
      <c r="Q14" s="314">
        <v>0</v>
      </c>
      <c r="R14" s="309">
        <v>0</v>
      </c>
      <c r="S14" s="309">
        <v>0</v>
      </c>
      <c r="T14" s="681">
        <v>0</v>
      </c>
      <c r="U14" s="304">
        <v>362</v>
      </c>
      <c r="V14" s="303">
        <f t="shared" si="0"/>
        <v>362</v>
      </c>
      <c r="W14" s="303">
        <v>0</v>
      </c>
      <c r="X14" s="304">
        <f t="shared" si="1"/>
        <v>0</v>
      </c>
      <c r="Y14" s="276">
        <v>34505</v>
      </c>
      <c r="Z14" s="309">
        <f t="shared" si="2"/>
        <v>34867</v>
      </c>
      <c r="AA14" s="309">
        <v>0</v>
      </c>
      <c r="AB14" s="311">
        <f t="shared" si="3"/>
        <v>0</v>
      </c>
      <c r="AC14" s="309">
        <v>-4017</v>
      </c>
    </row>
    <row r="15" spans="1:29" ht="15">
      <c r="A15" s="302"/>
      <c r="B15" s="303"/>
      <c r="C15" s="302"/>
      <c r="D15" s="309"/>
      <c r="E15" s="303"/>
      <c r="F15" s="303"/>
      <c r="G15" s="315"/>
      <c r="H15" s="303"/>
      <c r="I15" s="315"/>
      <c r="J15" s="305"/>
      <c r="K15" s="315"/>
      <c r="L15" s="307"/>
      <c r="M15" s="309"/>
      <c r="N15" s="307"/>
      <c r="O15" s="307"/>
      <c r="P15" s="302"/>
      <c r="Q15" s="303"/>
      <c r="R15" s="309"/>
      <c r="S15" s="309"/>
      <c r="T15" s="681"/>
      <c r="U15" s="339"/>
      <c r="V15" s="315"/>
      <c r="W15" s="315"/>
      <c r="X15" s="315"/>
      <c r="Z15" s="303"/>
      <c r="AB15" s="311"/>
      <c r="AC15" s="309"/>
    </row>
    <row r="16" spans="1:29" s="323" customFormat="1" ht="15.75">
      <c r="A16" s="316" t="s">
        <v>373</v>
      </c>
      <c r="B16" s="319">
        <f>SUM(B8:B15)</f>
        <v>1579580</v>
      </c>
      <c r="C16" s="319">
        <f>SUM(C8:C15)</f>
        <v>0</v>
      </c>
      <c r="D16" s="319">
        <f>SUM(D8:D15)</f>
        <v>1407215</v>
      </c>
      <c r="E16" s="319">
        <f>SUM(E8:E15)</f>
        <v>172365</v>
      </c>
      <c r="F16" s="317"/>
      <c r="G16" s="317"/>
      <c r="H16" s="317"/>
      <c r="I16" s="317"/>
      <c r="J16" s="318"/>
      <c r="K16" s="317"/>
      <c r="L16" s="319"/>
      <c r="M16" s="320"/>
      <c r="N16" s="319"/>
      <c r="O16" s="321"/>
      <c r="P16" s="316" t="s">
        <v>376</v>
      </c>
      <c r="Q16" s="319">
        <f>SUM(Q8:Q14)</f>
        <v>1632442</v>
      </c>
      <c r="R16" s="319">
        <f>SUM(R8:R14)</f>
        <v>93596</v>
      </c>
      <c r="S16" s="319">
        <f>SUM(S8:S14)</f>
        <v>1193012</v>
      </c>
      <c r="T16" s="319">
        <f>SUM(T8:T14)</f>
        <v>345834</v>
      </c>
      <c r="U16" s="321">
        <f>SUM(U8:U15)</f>
        <v>24071</v>
      </c>
      <c r="V16" s="317">
        <f>T16+U16</f>
        <v>369905</v>
      </c>
      <c r="W16" s="317">
        <f>SUM(W8:W15)</f>
        <v>408222</v>
      </c>
      <c r="X16" s="317">
        <f>SUM(W16/V16)*100</f>
        <v>110.35860558792123</v>
      </c>
      <c r="Y16" s="317">
        <f>SUM(Y8:Y15)</f>
        <v>714749</v>
      </c>
      <c r="Z16" s="317">
        <f>V16+Y16</f>
        <v>1084654</v>
      </c>
      <c r="AA16" s="319">
        <f>SUM(AA8:AA15)</f>
        <v>825182</v>
      </c>
      <c r="AB16" s="322">
        <f>SUM(AA16/Z16)*100</f>
        <v>76.07790133996647</v>
      </c>
      <c r="AC16" s="319">
        <f>SUM(AC8:AC15)</f>
        <v>302329</v>
      </c>
    </row>
    <row r="17" spans="1:29" ht="15">
      <c r="A17" s="324"/>
      <c r="B17" s="303"/>
      <c r="C17" s="302"/>
      <c r="D17" s="309"/>
      <c r="E17" s="303"/>
      <c r="F17" s="303"/>
      <c r="G17" s="303"/>
      <c r="H17" s="303"/>
      <c r="I17" s="304"/>
      <c r="J17" s="305"/>
      <c r="K17" s="303"/>
      <c r="L17" s="307"/>
      <c r="M17" s="306"/>
      <c r="N17" s="307"/>
      <c r="O17" s="307"/>
      <c r="P17" s="324"/>
      <c r="Q17" s="303"/>
      <c r="R17" s="309"/>
      <c r="S17" s="309"/>
      <c r="T17" s="681"/>
      <c r="U17" s="304"/>
      <c r="V17" s="303"/>
      <c r="W17" s="303"/>
      <c r="X17" s="304"/>
      <c r="Z17" s="303"/>
      <c r="AB17" s="308"/>
      <c r="AC17" s="309"/>
    </row>
    <row r="18" spans="1:29" ht="15.75">
      <c r="A18" s="325" t="s">
        <v>384</v>
      </c>
      <c r="B18" s="303"/>
      <c r="C18" s="325"/>
      <c r="D18" s="338"/>
      <c r="E18" s="303"/>
      <c r="F18" s="303"/>
      <c r="G18" s="303"/>
      <c r="H18" s="303"/>
      <c r="I18" s="304"/>
      <c r="J18" s="305"/>
      <c r="K18" s="303"/>
      <c r="L18" s="307"/>
      <c r="M18" s="303"/>
      <c r="N18" s="307"/>
      <c r="O18" s="307"/>
      <c r="P18" s="325" t="s">
        <v>385</v>
      </c>
      <c r="Q18" s="303"/>
      <c r="R18" s="338"/>
      <c r="S18" s="338"/>
      <c r="T18" s="681"/>
      <c r="U18" s="304"/>
      <c r="V18" s="303"/>
      <c r="W18" s="303"/>
      <c r="X18" s="304"/>
      <c r="Z18" s="303"/>
      <c r="AB18" s="311"/>
      <c r="AC18" s="309"/>
    </row>
    <row r="19" spans="1:29" ht="15.75">
      <c r="A19" s="302"/>
      <c r="B19" s="303"/>
      <c r="C19" s="302"/>
      <c r="D19" s="309"/>
      <c r="E19" s="303"/>
      <c r="F19" s="303"/>
      <c r="G19" s="303"/>
      <c r="H19" s="303"/>
      <c r="I19" s="304"/>
      <c r="J19" s="305"/>
      <c r="K19" s="303"/>
      <c r="L19" s="307"/>
      <c r="M19" s="303"/>
      <c r="N19" s="307"/>
      <c r="O19" s="307"/>
      <c r="P19" s="325"/>
      <c r="Q19" s="303"/>
      <c r="R19" s="338"/>
      <c r="S19" s="338"/>
      <c r="T19" s="681"/>
      <c r="U19" s="304"/>
      <c r="V19" s="303"/>
      <c r="W19" s="303"/>
      <c r="X19" s="304"/>
      <c r="Z19" s="303"/>
      <c r="AB19" s="311"/>
      <c r="AC19" s="309"/>
    </row>
    <row r="20" spans="1:29" ht="15">
      <c r="A20" s="302" t="s">
        <v>386</v>
      </c>
      <c r="B20" s="303">
        <v>225828</v>
      </c>
      <c r="C20" s="302">
        <v>0</v>
      </c>
      <c r="D20" s="309">
        <v>124128</v>
      </c>
      <c r="E20" s="303">
        <v>101700</v>
      </c>
      <c r="F20" s="303"/>
      <c r="G20" s="303"/>
      <c r="H20" s="303"/>
      <c r="I20" s="304"/>
      <c r="J20" s="305"/>
      <c r="K20" s="309"/>
      <c r="L20" s="309"/>
      <c r="M20" s="303"/>
      <c r="N20" s="309"/>
      <c r="O20" s="304"/>
      <c r="P20" s="302" t="s">
        <v>304</v>
      </c>
      <c r="Q20" s="303">
        <v>314982</v>
      </c>
      <c r="R20" s="309">
        <v>0</v>
      </c>
      <c r="S20" s="309">
        <v>282582</v>
      </c>
      <c r="T20" s="681">
        <v>32400</v>
      </c>
      <c r="U20" s="304">
        <v>390050</v>
      </c>
      <c r="V20" s="303">
        <f>T20+U20</f>
        <v>422450</v>
      </c>
      <c r="W20" s="303">
        <v>232044</v>
      </c>
      <c r="X20" s="304">
        <f>SUM(W20/V20)*100</f>
        <v>54.9281571783643</v>
      </c>
      <c r="Y20" s="276">
        <v>2425423</v>
      </c>
      <c r="Z20" s="303">
        <f aca="true" t="shared" si="4" ref="Z20:Z25">V20+Y20</f>
        <v>2847873</v>
      </c>
      <c r="AA20" s="276">
        <v>608818</v>
      </c>
      <c r="AB20" s="311">
        <f aca="true" t="shared" si="5" ref="AB20:AB25">SUM(AA20/Z20)*100</f>
        <v>21.37798981906848</v>
      </c>
      <c r="AC20" s="309">
        <v>113408</v>
      </c>
    </row>
    <row r="21" spans="1:29" ht="15">
      <c r="A21" s="302" t="s">
        <v>242</v>
      </c>
      <c r="B21" s="303">
        <v>3100</v>
      </c>
      <c r="C21" s="302">
        <v>0</v>
      </c>
      <c r="D21" s="309">
        <v>3100</v>
      </c>
      <c r="E21" s="303">
        <v>0</v>
      </c>
      <c r="F21" s="303"/>
      <c r="G21" s="303"/>
      <c r="H21" s="303"/>
      <c r="I21" s="304"/>
      <c r="J21" s="305"/>
      <c r="K21" s="309"/>
      <c r="L21" s="309"/>
      <c r="M21" s="303"/>
      <c r="N21" s="309"/>
      <c r="O21" s="304"/>
      <c r="P21" s="302" t="s">
        <v>309</v>
      </c>
      <c r="Q21" s="303">
        <v>102705</v>
      </c>
      <c r="R21" s="309">
        <v>0</v>
      </c>
      <c r="S21" s="309">
        <v>0</v>
      </c>
      <c r="T21" s="681">
        <v>102705</v>
      </c>
      <c r="U21" s="304">
        <v>0</v>
      </c>
      <c r="V21" s="303">
        <f>T21+U21</f>
        <v>102705</v>
      </c>
      <c r="W21" s="303">
        <v>433</v>
      </c>
      <c r="X21" s="304">
        <f>SUM(W21/V21)*100</f>
        <v>0.4215958327247943</v>
      </c>
      <c r="Y21" s="276">
        <v>5588</v>
      </c>
      <c r="Z21" s="309">
        <f t="shared" si="4"/>
        <v>108293</v>
      </c>
      <c r="AA21" s="309">
        <v>1395</v>
      </c>
      <c r="AB21" s="311">
        <f t="shared" si="5"/>
        <v>1.288171904001182</v>
      </c>
      <c r="AC21" s="309">
        <v>1405</v>
      </c>
    </row>
    <row r="22" spans="1:29" ht="15">
      <c r="A22" s="302" t="s">
        <v>387</v>
      </c>
      <c r="B22" s="303">
        <v>13000</v>
      </c>
      <c r="C22" s="302">
        <v>0</v>
      </c>
      <c r="D22" s="309">
        <v>13000</v>
      </c>
      <c r="E22" s="303">
        <v>0</v>
      </c>
      <c r="F22" s="303"/>
      <c r="G22" s="303"/>
      <c r="H22" s="303"/>
      <c r="I22" s="304"/>
      <c r="J22" s="305"/>
      <c r="K22" s="309"/>
      <c r="L22" s="309"/>
      <c r="M22" s="303"/>
      <c r="N22" s="309"/>
      <c r="O22" s="304"/>
      <c r="P22" s="314" t="s">
        <v>388</v>
      </c>
      <c r="Q22" s="303">
        <v>0</v>
      </c>
      <c r="R22" s="303">
        <v>0</v>
      </c>
      <c r="S22" s="309">
        <v>0</v>
      </c>
      <c r="T22" s="681">
        <v>0</v>
      </c>
      <c r="U22" s="304">
        <v>24</v>
      </c>
      <c r="V22" s="303">
        <f>T22+U22</f>
        <v>24</v>
      </c>
      <c r="W22" s="303">
        <v>8691</v>
      </c>
      <c r="X22" s="304">
        <f>SUM(W22/V22)*100</f>
        <v>36212.5</v>
      </c>
      <c r="Y22" s="276">
        <v>18012</v>
      </c>
      <c r="Z22" s="309">
        <f t="shared" si="4"/>
        <v>18036</v>
      </c>
      <c r="AA22" s="309">
        <v>6045</v>
      </c>
      <c r="AB22" s="311">
        <f t="shared" si="5"/>
        <v>33.51630073186959</v>
      </c>
      <c r="AC22" s="309">
        <v>553</v>
      </c>
    </row>
    <row r="23" spans="1:29" ht="15">
      <c r="A23" s="302" t="s">
        <v>389</v>
      </c>
      <c r="B23" s="303">
        <v>500</v>
      </c>
      <c r="C23" s="302">
        <v>0</v>
      </c>
      <c r="D23" s="309">
        <v>500</v>
      </c>
      <c r="E23" s="303">
        <v>0</v>
      </c>
      <c r="F23" s="303"/>
      <c r="G23" s="303"/>
      <c r="H23" s="303"/>
      <c r="I23" s="304"/>
      <c r="J23" s="305"/>
      <c r="K23" s="309"/>
      <c r="L23" s="309"/>
      <c r="M23" s="303"/>
      <c r="N23" s="309"/>
      <c r="O23" s="304"/>
      <c r="P23" s="314" t="s">
        <v>390</v>
      </c>
      <c r="Q23" s="303">
        <v>87187</v>
      </c>
      <c r="R23" s="303">
        <v>0</v>
      </c>
      <c r="S23" s="309">
        <v>87187</v>
      </c>
      <c r="T23" s="681">
        <v>0</v>
      </c>
      <c r="U23" s="304">
        <v>368</v>
      </c>
      <c r="V23" s="303">
        <f>T23+U23</f>
        <v>368</v>
      </c>
      <c r="W23" s="303">
        <v>0</v>
      </c>
      <c r="X23" s="304">
        <f>SUM(W23/V23)*100</f>
        <v>0</v>
      </c>
      <c r="Y23" s="276">
        <v>1022429</v>
      </c>
      <c r="Z23" s="309">
        <f t="shared" si="4"/>
        <v>1022797</v>
      </c>
      <c r="AA23" s="309">
        <v>0</v>
      </c>
      <c r="AB23" s="311">
        <f t="shared" si="5"/>
        <v>0</v>
      </c>
      <c r="AC23" s="309">
        <v>78870</v>
      </c>
    </row>
    <row r="24" spans="1:29" ht="15">
      <c r="A24" s="302" t="s">
        <v>391</v>
      </c>
      <c r="B24" s="303">
        <v>282582</v>
      </c>
      <c r="C24" s="302">
        <v>0</v>
      </c>
      <c r="D24" s="309">
        <v>282582</v>
      </c>
      <c r="E24" s="303">
        <v>0</v>
      </c>
      <c r="F24" s="303"/>
      <c r="G24" s="303"/>
      <c r="H24" s="303"/>
      <c r="I24" s="304"/>
      <c r="J24" s="305"/>
      <c r="K24" s="309"/>
      <c r="L24" s="309"/>
      <c r="M24" s="303"/>
      <c r="N24" s="309"/>
      <c r="O24" s="304"/>
      <c r="P24" s="314" t="s">
        <v>392</v>
      </c>
      <c r="Q24" s="303">
        <v>5000</v>
      </c>
      <c r="R24" s="303">
        <v>0</v>
      </c>
      <c r="S24" s="309">
        <v>0</v>
      </c>
      <c r="T24" s="681">
        <v>5000</v>
      </c>
      <c r="U24" s="304">
        <v>0</v>
      </c>
      <c r="V24" s="303">
        <f>T24+U24</f>
        <v>5000</v>
      </c>
      <c r="W24" s="303">
        <v>3919</v>
      </c>
      <c r="X24" s="304">
        <f>SUM(W24/V24)*100</f>
        <v>78.38000000000001</v>
      </c>
      <c r="Y24" s="276">
        <v>0</v>
      </c>
      <c r="Z24" s="309">
        <f t="shared" si="4"/>
        <v>5000</v>
      </c>
      <c r="AA24" s="309">
        <v>17185</v>
      </c>
      <c r="AB24" s="311">
        <f t="shared" si="5"/>
        <v>343.7</v>
      </c>
      <c r="AC24" s="309">
        <v>0</v>
      </c>
    </row>
    <row r="25" spans="1:29" ht="15">
      <c r="A25" s="302"/>
      <c r="B25" s="303"/>
      <c r="C25" s="302"/>
      <c r="D25" s="309"/>
      <c r="E25" s="303"/>
      <c r="F25" s="303"/>
      <c r="G25" s="303"/>
      <c r="H25" s="303"/>
      <c r="I25" s="304"/>
      <c r="J25" s="305"/>
      <c r="K25" s="303"/>
      <c r="L25" s="307"/>
      <c r="M25" s="303"/>
      <c r="N25" s="307"/>
      <c r="O25" s="307"/>
      <c r="P25" s="302"/>
      <c r="Q25" s="303"/>
      <c r="R25" s="309"/>
      <c r="S25" s="309"/>
      <c r="T25" s="681"/>
      <c r="U25" s="304"/>
      <c r="V25" s="303">
        <v>0</v>
      </c>
      <c r="W25" s="303"/>
      <c r="X25" s="304"/>
      <c r="Y25" s="276">
        <v>45000</v>
      </c>
      <c r="Z25" s="309">
        <f t="shared" si="4"/>
        <v>45000</v>
      </c>
      <c r="AA25" s="309">
        <v>0</v>
      </c>
      <c r="AB25" s="311">
        <f t="shared" si="5"/>
        <v>0</v>
      </c>
      <c r="AC25" s="309">
        <v>104</v>
      </c>
    </row>
    <row r="26" spans="1:29" ht="15">
      <c r="A26" s="326"/>
      <c r="B26" s="315"/>
      <c r="C26" s="326"/>
      <c r="D26" s="340"/>
      <c r="E26" s="315"/>
      <c r="F26" s="315"/>
      <c r="G26" s="315"/>
      <c r="H26" s="315"/>
      <c r="I26" s="315"/>
      <c r="J26" s="327"/>
      <c r="K26" s="303"/>
      <c r="L26" s="307"/>
      <c r="M26" s="303"/>
      <c r="N26" s="307"/>
      <c r="O26" s="328"/>
      <c r="P26" s="326"/>
      <c r="Q26" s="315"/>
      <c r="R26" s="340"/>
      <c r="S26" s="340"/>
      <c r="T26" s="682"/>
      <c r="U26" s="339"/>
      <c r="V26" s="315"/>
      <c r="W26" s="315"/>
      <c r="X26" s="315"/>
      <c r="Z26" s="303"/>
      <c r="AB26" s="311"/>
      <c r="AC26" s="309"/>
    </row>
    <row r="27" spans="1:29" s="323" customFormat="1" ht="15.75">
      <c r="A27" s="329" t="s">
        <v>393</v>
      </c>
      <c r="B27" s="330">
        <f>SUM(B19:B26)</f>
        <v>525010</v>
      </c>
      <c r="C27" s="330">
        <f>SUM(C19:C26)</f>
        <v>0</v>
      </c>
      <c r="D27" s="330">
        <f>SUM(D19:D26)</f>
        <v>423310</v>
      </c>
      <c r="E27" s="330">
        <f>SUM(E19:E26)</f>
        <v>101700</v>
      </c>
      <c r="F27" s="317"/>
      <c r="G27" s="317"/>
      <c r="H27" s="330"/>
      <c r="I27" s="317"/>
      <c r="J27" s="331"/>
      <c r="K27" s="317"/>
      <c r="L27" s="319"/>
      <c r="M27" s="332"/>
      <c r="N27" s="333"/>
      <c r="O27" s="334"/>
      <c r="P27" s="329" t="s">
        <v>394</v>
      </c>
      <c r="Q27" s="330">
        <f>SUM(Q20:Q26)</f>
        <v>509874</v>
      </c>
      <c r="R27" s="330">
        <f>SUM(R20:R26)</f>
        <v>0</v>
      </c>
      <c r="S27" s="330">
        <f>SUM(S20:S26)</f>
        <v>369769</v>
      </c>
      <c r="T27" s="330">
        <f>SUM(T20:T26)</f>
        <v>140105</v>
      </c>
      <c r="U27" s="321">
        <f>SUM(U20:U26)</f>
        <v>390442</v>
      </c>
      <c r="V27" s="317">
        <f>T27+U27</f>
        <v>530547</v>
      </c>
      <c r="W27" s="317">
        <f>SUM(W20:W26)</f>
        <v>245087</v>
      </c>
      <c r="X27" s="317">
        <f>SUM(W27/V27)*100</f>
        <v>46.195153304042805</v>
      </c>
      <c r="Y27" s="319">
        <f>SUM(Y20:Y26)</f>
        <v>3516452</v>
      </c>
      <c r="Z27" s="317">
        <f>V27+Y27</f>
        <v>4046999</v>
      </c>
      <c r="AA27" s="319">
        <f>SUM(AA20:AA26)</f>
        <v>633443</v>
      </c>
      <c r="AB27" s="322">
        <f>SUM(AA27/Z27)*100</f>
        <v>15.652165962976516</v>
      </c>
      <c r="AC27" s="319">
        <f>SUM(AC20:AC26)</f>
        <v>194340</v>
      </c>
    </row>
    <row r="28" spans="1:29" s="323" customFormat="1" ht="15.75">
      <c r="A28" s="335" t="s">
        <v>395</v>
      </c>
      <c r="B28" s="317">
        <f>SUM(B16+B27)</f>
        <v>2104590</v>
      </c>
      <c r="C28" s="317">
        <f>SUM(C16+C27)</f>
        <v>0</v>
      </c>
      <c r="D28" s="317">
        <f>SUM(D16+D27)</f>
        <v>1830525</v>
      </c>
      <c r="E28" s="317">
        <f>SUM(E16+E27)</f>
        <v>274065</v>
      </c>
      <c r="F28" s="330"/>
      <c r="G28" s="317"/>
      <c r="H28" s="317"/>
      <c r="I28" s="317"/>
      <c r="J28" s="336"/>
      <c r="K28" s="317"/>
      <c r="L28" s="333"/>
      <c r="M28" s="320"/>
      <c r="N28" s="319"/>
      <c r="O28" s="333"/>
      <c r="P28" s="335" t="s">
        <v>396</v>
      </c>
      <c r="Q28" s="317">
        <f>SUM(Q16+Q27)</f>
        <v>2142316</v>
      </c>
      <c r="R28" s="317">
        <f>SUM(R16+R27)</f>
        <v>93596</v>
      </c>
      <c r="S28" s="317">
        <f>SUM(S16+S27)</f>
        <v>1562781</v>
      </c>
      <c r="T28" s="317">
        <f>SUM(T16+T27)</f>
        <v>485939</v>
      </c>
      <c r="U28" s="321">
        <f>U16+U27</f>
        <v>414513</v>
      </c>
      <c r="V28" s="317">
        <f>T28+U28</f>
        <v>900452</v>
      </c>
      <c r="W28" s="317">
        <f>W16+W27</f>
        <v>653309</v>
      </c>
      <c r="X28" s="317">
        <f>SUM(W28/V28)*100</f>
        <v>72.55345093353117</v>
      </c>
      <c r="Y28" s="319">
        <f>Y16+Y27</f>
        <v>4231201</v>
      </c>
      <c r="Z28" s="317">
        <f>V28+Y28</f>
        <v>5131653</v>
      </c>
      <c r="AA28" s="319">
        <f>AA16+AA27</f>
        <v>1458625</v>
      </c>
      <c r="AB28" s="322">
        <f>SUM(AA28/Z28)*100</f>
        <v>28.42407699819142</v>
      </c>
      <c r="AC28" s="319">
        <f>AC16+AC27</f>
        <v>496669</v>
      </c>
    </row>
    <row r="29" spans="1:29" ht="15.75">
      <c r="A29" s="316"/>
      <c r="B29" s="320"/>
      <c r="C29" s="316"/>
      <c r="D29" s="332"/>
      <c r="E29" s="320"/>
      <c r="F29" s="320"/>
      <c r="G29" s="303"/>
      <c r="H29" s="303"/>
      <c r="I29" s="304"/>
      <c r="J29" s="305"/>
      <c r="K29" s="303"/>
      <c r="L29" s="307"/>
      <c r="M29" s="306"/>
      <c r="N29" s="307"/>
      <c r="O29" s="307"/>
      <c r="P29" s="332"/>
      <c r="Q29" s="320"/>
      <c r="R29" s="332"/>
      <c r="S29" s="332"/>
      <c r="T29" s="684"/>
      <c r="U29" s="304"/>
      <c r="V29" s="303"/>
      <c r="W29" s="303"/>
      <c r="X29" s="304"/>
      <c r="Z29" s="303"/>
      <c r="AB29" s="308"/>
      <c r="AC29" s="309"/>
    </row>
    <row r="30" spans="1:29" ht="15.75">
      <c r="A30" s="325" t="s">
        <v>397</v>
      </c>
      <c r="B30" s="337"/>
      <c r="C30" s="325"/>
      <c r="D30" s="338"/>
      <c r="E30" s="337"/>
      <c r="F30" s="337"/>
      <c r="G30" s="303"/>
      <c r="H30" s="303"/>
      <c r="I30" s="304"/>
      <c r="J30" s="305"/>
      <c r="K30" s="303"/>
      <c r="L30" s="307"/>
      <c r="M30" s="303"/>
      <c r="N30" s="307"/>
      <c r="O30" s="307"/>
      <c r="P30" s="338" t="s">
        <v>398</v>
      </c>
      <c r="Q30" s="337"/>
      <c r="R30" s="338"/>
      <c r="S30" s="338"/>
      <c r="T30" s="685"/>
      <c r="U30" s="304"/>
      <c r="V30" s="303"/>
      <c r="W30" s="303"/>
      <c r="X30" s="304"/>
      <c r="Z30" s="303"/>
      <c r="AB30" s="311"/>
      <c r="AC30" s="309"/>
    </row>
    <row r="31" spans="1:29" ht="15.75">
      <c r="A31" s="325" t="s">
        <v>159</v>
      </c>
      <c r="B31" s="337"/>
      <c r="C31" s="325"/>
      <c r="D31" s="338"/>
      <c r="E31" s="337"/>
      <c r="F31" s="337"/>
      <c r="G31" s="303"/>
      <c r="H31" s="303"/>
      <c r="I31" s="304"/>
      <c r="J31" s="305"/>
      <c r="K31" s="309"/>
      <c r="L31" s="307"/>
      <c r="M31" s="303"/>
      <c r="N31" s="307"/>
      <c r="O31" s="307"/>
      <c r="P31" s="338"/>
      <c r="Q31" s="337"/>
      <c r="R31" s="338"/>
      <c r="S31" s="338"/>
      <c r="T31" s="685"/>
      <c r="U31" s="304"/>
      <c r="V31" s="303"/>
      <c r="W31" s="303"/>
      <c r="X31" s="304"/>
      <c r="Z31" s="303"/>
      <c r="AB31" s="311"/>
      <c r="AC31" s="309"/>
    </row>
    <row r="32" spans="1:29" ht="15.75">
      <c r="A32" s="326" t="s">
        <v>399</v>
      </c>
      <c r="B32" s="330">
        <v>0</v>
      </c>
      <c r="C32" s="703">
        <v>0</v>
      </c>
      <c r="D32" s="704">
        <v>0</v>
      </c>
      <c r="E32" s="330">
        <v>0</v>
      </c>
      <c r="F32" s="330"/>
      <c r="G32" s="315"/>
      <c r="H32" s="315"/>
      <c r="I32" s="339"/>
      <c r="J32" s="327"/>
      <c r="K32" s="340"/>
      <c r="L32" s="328"/>
      <c r="M32" s="315"/>
      <c r="N32" s="328"/>
      <c r="O32" s="328"/>
      <c r="P32" s="341"/>
      <c r="Q32" s="330"/>
      <c r="R32" s="341"/>
      <c r="S32" s="341"/>
      <c r="T32" s="683"/>
      <c r="U32" s="304"/>
      <c r="V32" s="303"/>
      <c r="W32" s="303"/>
      <c r="X32" s="304"/>
      <c r="Z32" s="303"/>
      <c r="AB32" s="311"/>
      <c r="AC32" s="309"/>
    </row>
    <row r="33" spans="1:29" ht="15.75">
      <c r="A33" s="335" t="s">
        <v>400</v>
      </c>
      <c r="B33" s="317">
        <f>SUM(B32)</f>
        <v>0</v>
      </c>
      <c r="C33" s="317">
        <f>SUM(C32)</f>
        <v>0</v>
      </c>
      <c r="D33" s="317">
        <f>SUM(D32)</f>
        <v>0</v>
      </c>
      <c r="E33" s="317">
        <f>SUM(E32)</f>
        <v>0</v>
      </c>
      <c r="F33" s="317"/>
      <c r="G33" s="342"/>
      <c r="H33" s="342"/>
      <c r="I33" s="343"/>
      <c r="J33" s="344"/>
      <c r="K33" s="345"/>
      <c r="L33" s="346"/>
      <c r="M33" s="342"/>
      <c r="N33" s="346"/>
      <c r="O33" s="346"/>
      <c r="P33" s="335" t="s">
        <v>401</v>
      </c>
      <c r="Q33" s="317">
        <f>SUM(Q32)</f>
        <v>0</v>
      </c>
      <c r="R33" s="317">
        <f>SUM(R32)</f>
        <v>0</v>
      </c>
      <c r="S33" s="317">
        <f>SUM(S32)</f>
        <v>0</v>
      </c>
      <c r="T33" s="317">
        <f>SUM(T32)</f>
        <v>0</v>
      </c>
      <c r="U33" s="304"/>
      <c r="V33" s="303"/>
      <c r="W33" s="303"/>
      <c r="X33" s="304"/>
      <c r="Z33" s="303"/>
      <c r="AB33" s="311"/>
      <c r="AC33" s="309"/>
    </row>
    <row r="34" spans="1:29" ht="15.75">
      <c r="A34" s="302"/>
      <c r="B34" s="337"/>
      <c r="C34" s="302"/>
      <c r="D34" s="309"/>
      <c r="E34" s="337"/>
      <c r="F34" s="337"/>
      <c r="G34" s="303"/>
      <c r="H34" s="303"/>
      <c r="I34" s="304"/>
      <c r="J34" s="305"/>
      <c r="K34" s="309"/>
      <c r="L34" s="307"/>
      <c r="M34" s="303"/>
      <c r="N34" s="307"/>
      <c r="O34" s="307"/>
      <c r="P34" s="338"/>
      <c r="Q34" s="337"/>
      <c r="R34" s="338"/>
      <c r="S34" s="338"/>
      <c r="T34" s="685"/>
      <c r="U34" s="304"/>
      <c r="V34" s="303"/>
      <c r="W34" s="303"/>
      <c r="X34" s="304"/>
      <c r="Z34" s="303"/>
      <c r="AB34" s="311"/>
      <c r="AC34" s="309"/>
    </row>
    <row r="35" spans="1:29" ht="15.75">
      <c r="A35" s="325" t="s">
        <v>384</v>
      </c>
      <c r="B35" s="337"/>
      <c r="C35" s="325"/>
      <c r="D35" s="338"/>
      <c r="E35" s="337"/>
      <c r="F35" s="337"/>
      <c r="G35" s="303"/>
      <c r="H35" s="303"/>
      <c r="I35" s="304"/>
      <c r="J35" s="305"/>
      <c r="K35" s="309"/>
      <c r="L35" s="307"/>
      <c r="M35" s="303"/>
      <c r="N35" s="307"/>
      <c r="O35" s="307"/>
      <c r="P35" s="338"/>
      <c r="Q35" s="337"/>
      <c r="R35" s="338"/>
      <c r="S35" s="338"/>
      <c r="T35" s="685"/>
      <c r="U35" s="304"/>
      <c r="V35" s="303"/>
      <c r="W35" s="303"/>
      <c r="X35" s="304"/>
      <c r="Z35" s="303"/>
      <c r="AB35" s="311"/>
      <c r="AC35" s="309"/>
    </row>
    <row r="36" spans="1:29" ht="15">
      <c r="A36" s="302" t="s">
        <v>399</v>
      </c>
      <c r="B36" s="303">
        <v>0</v>
      </c>
      <c r="C36" s="302">
        <v>0</v>
      </c>
      <c r="D36" s="309">
        <v>0</v>
      </c>
      <c r="E36" s="303">
        <v>0</v>
      </c>
      <c r="F36" s="303"/>
      <c r="G36" s="303"/>
      <c r="H36" s="303"/>
      <c r="I36" s="304"/>
      <c r="J36" s="305"/>
      <c r="K36" s="309"/>
      <c r="L36" s="309"/>
      <c r="M36" s="303"/>
      <c r="N36" s="303"/>
      <c r="O36" s="304"/>
      <c r="P36" s="302" t="s">
        <v>367</v>
      </c>
      <c r="Q36" s="303">
        <v>4365</v>
      </c>
      <c r="R36" s="309">
        <v>0</v>
      </c>
      <c r="S36" s="309">
        <v>4365</v>
      </c>
      <c r="T36" s="681">
        <v>0</v>
      </c>
      <c r="U36" s="304">
        <v>0</v>
      </c>
      <c r="V36" s="303">
        <f>T36+U36</f>
        <v>0</v>
      </c>
      <c r="W36" s="303">
        <v>89325</v>
      </c>
      <c r="X36" s="304" t="e">
        <f>SUM(W36/V36)*100</f>
        <v>#DIV/0!</v>
      </c>
      <c r="Y36" s="276">
        <v>3631</v>
      </c>
      <c r="Z36" s="303">
        <f>V36+Y36</f>
        <v>3631</v>
      </c>
      <c r="AA36" s="276">
        <v>197447</v>
      </c>
      <c r="AB36" s="311">
        <f>SUM(AA36/Z36)*100</f>
        <v>5437.813274580005</v>
      </c>
      <c r="AC36" s="309">
        <v>0</v>
      </c>
    </row>
    <row r="37" spans="1:29" ht="15">
      <c r="A37" s="326" t="s">
        <v>402</v>
      </c>
      <c r="B37" s="315">
        <v>42091</v>
      </c>
      <c r="C37" s="326">
        <v>0</v>
      </c>
      <c r="D37" s="340">
        <v>42091</v>
      </c>
      <c r="E37" s="315">
        <v>0</v>
      </c>
      <c r="F37" s="315"/>
      <c r="G37" s="315"/>
      <c r="H37" s="315"/>
      <c r="I37" s="315"/>
      <c r="J37" s="327"/>
      <c r="K37" s="315"/>
      <c r="L37" s="340"/>
      <c r="M37" s="315"/>
      <c r="N37" s="328"/>
      <c r="O37" s="328"/>
      <c r="P37" s="326"/>
      <c r="Q37" s="315"/>
      <c r="R37" s="340"/>
      <c r="S37" s="340"/>
      <c r="T37" s="682"/>
      <c r="U37" s="339"/>
      <c r="V37" s="315"/>
      <c r="W37" s="315"/>
      <c r="X37" s="315"/>
      <c r="Z37" s="303"/>
      <c r="AB37" s="311"/>
      <c r="AC37" s="309"/>
    </row>
    <row r="38" spans="1:29" ht="15.75">
      <c r="A38" s="347" t="s">
        <v>403</v>
      </c>
      <c r="B38" s="315">
        <f>SUM(B36:B37)</f>
        <v>42091</v>
      </c>
      <c r="C38" s="315">
        <f>SUM(C36:C37)</f>
        <v>0</v>
      </c>
      <c r="D38" s="315">
        <f>SUM(D36:D37)</f>
        <v>42091</v>
      </c>
      <c r="E38" s="315">
        <f>SUM(E36:E37)</f>
        <v>0</v>
      </c>
      <c r="F38" s="303"/>
      <c r="G38" s="303"/>
      <c r="H38" s="303"/>
      <c r="I38" s="315"/>
      <c r="J38" s="305"/>
      <c r="K38" s="303"/>
      <c r="L38" s="328"/>
      <c r="M38" s="309"/>
      <c r="N38" s="307"/>
      <c r="O38" s="307"/>
      <c r="P38" s="347" t="s">
        <v>404</v>
      </c>
      <c r="Q38" s="303">
        <f>SUM(Q36:Q37)</f>
        <v>4365</v>
      </c>
      <c r="R38" s="303">
        <f>SUM(R36:R37)</f>
        <v>0</v>
      </c>
      <c r="S38" s="303">
        <f>SUM(S36:S37)</f>
        <v>4365</v>
      </c>
      <c r="T38" s="303">
        <f>SUM(T36:T37)</f>
        <v>0</v>
      </c>
      <c r="U38" s="339"/>
      <c r="V38" s="315"/>
      <c r="W38" s="315"/>
      <c r="X38" s="315"/>
      <c r="Z38" s="303"/>
      <c r="AB38" s="311"/>
      <c r="AC38" s="309"/>
    </row>
    <row r="39" spans="1:29" s="323" customFormat="1" ht="15.75">
      <c r="A39" s="348" t="s">
        <v>405</v>
      </c>
      <c r="B39" s="317">
        <f>SUM(B33+B38)</f>
        <v>42091</v>
      </c>
      <c r="C39" s="317">
        <f>SUM(C33+C38)</f>
        <v>0</v>
      </c>
      <c r="D39" s="317">
        <f>SUM(D33+D38)</f>
        <v>42091</v>
      </c>
      <c r="E39" s="317">
        <f>SUM(E33+E38)</f>
        <v>0</v>
      </c>
      <c r="F39" s="317"/>
      <c r="G39" s="317"/>
      <c r="H39" s="317"/>
      <c r="I39" s="317"/>
      <c r="J39" s="336"/>
      <c r="K39" s="317"/>
      <c r="L39" s="333"/>
      <c r="M39" s="332"/>
      <c r="N39" s="333"/>
      <c r="O39" s="333"/>
      <c r="P39" s="317" t="s">
        <v>406</v>
      </c>
      <c r="Q39" s="317">
        <f>SUM(Q33+Q38)</f>
        <v>4365</v>
      </c>
      <c r="R39" s="317">
        <f>SUM(R33+R38)</f>
        <v>0</v>
      </c>
      <c r="S39" s="317">
        <f>SUM(S33+S38)</f>
        <v>4365</v>
      </c>
      <c r="T39" s="317">
        <f>SUM(T33+T38)</f>
        <v>0</v>
      </c>
      <c r="U39" s="321">
        <v>0</v>
      </c>
      <c r="V39" s="317">
        <f>T39+U39</f>
        <v>0</v>
      </c>
      <c r="W39" s="317">
        <f>SUM(W36:W37)</f>
        <v>89325</v>
      </c>
      <c r="X39" s="317" t="e">
        <f>SUM(W39/V39)*100</f>
        <v>#DIV/0!</v>
      </c>
      <c r="Y39" s="319">
        <f>SUM(Y36:Y37)</f>
        <v>3631</v>
      </c>
      <c r="Z39" s="317">
        <f>V39+Y39</f>
        <v>3631</v>
      </c>
      <c r="AA39" s="319">
        <f>SUM(AA36:AA37)</f>
        <v>197447</v>
      </c>
      <c r="AB39" s="349">
        <f>SUM(AA39/Z39)*100</f>
        <v>5437.813274580005</v>
      </c>
      <c r="AC39" s="319">
        <f>SUM(AC36:AC37)</f>
        <v>0</v>
      </c>
    </row>
    <row r="40" spans="1:29" s="351" customFormat="1" ht="15.75">
      <c r="A40" s="348" t="s">
        <v>407</v>
      </c>
      <c r="B40" s="317">
        <f>SUM(B28+B39)</f>
        <v>2146681</v>
      </c>
      <c r="C40" s="317">
        <f>SUM(C28+C39)</f>
        <v>0</v>
      </c>
      <c r="D40" s="317">
        <f>SUM(D28+D39)</f>
        <v>1872616</v>
      </c>
      <c r="E40" s="317">
        <f>SUM(E28+E39)</f>
        <v>274065</v>
      </c>
      <c r="F40" s="317"/>
      <c r="G40" s="317"/>
      <c r="H40" s="317"/>
      <c r="I40" s="317"/>
      <c r="J40" s="336"/>
      <c r="K40" s="330"/>
      <c r="L40" s="334"/>
      <c r="M40" s="317"/>
      <c r="N40" s="319"/>
      <c r="O40" s="333"/>
      <c r="P40" s="348" t="s">
        <v>408</v>
      </c>
      <c r="Q40" s="317">
        <f>SUM(Q28+Q39)</f>
        <v>2146681</v>
      </c>
      <c r="R40" s="317">
        <f>SUM(R28+R39)</f>
        <v>93596</v>
      </c>
      <c r="S40" s="317">
        <f>SUM(S28+S39)</f>
        <v>1567146</v>
      </c>
      <c r="T40" s="317">
        <f>SUM(T28+T39)</f>
        <v>485939</v>
      </c>
      <c r="U40" s="321">
        <f>U28+U39</f>
        <v>414513</v>
      </c>
      <c r="V40" s="317">
        <f>T40+U40</f>
        <v>900452</v>
      </c>
      <c r="W40" s="330">
        <f>W28+W39</f>
        <v>742634</v>
      </c>
      <c r="X40" s="317">
        <f>SUM(W40/V40)*100</f>
        <v>82.47346888007357</v>
      </c>
      <c r="Y40" s="350">
        <f>Y28+Y39</f>
        <v>4234832</v>
      </c>
      <c r="Z40" s="330">
        <f>V40+Y40</f>
        <v>5135284</v>
      </c>
      <c r="AA40" s="319">
        <f>AA28+AA39</f>
        <v>1656072</v>
      </c>
      <c r="AB40" s="349">
        <f>SUM(AA40/Z40)*100</f>
        <v>32.24888827959661</v>
      </c>
      <c r="AC40" s="319">
        <f>AC28+AC39</f>
        <v>496669</v>
      </c>
    </row>
  </sheetData>
  <sheetProtection selectLockedCells="1" selectUnlockedCells="1"/>
  <mergeCells count="3">
    <mergeCell ref="A1:AC1"/>
    <mergeCell ref="A3:AC3"/>
    <mergeCell ref="P5:AC5"/>
  </mergeCells>
  <printOptions horizontalCentered="1" verticalCentered="1"/>
  <pageMargins left="0.6402777777777777" right="0.5597222222222222" top="0.5097222222222222" bottom="0.49027777777777776" header="0.5118055555555555" footer="0.5118055555555555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5.mell."/>
  <dimension ref="A1:Z63"/>
  <sheetViews>
    <sheetView view="pageBreakPreview" zoomScale="75" zoomScaleNormal="75" zoomScaleSheetLayoutView="75" workbookViewId="0" topLeftCell="A1">
      <selection activeCell="P3" sqref="P3"/>
    </sheetView>
  </sheetViews>
  <sheetFormatPr defaultColWidth="9.00390625" defaultRowHeight="12.75"/>
  <cols>
    <col min="1" max="1" width="4.625" style="352" customWidth="1"/>
    <col min="2" max="2" width="5.375" style="353" customWidth="1"/>
    <col min="3" max="3" width="18.375" style="354" customWidth="1"/>
    <col min="4" max="4" width="9.125" style="354" customWidth="1"/>
    <col min="5" max="5" width="20.375" style="354" customWidth="1"/>
    <col min="6" max="6" width="15.375" style="354" customWidth="1"/>
    <col min="7" max="12" width="0" style="355" hidden="1" customWidth="1"/>
    <col min="13" max="13" width="12.125" style="355" customWidth="1"/>
    <col min="14" max="14" width="13.875" style="355" customWidth="1"/>
    <col min="15" max="15" width="14.75390625" style="355" customWidth="1"/>
    <col min="16" max="16" width="8.125" style="356" customWidth="1"/>
    <col min="17" max="16384" width="9.125" style="357" customWidth="1"/>
  </cols>
  <sheetData>
    <row r="1" spans="2:26" ht="15" customHeight="1">
      <c r="B1" s="353" t="s">
        <v>208</v>
      </c>
      <c r="P1" s="358"/>
      <c r="Q1" s="358"/>
      <c r="R1" s="358"/>
      <c r="S1" s="358"/>
      <c r="T1" s="92"/>
      <c r="U1" s="92"/>
      <c r="V1" s="92"/>
      <c r="W1" s="92"/>
      <c r="X1" s="92"/>
      <c r="Y1" s="92"/>
      <c r="Z1" s="92"/>
    </row>
    <row r="2" spans="16:26" ht="15" customHeight="1">
      <c r="P2" s="358" t="s">
        <v>633</v>
      </c>
      <c r="Q2" s="358"/>
      <c r="R2" s="358"/>
      <c r="S2" s="358"/>
      <c r="T2" s="92"/>
      <c r="U2" s="92"/>
      <c r="V2" s="92"/>
      <c r="W2" s="92"/>
      <c r="X2" s="92"/>
      <c r="Y2" s="92"/>
      <c r="Z2" s="92"/>
    </row>
    <row r="3" ht="10.5" customHeight="1"/>
    <row r="4" spans="1:16" s="359" customFormat="1" ht="29.25" customHeight="1">
      <c r="A4" s="765" t="s">
        <v>409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</row>
    <row r="7" spans="3:24" ht="15">
      <c r="C7" s="360"/>
      <c r="P7" s="361" t="s">
        <v>123</v>
      </c>
      <c r="Q7" s="361"/>
      <c r="R7" s="362"/>
      <c r="S7" s="362"/>
      <c r="T7" s="362"/>
      <c r="U7" s="362"/>
      <c r="V7" s="362"/>
      <c r="W7" s="362"/>
      <c r="X7" s="362"/>
    </row>
    <row r="8" spans="1:17" ht="15" customHeight="1">
      <c r="A8" s="766" t="s">
        <v>12</v>
      </c>
      <c r="B8" s="766"/>
      <c r="C8" s="766"/>
      <c r="D8" s="766"/>
      <c r="E8" s="766"/>
      <c r="F8" s="363" t="s">
        <v>13</v>
      </c>
      <c r="G8" s="364" t="s">
        <v>151</v>
      </c>
      <c r="H8" s="364" t="s">
        <v>151</v>
      </c>
      <c r="I8" s="109" t="s">
        <v>152</v>
      </c>
      <c r="J8" s="109" t="s">
        <v>153</v>
      </c>
      <c r="K8" s="109" t="s">
        <v>154</v>
      </c>
      <c r="L8" s="109" t="s">
        <v>155</v>
      </c>
      <c r="M8" s="673" t="s">
        <v>151</v>
      </c>
      <c r="N8" s="673" t="s">
        <v>152</v>
      </c>
      <c r="O8" s="673" t="s">
        <v>153</v>
      </c>
      <c r="P8" s="110" t="s">
        <v>14</v>
      </c>
      <c r="Q8" s="365"/>
    </row>
    <row r="9" spans="1:16" ht="15">
      <c r="A9" s="366"/>
      <c r="B9" s="367" t="s">
        <v>410</v>
      </c>
      <c r="C9" s="366"/>
      <c r="D9" s="366"/>
      <c r="E9" s="366"/>
      <c r="F9" s="368"/>
      <c r="P9" s="369"/>
    </row>
    <row r="10" spans="1:16" s="351" customFormat="1" ht="72" customHeight="1">
      <c r="A10" s="370" t="s">
        <v>411</v>
      </c>
      <c r="B10" s="371" t="s">
        <v>412</v>
      </c>
      <c r="C10" s="372"/>
      <c r="D10" s="373"/>
      <c r="E10" s="373"/>
      <c r="F10" s="694" t="s">
        <v>10</v>
      </c>
      <c r="G10" s="374" t="s">
        <v>9</v>
      </c>
      <c r="H10" s="375" t="s">
        <v>413</v>
      </c>
      <c r="I10" s="376" t="s">
        <v>3</v>
      </c>
      <c r="J10" s="377" t="s">
        <v>414</v>
      </c>
      <c r="K10" s="378" t="s">
        <v>415</v>
      </c>
      <c r="L10" s="378" t="s">
        <v>416</v>
      </c>
      <c r="M10" s="672" t="s">
        <v>550</v>
      </c>
      <c r="N10" s="672" t="s">
        <v>551</v>
      </c>
      <c r="O10" s="672" t="s">
        <v>552</v>
      </c>
      <c r="P10" s="379" t="s">
        <v>11</v>
      </c>
    </row>
    <row r="11" spans="1:16" s="351" customFormat="1" ht="30" customHeight="1" hidden="1">
      <c r="A11" s="370"/>
      <c r="B11" s="371"/>
      <c r="C11" s="372"/>
      <c r="D11" s="373"/>
      <c r="E11" s="373"/>
      <c r="F11" s="380" t="s">
        <v>417</v>
      </c>
      <c r="G11" s="381"/>
      <c r="H11" s="381"/>
      <c r="I11" s="381"/>
      <c r="J11" s="381"/>
      <c r="K11" s="381"/>
      <c r="L11" s="381"/>
      <c r="M11" s="381"/>
      <c r="N11" s="381"/>
      <c r="O11" s="381"/>
      <c r="P11" s="382"/>
    </row>
    <row r="12" spans="2:17" ht="12.75" customHeight="1">
      <c r="B12" s="383" t="s">
        <v>328</v>
      </c>
      <c r="C12" s="384" t="s">
        <v>247</v>
      </c>
      <c r="F12" s="385">
        <v>125496</v>
      </c>
      <c r="G12" s="355">
        <v>0</v>
      </c>
      <c r="H12" s="355">
        <f>F12+G12</f>
        <v>125496</v>
      </c>
      <c r="I12" s="355">
        <v>7671</v>
      </c>
      <c r="J12" s="355">
        <v>0</v>
      </c>
      <c r="K12" s="355">
        <v>68271</v>
      </c>
      <c r="L12" s="355">
        <v>77690</v>
      </c>
      <c r="M12" s="385">
        <v>0</v>
      </c>
      <c r="N12" s="385">
        <v>28706</v>
      </c>
      <c r="O12" s="385">
        <v>96790</v>
      </c>
      <c r="P12" s="695" t="s">
        <v>16</v>
      </c>
      <c r="Q12" s="355"/>
    </row>
    <row r="13" spans="2:17" ht="14.25">
      <c r="B13" s="383" t="s">
        <v>418</v>
      </c>
      <c r="C13" s="384" t="s">
        <v>419</v>
      </c>
      <c r="F13" s="385">
        <v>775876</v>
      </c>
      <c r="G13" s="355">
        <v>0</v>
      </c>
      <c r="H13" s="355">
        <f>F13+G13</f>
        <v>775876</v>
      </c>
      <c r="I13" s="355">
        <v>39125</v>
      </c>
      <c r="J13" s="355">
        <v>0</v>
      </c>
      <c r="K13" s="355">
        <v>778125</v>
      </c>
      <c r="L13" s="355">
        <v>0</v>
      </c>
      <c r="M13" s="385">
        <v>0</v>
      </c>
      <c r="N13" s="385">
        <v>775876</v>
      </c>
      <c r="O13" s="385">
        <v>0</v>
      </c>
      <c r="P13" s="695" t="s">
        <v>170</v>
      </c>
      <c r="Q13" s="355"/>
    </row>
    <row r="14" spans="1:17" s="351" customFormat="1" ht="15">
      <c r="A14" s="386" t="s">
        <v>158</v>
      </c>
      <c r="B14" s="387" t="s">
        <v>420</v>
      </c>
      <c r="C14" s="388"/>
      <c r="D14" s="389"/>
      <c r="E14" s="389"/>
      <c r="F14" s="390">
        <f>SUM(F12:F13)</f>
        <v>901372</v>
      </c>
      <c r="G14" s="390">
        <f aca="true" t="shared" si="0" ref="G14:O14">SUM(G12:G13)</f>
        <v>0</v>
      </c>
      <c r="H14" s="390">
        <f t="shared" si="0"/>
        <v>901372</v>
      </c>
      <c r="I14" s="390">
        <f t="shared" si="0"/>
        <v>46796</v>
      </c>
      <c r="J14" s="390">
        <f t="shared" si="0"/>
        <v>0</v>
      </c>
      <c r="K14" s="390">
        <f t="shared" si="0"/>
        <v>846396</v>
      </c>
      <c r="L14" s="390">
        <f t="shared" si="0"/>
        <v>77690</v>
      </c>
      <c r="M14" s="390">
        <f t="shared" si="0"/>
        <v>0</v>
      </c>
      <c r="N14" s="390">
        <f t="shared" si="0"/>
        <v>804582</v>
      </c>
      <c r="O14" s="390">
        <f t="shared" si="0"/>
        <v>96790</v>
      </c>
      <c r="P14" s="697"/>
      <c r="Q14" s="355"/>
    </row>
    <row r="15" spans="1:17" s="351" customFormat="1" ht="15">
      <c r="A15" s="386" t="s">
        <v>191</v>
      </c>
      <c r="B15" s="387" t="s">
        <v>192</v>
      </c>
      <c r="C15" s="388"/>
      <c r="D15" s="389"/>
      <c r="E15" s="389"/>
      <c r="F15" s="390">
        <v>606448</v>
      </c>
      <c r="G15" s="381">
        <v>22406</v>
      </c>
      <c r="H15" s="381">
        <v>800954</v>
      </c>
      <c r="I15" s="381">
        <v>25224</v>
      </c>
      <c r="J15" s="381">
        <v>0</v>
      </c>
      <c r="K15" s="381">
        <v>826178</v>
      </c>
      <c r="L15" s="381">
        <v>0</v>
      </c>
      <c r="M15" s="408">
        <v>0</v>
      </c>
      <c r="N15" s="408">
        <v>593748</v>
      </c>
      <c r="O15" s="408">
        <v>12700</v>
      </c>
      <c r="P15" s="698" t="s">
        <v>261</v>
      </c>
      <c r="Q15" s="355"/>
    </row>
    <row r="16" spans="1:17" s="351" customFormat="1" ht="15">
      <c r="A16" s="394" t="s">
        <v>421</v>
      </c>
      <c r="B16" s="395" t="s">
        <v>226</v>
      </c>
      <c r="C16" s="396"/>
      <c r="D16" s="397"/>
      <c r="E16" s="397"/>
      <c r="F16" s="390">
        <v>225828</v>
      </c>
      <c r="G16" s="391">
        <v>0</v>
      </c>
      <c r="H16" s="391">
        <f>F16+G16</f>
        <v>225828</v>
      </c>
      <c r="I16" s="391">
        <v>84700</v>
      </c>
      <c r="J16" s="391">
        <v>0</v>
      </c>
      <c r="K16" s="391">
        <v>69561</v>
      </c>
      <c r="L16" s="391">
        <v>101700</v>
      </c>
      <c r="M16" s="390">
        <v>0</v>
      </c>
      <c r="N16" s="390">
        <v>124128</v>
      </c>
      <c r="O16" s="390">
        <v>101700</v>
      </c>
      <c r="P16" s="698" t="s">
        <v>262</v>
      </c>
      <c r="Q16" s="355"/>
    </row>
    <row r="17" spans="1:17" s="351" customFormat="1" ht="15">
      <c r="A17" s="370" t="s">
        <v>232</v>
      </c>
      <c r="B17" s="398" t="s">
        <v>263</v>
      </c>
      <c r="C17" s="399"/>
      <c r="D17" s="373"/>
      <c r="E17" s="373"/>
      <c r="F17" s="400"/>
      <c r="G17" s="381"/>
      <c r="H17" s="355"/>
      <c r="I17" s="381"/>
      <c r="J17" s="381"/>
      <c r="K17" s="381"/>
      <c r="L17" s="381"/>
      <c r="M17" s="408"/>
      <c r="N17" s="408"/>
      <c r="O17" s="408"/>
      <c r="P17" s="699"/>
      <c r="Q17" s="355"/>
    </row>
    <row r="18" spans="2:17" ht="14.25">
      <c r="B18" s="383" t="s">
        <v>156</v>
      </c>
      <c r="C18" s="401" t="s">
        <v>105</v>
      </c>
      <c r="F18" s="402">
        <v>84760</v>
      </c>
      <c r="G18" s="355">
        <v>70265</v>
      </c>
      <c r="H18" s="355">
        <v>277818</v>
      </c>
      <c r="I18" s="355">
        <v>108579</v>
      </c>
      <c r="J18" s="355">
        <v>0</v>
      </c>
      <c r="K18" s="355">
        <v>363662</v>
      </c>
      <c r="L18" s="355">
        <v>22735</v>
      </c>
      <c r="M18" s="385">
        <v>0</v>
      </c>
      <c r="N18" s="385">
        <v>21885</v>
      </c>
      <c r="O18" s="385">
        <v>62875</v>
      </c>
      <c r="P18" s="695" t="s">
        <v>23</v>
      </c>
      <c r="Q18" s="355"/>
    </row>
    <row r="19" spans="2:17" ht="14.25">
      <c r="B19" s="383" t="s">
        <v>161</v>
      </c>
      <c r="C19" s="401" t="s">
        <v>108</v>
      </c>
      <c r="F19" s="402">
        <v>282582</v>
      </c>
      <c r="M19" s="385">
        <v>0</v>
      </c>
      <c r="N19" s="385">
        <v>282582</v>
      </c>
      <c r="O19" s="385">
        <v>0</v>
      </c>
      <c r="P19" s="695" t="s">
        <v>107</v>
      </c>
      <c r="Q19" s="355"/>
    </row>
    <row r="20" spans="1:17" s="351" customFormat="1" ht="15">
      <c r="A20" s="386" t="s">
        <v>232</v>
      </c>
      <c r="B20" s="387" t="s">
        <v>422</v>
      </c>
      <c r="C20" s="388"/>
      <c r="D20" s="389"/>
      <c r="E20" s="389"/>
      <c r="F20" s="390">
        <f>SUM(F18:F19)</f>
        <v>367342</v>
      </c>
      <c r="G20" s="390">
        <f aca="true" t="shared" si="1" ref="G20:O20">SUM(G18:G19)</f>
        <v>70265</v>
      </c>
      <c r="H20" s="390">
        <f t="shared" si="1"/>
        <v>277818</v>
      </c>
      <c r="I20" s="390">
        <f t="shared" si="1"/>
        <v>108579</v>
      </c>
      <c r="J20" s="390">
        <f t="shared" si="1"/>
        <v>0</v>
      </c>
      <c r="K20" s="390">
        <f t="shared" si="1"/>
        <v>363662</v>
      </c>
      <c r="L20" s="390">
        <f t="shared" si="1"/>
        <v>22735</v>
      </c>
      <c r="M20" s="390">
        <f t="shared" si="1"/>
        <v>0</v>
      </c>
      <c r="N20" s="390">
        <f t="shared" si="1"/>
        <v>304467</v>
      </c>
      <c r="O20" s="390">
        <f t="shared" si="1"/>
        <v>62875</v>
      </c>
      <c r="P20" s="697"/>
      <c r="Q20" s="355"/>
    </row>
    <row r="21" spans="1:17" ht="15">
      <c r="A21" s="370" t="s">
        <v>235</v>
      </c>
      <c r="B21" s="398" t="s">
        <v>236</v>
      </c>
      <c r="C21" s="399"/>
      <c r="D21" s="373"/>
      <c r="E21" s="373"/>
      <c r="F21" s="400"/>
      <c r="M21" s="385"/>
      <c r="N21" s="385"/>
      <c r="O21" s="385"/>
      <c r="P21" s="695"/>
      <c r="Q21" s="355"/>
    </row>
    <row r="22" spans="2:17" ht="14.25">
      <c r="B22" s="383" t="s">
        <v>156</v>
      </c>
      <c r="C22" s="384" t="s">
        <v>265</v>
      </c>
      <c r="F22" s="402">
        <f>SUM('[1]címrendes bevétel'!M123)</f>
        <v>0</v>
      </c>
      <c r="G22" s="355">
        <v>0</v>
      </c>
      <c r="H22" s="355">
        <f>F22+G22</f>
        <v>0</v>
      </c>
      <c r="I22" s="355">
        <v>0</v>
      </c>
      <c r="J22" s="355">
        <v>0</v>
      </c>
      <c r="K22" s="355">
        <v>0</v>
      </c>
      <c r="L22" s="355">
        <v>0</v>
      </c>
      <c r="M22" s="385">
        <v>0</v>
      </c>
      <c r="N22" s="385">
        <v>0</v>
      </c>
      <c r="O22" s="385">
        <v>0</v>
      </c>
      <c r="P22" s="695" t="s">
        <v>238</v>
      </c>
      <c r="Q22" s="355"/>
    </row>
    <row r="23" spans="1:17" ht="15">
      <c r="A23" s="403"/>
      <c r="B23" s="404" t="s">
        <v>161</v>
      </c>
      <c r="C23" s="405" t="s">
        <v>117</v>
      </c>
      <c r="E23" s="406"/>
      <c r="F23" s="402">
        <f>SUM('[1]címrendes bevétel'!M124)</f>
        <v>500</v>
      </c>
      <c r="G23" s="355">
        <v>0</v>
      </c>
      <c r="H23" s="355">
        <f>F23+G23</f>
        <v>500</v>
      </c>
      <c r="I23" s="355">
        <v>0</v>
      </c>
      <c r="J23" s="355">
        <v>0</v>
      </c>
      <c r="K23" s="355">
        <v>500</v>
      </c>
      <c r="L23" s="355">
        <v>0</v>
      </c>
      <c r="M23" s="385">
        <v>0</v>
      </c>
      <c r="N23" s="385">
        <v>500</v>
      </c>
      <c r="O23" s="385">
        <v>0</v>
      </c>
      <c r="P23" s="695" t="s">
        <v>116</v>
      </c>
      <c r="Q23" s="355"/>
    </row>
    <row r="24" spans="1:17" s="351" customFormat="1" ht="15">
      <c r="A24" s="386" t="s">
        <v>235</v>
      </c>
      <c r="B24" s="387" t="s">
        <v>239</v>
      </c>
      <c r="C24" s="388"/>
      <c r="D24" s="389"/>
      <c r="E24" s="389"/>
      <c r="F24" s="390">
        <f>SUM(F22:F23)</f>
        <v>500</v>
      </c>
      <c r="G24" s="390">
        <f aca="true" t="shared" si="2" ref="G24:O24">SUM(G22:G23)</f>
        <v>0</v>
      </c>
      <c r="H24" s="390">
        <f t="shared" si="2"/>
        <v>500</v>
      </c>
      <c r="I24" s="390">
        <f t="shared" si="2"/>
        <v>0</v>
      </c>
      <c r="J24" s="390">
        <f t="shared" si="2"/>
        <v>0</v>
      </c>
      <c r="K24" s="390">
        <f t="shared" si="2"/>
        <v>500</v>
      </c>
      <c r="L24" s="390">
        <f t="shared" si="2"/>
        <v>0</v>
      </c>
      <c r="M24" s="390">
        <f t="shared" si="2"/>
        <v>0</v>
      </c>
      <c r="N24" s="390">
        <f t="shared" si="2"/>
        <v>500</v>
      </c>
      <c r="O24" s="390">
        <f t="shared" si="2"/>
        <v>0</v>
      </c>
      <c r="P24" s="697"/>
      <c r="Q24" s="355"/>
    </row>
    <row r="25" spans="1:17" s="351" customFormat="1" ht="15">
      <c r="A25" s="386" t="s">
        <v>240</v>
      </c>
      <c r="B25" s="387" t="s">
        <v>423</v>
      </c>
      <c r="C25" s="388"/>
      <c r="D25" s="389"/>
      <c r="E25" s="389"/>
      <c r="F25" s="390">
        <f>SUM('[1]címrendes bevétel'!M129)</f>
        <v>3100</v>
      </c>
      <c r="G25" s="381">
        <v>0</v>
      </c>
      <c r="H25" s="381">
        <f>F25+G25</f>
        <v>3100</v>
      </c>
      <c r="I25" s="381">
        <v>0</v>
      </c>
      <c r="J25" s="381">
        <v>0</v>
      </c>
      <c r="K25" s="381">
        <v>3000</v>
      </c>
      <c r="L25" s="381">
        <v>100</v>
      </c>
      <c r="M25" s="408">
        <v>0</v>
      </c>
      <c r="N25" s="408">
        <v>3100</v>
      </c>
      <c r="O25" s="408">
        <v>0</v>
      </c>
      <c r="P25" s="698" t="s">
        <v>119</v>
      </c>
      <c r="Q25" s="355"/>
    </row>
    <row r="26" spans="1:17" s="351" customFormat="1" ht="15">
      <c r="A26" s="386" t="s">
        <v>208</v>
      </c>
      <c r="B26" s="387" t="s">
        <v>424</v>
      </c>
      <c r="C26" s="388"/>
      <c r="D26" s="389"/>
      <c r="E26" s="389"/>
      <c r="F26" s="390">
        <f>SUM(F14+F15+F16+F20+F24+F25)</f>
        <v>2104590</v>
      </c>
      <c r="G26" s="390">
        <f aca="true" t="shared" si="3" ref="G26:O26">SUM(G14+G15+G16+G20+G24+G25)</f>
        <v>92671</v>
      </c>
      <c r="H26" s="390">
        <f t="shared" si="3"/>
        <v>2209572</v>
      </c>
      <c r="I26" s="390">
        <f t="shared" si="3"/>
        <v>265299</v>
      </c>
      <c r="J26" s="390">
        <f t="shared" si="3"/>
        <v>0</v>
      </c>
      <c r="K26" s="390">
        <f t="shared" si="3"/>
        <v>2109297</v>
      </c>
      <c r="L26" s="390">
        <f t="shared" si="3"/>
        <v>202225</v>
      </c>
      <c r="M26" s="390">
        <f t="shared" si="3"/>
        <v>0</v>
      </c>
      <c r="N26" s="390">
        <f t="shared" si="3"/>
        <v>1830525</v>
      </c>
      <c r="O26" s="390">
        <f t="shared" si="3"/>
        <v>274065</v>
      </c>
      <c r="P26" s="697"/>
      <c r="Q26" s="355"/>
    </row>
    <row r="27" spans="2:17" ht="15">
      <c r="B27" s="398"/>
      <c r="C27" s="399"/>
      <c r="F27" s="385"/>
      <c r="M27" s="385"/>
      <c r="N27" s="385"/>
      <c r="O27" s="385"/>
      <c r="P27" s="695"/>
      <c r="Q27" s="355"/>
    </row>
    <row r="28" spans="2:17" ht="15">
      <c r="B28" s="407" t="s">
        <v>425</v>
      </c>
      <c r="C28" s="399"/>
      <c r="F28" s="385"/>
      <c r="M28" s="385"/>
      <c r="N28" s="385"/>
      <c r="O28" s="385"/>
      <c r="P28" s="695"/>
      <c r="Q28" s="355"/>
    </row>
    <row r="29" spans="1:17" s="351" customFormat="1" ht="15">
      <c r="A29" s="370" t="s">
        <v>156</v>
      </c>
      <c r="B29" s="398" t="s">
        <v>29</v>
      </c>
      <c r="C29" s="399"/>
      <c r="D29" s="373"/>
      <c r="E29" s="373"/>
      <c r="F29" s="408"/>
      <c r="G29" s="381"/>
      <c r="H29" s="355"/>
      <c r="I29" s="381"/>
      <c r="J29" s="381"/>
      <c r="K29" s="381"/>
      <c r="L29" s="381"/>
      <c r="M29" s="408"/>
      <c r="N29" s="408"/>
      <c r="O29" s="408"/>
      <c r="P29" s="699"/>
      <c r="Q29" s="355"/>
    </row>
    <row r="30" spans="2:17" ht="14.25">
      <c r="B30" s="384" t="s">
        <v>194</v>
      </c>
      <c r="C30" s="405" t="s">
        <v>33</v>
      </c>
      <c r="F30" s="385">
        <v>500210</v>
      </c>
      <c r="G30" s="409">
        <v>55538</v>
      </c>
      <c r="H30" s="355">
        <v>683679</v>
      </c>
      <c r="I30" s="355">
        <v>109867</v>
      </c>
      <c r="J30" s="355">
        <v>51496</v>
      </c>
      <c r="K30" s="355">
        <v>714904</v>
      </c>
      <c r="L30" s="355">
        <v>27146</v>
      </c>
      <c r="M30" s="385">
        <v>52610</v>
      </c>
      <c r="N30" s="385">
        <v>364345</v>
      </c>
      <c r="O30" s="385">
        <v>83255</v>
      </c>
      <c r="P30" s="695" t="s">
        <v>34</v>
      </c>
      <c r="Q30" s="355"/>
    </row>
    <row r="31" spans="2:17" ht="14.25">
      <c r="B31" s="384" t="s">
        <v>209</v>
      </c>
      <c r="C31" s="410" t="s">
        <v>286</v>
      </c>
      <c r="F31" s="385">
        <v>130927</v>
      </c>
      <c r="G31" s="409">
        <v>7729</v>
      </c>
      <c r="H31" s="355">
        <v>160198</v>
      </c>
      <c r="I31" s="355">
        <v>17806</v>
      </c>
      <c r="J31" s="355">
        <v>14447</v>
      </c>
      <c r="K31" s="355">
        <v>156868</v>
      </c>
      <c r="L31" s="355">
        <v>6689</v>
      </c>
      <c r="M31" s="385">
        <v>14594</v>
      </c>
      <c r="N31" s="385">
        <v>100557</v>
      </c>
      <c r="O31" s="385">
        <v>15776</v>
      </c>
      <c r="P31" s="695" t="s">
        <v>36</v>
      </c>
      <c r="Q31" s="355"/>
    </row>
    <row r="32" spans="2:17" ht="14.25">
      <c r="B32" s="384" t="s">
        <v>287</v>
      </c>
      <c r="C32" s="405" t="s">
        <v>37</v>
      </c>
      <c r="F32" s="385">
        <v>409805</v>
      </c>
      <c r="G32" s="409">
        <v>9165</v>
      </c>
      <c r="H32" s="355">
        <v>596479</v>
      </c>
      <c r="I32" s="355">
        <v>254957</v>
      </c>
      <c r="J32" s="355">
        <v>26392</v>
      </c>
      <c r="K32" s="355">
        <v>355920</v>
      </c>
      <c r="L32" s="355">
        <v>469124</v>
      </c>
      <c r="M32" s="385">
        <v>26392</v>
      </c>
      <c r="N32" s="385">
        <v>338385</v>
      </c>
      <c r="O32" s="385">
        <v>45028</v>
      </c>
      <c r="P32" s="695" t="s">
        <v>28</v>
      </c>
      <c r="Q32" s="355"/>
    </row>
    <row r="33" spans="2:17" ht="14.25">
      <c r="B33" s="384" t="s">
        <v>426</v>
      </c>
      <c r="C33" s="405" t="s">
        <v>427</v>
      </c>
      <c r="F33" s="385">
        <v>0</v>
      </c>
      <c r="G33" s="355">
        <v>0</v>
      </c>
      <c r="H33" s="355">
        <f>F33+G33</f>
        <v>0</v>
      </c>
      <c r="I33" s="355">
        <v>0</v>
      </c>
      <c r="J33" s="355">
        <v>0</v>
      </c>
      <c r="K33" s="355">
        <v>0</v>
      </c>
      <c r="L33" s="355">
        <v>0</v>
      </c>
      <c r="M33" s="385">
        <v>0</v>
      </c>
      <c r="N33" s="385">
        <v>0</v>
      </c>
      <c r="O33" s="385">
        <v>0</v>
      </c>
      <c r="P33" s="695"/>
      <c r="Q33" s="355"/>
    </row>
    <row r="34" spans="2:17" ht="14.25">
      <c r="B34" s="384" t="s">
        <v>288</v>
      </c>
      <c r="C34" s="354" t="s">
        <v>289</v>
      </c>
      <c r="F34" s="385">
        <v>250955</v>
      </c>
      <c r="G34" s="355">
        <v>2487</v>
      </c>
      <c r="H34" s="355">
        <v>285371</v>
      </c>
      <c r="I34" s="355">
        <v>11975</v>
      </c>
      <c r="J34" s="355">
        <v>0</v>
      </c>
      <c r="K34" s="355">
        <v>273971</v>
      </c>
      <c r="L34" s="355">
        <v>23375</v>
      </c>
      <c r="M34" s="385">
        <v>0</v>
      </c>
      <c r="N34" s="385">
        <v>246381</v>
      </c>
      <c r="O34" s="385">
        <v>4574</v>
      </c>
      <c r="P34" s="695" t="s">
        <v>84</v>
      </c>
      <c r="Q34" s="355"/>
    </row>
    <row r="35" spans="2:17" ht="14.25">
      <c r="B35" s="384" t="s">
        <v>290</v>
      </c>
      <c r="C35" s="405" t="s">
        <v>428</v>
      </c>
      <c r="F35" s="385">
        <v>275938</v>
      </c>
      <c r="G35" s="355">
        <v>0</v>
      </c>
      <c r="H35" s="355">
        <v>302222</v>
      </c>
      <c r="I35" s="355">
        <v>49298</v>
      </c>
      <c r="J35" s="355">
        <v>0</v>
      </c>
      <c r="K35" s="355">
        <v>213050</v>
      </c>
      <c r="L35" s="355">
        <v>138470</v>
      </c>
      <c r="M35" s="385">
        <v>0</v>
      </c>
      <c r="N35" s="385">
        <v>141223</v>
      </c>
      <c r="O35" s="385">
        <v>134715</v>
      </c>
      <c r="P35" s="695" t="s">
        <v>67</v>
      </c>
      <c r="Q35" s="355"/>
    </row>
    <row r="36" spans="2:17" ht="14.25">
      <c r="B36" s="384" t="s">
        <v>291</v>
      </c>
      <c r="C36" s="405" t="s">
        <v>292</v>
      </c>
      <c r="F36" s="385">
        <v>64607</v>
      </c>
      <c r="G36" s="355">
        <v>16925</v>
      </c>
      <c r="H36" s="355">
        <v>84283</v>
      </c>
      <c r="I36" s="355">
        <v>19408</v>
      </c>
      <c r="J36" s="355">
        <v>0</v>
      </c>
      <c r="K36" s="355">
        <v>56983</v>
      </c>
      <c r="L36" s="355">
        <v>46708</v>
      </c>
      <c r="M36" s="385">
        <v>0</v>
      </c>
      <c r="N36" s="385">
        <v>2121</v>
      </c>
      <c r="O36" s="385">
        <v>62486</v>
      </c>
      <c r="P36" s="695" t="s">
        <v>31</v>
      </c>
      <c r="Q36" s="355"/>
    </row>
    <row r="37" spans="2:17" ht="14.25">
      <c r="B37" s="384" t="s">
        <v>293</v>
      </c>
      <c r="C37" s="405" t="s">
        <v>294</v>
      </c>
      <c r="F37" s="385">
        <v>5000</v>
      </c>
      <c r="G37" s="355">
        <v>0</v>
      </c>
      <c r="H37" s="355">
        <f>F37+G37</f>
        <v>5000</v>
      </c>
      <c r="I37" s="355">
        <v>0</v>
      </c>
      <c r="J37" s="355">
        <v>0</v>
      </c>
      <c r="K37" s="355">
        <v>10000</v>
      </c>
      <c r="L37" s="355">
        <v>0</v>
      </c>
      <c r="M37" s="385">
        <v>0</v>
      </c>
      <c r="N37" s="385">
        <v>0</v>
      </c>
      <c r="O37" s="385">
        <v>5000</v>
      </c>
      <c r="P37" s="695" t="s">
        <v>91</v>
      </c>
      <c r="Q37" s="355"/>
    </row>
    <row r="38" spans="2:17" ht="14.25">
      <c r="B38" s="384" t="s">
        <v>295</v>
      </c>
      <c r="C38" s="405" t="s">
        <v>296</v>
      </c>
      <c r="F38" s="385">
        <v>0</v>
      </c>
      <c r="M38" s="385">
        <v>0</v>
      </c>
      <c r="N38" s="385">
        <v>0</v>
      </c>
      <c r="O38" s="385">
        <v>0</v>
      </c>
      <c r="P38" s="695" t="s">
        <v>297</v>
      </c>
      <c r="Q38" s="355"/>
    </row>
    <row r="39" spans="1:17" s="351" customFormat="1" ht="15">
      <c r="A39" s="386" t="s">
        <v>156</v>
      </c>
      <c r="B39" s="387" t="s">
        <v>299</v>
      </c>
      <c r="C39" s="411"/>
      <c r="D39" s="389"/>
      <c r="E39" s="389"/>
      <c r="F39" s="390">
        <f>SUM(F30:F38)</f>
        <v>1637442</v>
      </c>
      <c r="G39" s="390">
        <f aca="true" t="shared" si="4" ref="G39:O39">SUM(G30:G38)</f>
        <v>91844</v>
      </c>
      <c r="H39" s="390">
        <f t="shared" si="4"/>
        <v>2117232</v>
      </c>
      <c r="I39" s="390">
        <f t="shared" si="4"/>
        <v>463311</v>
      </c>
      <c r="J39" s="390">
        <f t="shared" si="4"/>
        <v>92335</v>
      </c>
      <c r="K39" s="390">
        <f t="shared" si="4"/>
        <v>1781696</v>
      </c>
      <c r="L39" s="390">
        <f t="shared" si="4"/>
        <v>711512</v>
      </c>
      <c r="M39" s="390">
        <f t="shared" si="4"/>
        <v>93596</v>
      </c>
      <c r="N39" s="390">
        <f t="shared" si="4"/>
        <v>1193012</v>
      </c>
      <c r="O39" s="390">
        <f t="shared" si="4"/>
        <v>350834</v>
      </c>
      <c r="P39" s="697"/>
      <c r="Q39" s="355"/>
    </row>
    <row r="40" spans="1:17" ht="15">
      <c r="A40" s="370" t="s">
        <v>161</v>
      </c>
      <c r="B40" s="398" t="s">
        <v>302</v>
      </c>
      <c r="C40" s="405"/>
      <c r="F40" s="385"/>
      <c r="M40" s="385"/>
      <c r="N40" s="385"/>
      <c r="O40" s="385"/>
      <c r="P40" s="695"/>
      <c r="Q40" s="355"/>
    </row>
    <row r="41" spans="2:17" ht="14.25">
      <c r="B41" s="384" t="s">
        <v>303</v>
      </c>
      <c r="C41" s="405" t="s">
        <v>304</v>
      </c>
      <c r="F41" s="385">
        <v>314982</v>
      </c>
      <c r="G41" s="355">
        <v>0</v>
      </c>
      <c r="H41" s="355">
        <v>935252</v>
      </c>
      <c r="I41" s="355">
        <v>1307952</v>
      </c>
      <c r="J41" s="355">
        <v>0</v>
      </c>
      <c r="K41" s="355">
        <v>531848</v>
      </c>
      <c r="L41" s="355">
        <v>1711356</v>
      </c>
      <c r="M41" s="385">
        <v>0</v>
      </c>
      <c r="N41" s="385">
        <v>282582</v>
      </c>
      <c r="O41" s="385">
        <v>32400</v>
      </c>
      <c r="P41" s="695" t="s">
        <v>306</v>
      </c>
      <c r="Q41" s="355"/>
    </row>
    <row r="42" spans="2:17" ht="14.25">
      <c r="B42" s="384" t="s">
        <v>163</v>
      </c>
      <c r="C42" s="405" t="s">
        <v>309</v>
      </c>
      <c r="F42" s="385">
        <v>102705</v>
      </c>
      <c r="G42" s="355">
        <v>0</v>
      </c>
      <c r="H42" s="355">
        <v>1320</v>
      </c>
      <c r="I42" s="355">
        <v>110643</v>
      </c>
      <c r="J42" s="355">
        <v>0</v>
      </c>
      <c r="K42" s="355">
        <v>1320</v>
      </c>
      <c r="L42" s="355">
        <v>110643</v>
      </c>
      <c r="M42" s="385">
        <v>0</v>
      </c>
      <c r="N42" s="385">
        <v>0</v>
      </c>
      <c r="O42" s="385">
        <v>102705</v>
      </c>
      <c r="P42" s="695" t="s">
        <v>311</v>
      </c>
      <c r="Q42" s="355"/>
    </row>
    <row r="43" spans="2:17" ht="14.25">
      <c r="B43" s="384" t="s">
        <v>174</v>
      </c>
      <c r="C43" s="405" t="s">
        <v>429</v>
      </c>
      <c r="F43" s="385">
        <v>0</v>
      </c>
      <c r="G43" s="355">
        <v>0</v>
      </c>
      <c r="H43" s="355">
        <v>3342</v>
      </c>
      <c r="I43" s="355">
        <v>3101</v>
      </c>
      <c r="J43" s="355">
        <v>0</v>
      </c>
      <c r="K43" s="355">
        <v>0</v>
      </c>
      <c r="L43" s="355">
        <v>6443</v>
      </c>
      <c r="M43" s="385">
        <v>0</v>
      </c>
      <c r="N43" s="385">
        <v>0</v>
      </c>
      <c r="O43" s="385">
        <v>0</v>
      </c>
      <c r="P43" s="695" t="s">
        <v>314</v>
      </c>
      <c r="Q43" s="355"/>
    </row>
    <row r="44" spans="2:17" ht="14.25">
      <c r="B44" s="384" t="s">
        <v>178</v>
      </c>
      <c r="C44" s="405" t="s">
        <v>430</v>
      </c>
      <c r="F44" s="385">
        <f>SUM('[1]címrendes kiadás'!M169)</f>
        <v>0</v>
      </c>
      <c r="G44" s="355">
        <v>19</v>
      </c>
      <c r="H44" s="355">
        <v>3713</v>
      </c>
      <c r="I44" s="355">
        <v>14659</v>
      </c>
      <c r="J44" s="355">
        <v>0</v>
      </c>
      <c r="K44" s="355">
        <v>32</v>
      </c>
      <c r="L44" s="355">
        <v>18340</v>
      </c>
      <c r="M44" s="385">
        <v>0</v>
      </c>
      <c r="N44" s="385">
        <v>0</v>
      </c>
      <c r="O44" s="385">
        <v>0</v>
      </c>
      <c r="P44" s="695" t="s">
        <v>314</v>
      </c>
      <c r="Q44" s="355"/>
    </row>
    <row r="45" spans="2:17" ht="14.25">
      <c r="B45" s="384" t="s">
        <v>318</v>
      </c>
      <c r="C45" s="405" t="s">
        <v>319</v>
      </c>
      <c r="F45" s="385">
        <f>SUM('[1]címrendes kiadás'!M170)</f>
        <v>0</v>
      </c>
      <c r="G45" s="355">
        <v>0</v>
      </c>
      <c r="H45" s="355">
        <v>45963</v>
      </c>
      <c r="I45" s="355">
        <v>-963</v>
      </c>
      <c r="J45" s="355">
        <v>0</v>
      </c>
      <c r="K45" s="355">
        <v>0</v>
      </c>
      <c r="L45" s="355">
        <v>45000</v>
      </c>
      <c r="M45" s="385">
        <v>0</v>
      </c>
      <c r="N45" s="385">
        <v>0</v>
      </c>
      <c r="O45" s="385">
        <v>0</v>
      </c>
      <c r="P45" s="695" t="s">
        <v>325</v>
      </c>
      <c r="Q45" s="355"/>
    </row>
    <row r="46" spans="2:17" ht="14.25">
      <c r="B46" s="353" t="s">
        <v>322</v>
      </c>
      <c r="C46" s="405" t="s">
        <v>323</v>
      </c>
      <c r="F46" s="385">
        <v>87187</v>
      </c>
      <c r="G46" s="355">
        <v>0</v>
      </c>
      <c r="H46" s="355">
        <v>1280973</v>
      </c>
      <c r="I46" s="355">
        <v>-717565</v>
      </c>
      <c r="J46" s="355">
        <v>0</v>
      </c>
      <c r="K46" s="355">
        <v>0</v>
      </c>
      <c r="L46" s="355">
        <v>563408</v>
      </c>
      <c r="M46" s="385">
        <v>0</v>
      </c>
      <c r="N46" s="385">
        <v>87187</v>
      </c>
      <c r="O46" s="385">
        <v>0</v>
      </c>
      <c r="P46" s="695" t="s">
        <v>297</v>
      </c>
      <c r="Q46" s="355"/>
    </row>
    <row r="47" spans="1:17" s="351" customFormat="1" ht="15">
      <c r="A47" s="386" t="s">
        <v>161</v>
      </c>
      <c r="B47" s="387" t="s">
        <v>431</v>
      </c>
      <c r="C47" s="411"/>
      <c r="D47" s="389"/>
      <c r="E47" s="389"/>
      <c r="F47" s="390">
        <f aca="true" t="shared" si="5" ref="F47:O47">SUM(F41:F46)</f>
        <v>504874</v>
      </c>
      <c r="G47" s="390">
        <f t="shared" si="5"/>
        <v>19</v>
      </c>
      <c r="H47" s="390">
        <f t="shared" si="5"/>
        <v>2270563</v>
      </c>
      <c r="I47" s="390">
        <f t="shared" si="5"/>
        <v>717827</v>
      </c>
      <c r="J47" s="390">
        <f t="shared" si="5"/>
        <v>0</v>
      </c>
      <c r="K47" s="390">
        <f t="shared" si="5"/>
        <v>533200</v>
      </c>
      <c r="L47" s="390">
        <f t="shared" si="5"/>
        <v>2455190</v>
      </c>
      <c r="M47" s="390">
        <f t="shared" si="5"/>
        <v>0</v>
      </c>
      <c r="N47" s="390">
        <f t="shared" si="5"/>
        <v>369769</v>
      </c>
      <c r="O47" s="390">
        <f t="shared" si="5"/>
        <v>135105</v>
      </c>
      <c r="P47" s="697"/>
      <c r="Q47" s="355"/>
    </row>
    <row r="48" spans="1:17" s="351" customFormat="1" ht="15">
      <c r="A48" s="386"/>
      <c r="B48" s="387" t="s">
        <v>432</v>
      </c>
      <c r="C48" s="411"/>
      <c r="D48" s="389"/>
      <c r="E48" s="389"/>
      <c r="F48" s="390">
        <f>SUM(F39+F47)</f>
        <v>2142316</v>
      </c>
      <c r="G48" s="390">
        <f aca="true" t="shared" si="6" ref="G48:O48">SUM(G39+G47)</f>
        <v>91863</v>
      </c>
      <c r="H48" s="390">
        <f t="shared" si="6"/>
        <v>4387795</v>
      </c>
      <c r="I48" s="390">
        <f t="shared" si="6"/>
        <v>1181138</v>
      </c>
      <c r="J48" s="390">
        <f t="shared" si="6"/>
        <v>92335</v>
      </c>
      <c r="K48" s="390">
        <f t="shared" si="6"/>
        <v>2314896</v>
      </c>
      <c r="L48" s="390">
        <f t="shared" si="6"/>
        <v>3166702</v>
      </c>
      <c r="M48" s="390">
        <f t="shared" si="6"/>
        <v>93596</v>
      </c>
      <c r="N48" s="390">
        <f t="shared" si="6"/>
        <v>1562781</v>
      </c>
      <c r="O48" s="390">
        <f t="shared" si="6"/>
        <v>485939</v>
      </c>
      <c r="P48" s="697"/>
      <c r="Q48" s="355"/>
    </row>
    <row r="49" spans="3:17" ht="14.25">
      <c r="C49" s="412"/>
      <c r="F49" s="385"/>
      <c r="M49" s="385"/>
      <c r="N49" s="385"/>
      <c r="O49" s="385"/>
      <c r="P49" s="695"/>
      <c r="Q49" s="355"/>
    </row>
    <row r="50" spans="1:17" s="351" customFormat="1" ht="15">
      <c r="A50" s="403"/>
      <c r="B50" s="398" t="s">
        <v>397</v>
      </c>
      <c r="C50" s="371"/>
      <c r="D50" s="406"/>
      <c r="E50" s="406"/>
      <c r="F50" s="406"/>
      <c r="G50" s="381"/>
      <c r="H50" s="355"/>
      <c r="I50" s="381"/>
      <c r="J50" s="381"/>
      <c r="K50" s="381"/>
      <c r="L50" s="381"/>
      <c r="M50" s="408"/>
      <c r="N50" s="408"/>
      <c r="O50" s="408"/>
      <c r="P50" s="699"/>
      <c r="Q50" s="355"/>
    </row>
    <row r="51" spans="1:17" s="351" customFormat="1" ht="15">
      <c r="A51" s="403" t="s">
        <v>270</v>
      </c>
      <c r="B51" s="398" t="s">
        <v>433</v>
      </c>
      <c r="C51" s="371"/>
      <c r="D51" s="406"/>
      <c r="E51" s="406"/>
      <c r="F51" s="406"/>
      <c r="G51" s="381"/>
      <c r="H51" s="355"/>
      <c r="I51" s="381"/>
      <c r="J51" s="381"/>
      <c r="K51" s="381"/>
      <c r="L51" s="381"/>
      <c r="M51" s="408"/>
      <c r="N51" s="408"/>
      <c r="O51" s="408"/>
      <c r="P51" s="699"/>
      <c r="Q51" s="355"/>
    </row>
    <row r="52" spans="1:17" ht="14.25">
      <c r="A52" s="413"/>
      <c r="B52" s="384" t="s">
        <v>156</v>
      </c>
      <c r="C52" s="414" t="s">
        <v>272</v>
      </c>
      <c r="D52" s="401"/>
      <c r="E52" s="401"/>
      <c r="F52" s="402">
        <f>SUM('[1]címrendes bevétel'!M136)</f>
        <v>0</v>
      </c>
      <c r="G52" s="355">
        <v>0</v>
      </c>
      <c r="H52" s="355">
        <f>F52+G52</f>
        <v>0</v>
      </c>
      <c r="I52" s="355">
        <v>0</v>
      </c>
      <c r="J52" s="355">
        <v>0</v>
      </c>
      <c r="K52" s="355">
        <v>0</v>
      </c>
      <c r="L52" s="355">
        <v>0</v>
      </c>
      <c r="M52" s="402">
        <v>0</v>
      </c>
      <c r="N52" s="402">
        <v>0</v>
      </c>
      <c r="O52" s="402">
        <v>0</v>
      </c>
      <c r="P52" s="695" t="s">
        <v>119</v>
      </c>
      <c r="Q52" s="355"/>
    </row>
    <row r="53" spans="1:17" ht="14.25">
      <c r="A53" s="415"/>
      <c r="B53" s="416" t="s">
        <v>161</v>
      </c>
      <c r="C53" s="417" t="s">
        <v>273</v>
      </c>
      <c r="D53" s="418"/>
      <c r="E53" s="418"/>
      <c r="F53" s="419">
        <v>42091</v>
      </c>
      <c r="G53" s="355">
        <v>0</v>
      </c>
      <c r="H53" s="355">
        <f>F53+G53</f>
        <v>42091</v>
      </c>
      <c r="I53" s="355">
        <v>0</v>
      </c>
      <c r="J53" s="355">
        <v>0</v>
      </c>
      <c r="K53" s="355">
        <v>0</v>
      </c>
      <c r="L53" s="355">
        <v>134035</v>
      </c>
      <c r="M53" s="701">
        <v>0</v>
      </c>
      <c r="N53" s="701">
        <v>0</v>
      </c>
      <c r="O53" s="701">
        <v>42091</v>
      </c>
      <c r="P53" s="695" t="s">
        <v>119</v>
      </c>
      <c r="Q53" s="355"/>
    </row>
    <row r="54" spans="1:17" s="351" customFormat="1" ht="15">
      <c r="A54" s="403"/>
      <c r="B54" s="398" t="s">
        <v>275</v>
      </c>
      <c r="C54" s="371"/>
      <c r="D54" s="406"/>
      <c r="E54" s="406"/>
      <c r="F54" s="420">
        <f>SUM(F52:F53)</f>
        <v>42091</v>
      </c>
      <c r="G54" s="420">
        <f aca="true" t="shared" si="7" ref="G54:O54">SUM(G52:G53)</f>
        <v>0</v>
      </c>
      <c r="H54" s="420">
        <f t="shared" si="7"/>
        <v>42091</v>
      </c>
      <c r="I54" s="420">
        <f t="shared" si="7"/>
        <v>0</v>
      </c>
      <c r="J54" s="420">
        <f t="shared" si="7"/>
        <v>0</v>
      </c>
      <c r="K54" s="420">
        <f t="shared" si="7"/>
        <v>0</v>
      </c>
      <c r="L54" s="420">
        <f t="shared" si="7"/>
        <v>134035</v>
      </c>
      <c r="M54" s="420">
        <f t="shared" si="7"/>
        <v>0</v>
      </c>
      <c r="N54" s="420">
        <f t="shared" si="7"/>
        <v>0</v>
      </c>
      <c r="O54" s="420">
        <f t="shared" si="7"/>
        <v>42091</v>
      </c>
      <c r="P54" s="700" t="s">
        <v>119</v>
      </c>
      <c r="Q54" s="355"/>
    </row>
    <row r="55" spans="1:17" s="351" customFormat="1" ht="15">
      <c r="A55" s="386" t="s">
        <v>276</v>
      </c>
      <c r="B55" s="387" t="s">
        <v>277</v>
      </c>
      <c r="C55" s="388"/>
      <c r="D55" s="389"/>
      <c r="E55" s="389"/>
      <c r="F55" s="390">
        <v>0</v>
      </c>
      <c r="G55" s="390">
        <v>0</v>
      </c>
      <c r="H55" s="390">
        <v>0</v>
      </c>
      <c r="I55" s="390">
        <v>0</v>
      </c>
      <c r="J55" s="390">
        <v>0</v>
      </c>
      <c r="K55" s="390">
        <v>0</v>
      </c>
      <c r="L55" s="390">
        <v>0</v>
      </c>
      <c r="M55" s="390"/>
      <c r="N55" s="390"/>
      <c r="O55" s="390"/>
      <c r="P55" s="697"/>
      <c r="Q55" s="355"/>
    </row>
    <row r="56" spans="1:17" s="351" customFormat="1" ht="15">
      <c r="A56" s="386"/>
      <c r="B56" s="387" t="s">
        <v>282</v>
      </c>
      <c r="C56" s="422"/>
      <c r="D56" s="389"/>
      <c r="E56" s="389"/>
      <c r="F56" s="390">
        <f>SUM(F54+F55)</f>
        <v>42091</v>
      </c>
      <c r="G56" s="390">
        <f aca="true" t="shared" si="8" ref="G56:O56">SUM(G54+G55)</f>
        <v>0</v>
      </c>
      <c r="H56" s="390">
        <f t="shared" si="8"/>
        <v>42091</v>
      </c>
      <c r="I56" s="390">
        <f t="shared" si="8"/>
        <v>0</v>
      </c>
      <c r="J56" s="390">
        <f t="shared" si="8"/>
        <v>0</v>
      </c>
      <c r="K56" s="390">
        <f t="shared" si="8"/>
        <v>0</v>
      </c>
      <c r="L56" s="390">
        <f t="shared" si="8"/>
        <v>134035</v>
      </c>
      <c r="M56" s="390">
        <f t="shared" si="8"/>
        <v>0</v>
      </c>
      <c r="N56" s="390">
        <f t="shared" si="8"/>
        <v>0</v>
      </c>
      <c r="O56" s="390">
        <f t="shared" si="8"/>
        <v>42091</v>
      </c>
      <c r="P56" s="697" t="s">
        <v>119</v>
      </c>
      <c r="Q56" s="355"/>
    </row>
    <row r="57" spans="3:17" ht="14.25">
      <c r="C57" s="412"/>
      <c r="F57" s="385"/>
      <c r="M57" s="385"/>
      <c r="N57" s="385"/>
      <c r="O57" s="385"/>
      <c r="P57" s="695"/>
      <c r="Q57" s="355"/>
    </row>
    <row r="58" spans="1:17" s="351" customFormat="1" ht="15">
      <c r="A58" s="403" t="s">
        <v>229</v>
      </c>
      <c r="B58" s="398" t="s">
        <v>434</v>
      </c>
      <c r="C58" s="371"/>
      <c r="D58" s="406"/>
      <c r="E58" s="406"/>
      <c r="F58" s="406"/>
      <c r="G58" s="381"/>
      <c r="H58" s="355"/>
      <c r="I58" s="381"/>
      <c r="J58" s="381"/>
      <c r="K58" s="381"/>
      <c r="L58" s="381"/>
      <c r="M58" s="408"/>
      <c r="N58" s="408"/>
      <c r="O58" s="408"/>
      <c r="P58" s="699"/>
      <c r="Q58" s="355"/>
    </row>
    <row r="59" spans="1:17" ht="14.25">
      <c r="A59" s="415"/>
      <c r="B59" s="423" t="s">
        <v>330</v>
      </c>
      <c r="C59" s="418" t="s">
        <v>435</v>
      </c>
      <c r="D59" s="418"/>
      <c r="E59" s="418"/>
      <c r="F59" s="419">
        <v>4365</v>
      </c>
      <c r="G59" s="355">
        <v>0</v>
      </c>
      <c r="H59" s="355">
        <f>F59+G59</f>
        <v>4365</v>
      </c>
      <c r="I59" s="355">
        <v>0</v>
      </c>
      <c r="J59" s="355">
        <v>0</v>
      </c>
      <c r="K59" s="355">
        <v>55910</v>
      </c>
      <c r="L59" s="355">
        <v>0</v>
      </c>
      <c r="M59" s="701">
        <v>0</v>
      </c>
      <c r="N59" s="701">
        <v>4365</v>
      </c>
      <c r="O59" s="701">
        <v>0</v>
      </c>
      <c r="P59" s="695" t="s">
        <v>333</v>
      </c>
      <c r="Q59" s="355"/>
    </row>
    <row r="60" spans="1:17" s="351" customFormat="1" ht="15">
      <c r="A60" s="394"/>
      <c r="B60" s="395" t="s">
        <v>436</v>
      </c>
      <c r="C60" s="397"/>
      <c r="D60" s="397"/>
      <c r="E60" s="397"/>
      <c r="F60" s="424">
        <f>SUM(F59:F59)</f>
        <v>4365</v>
      </c>
      <c r="G60" s="424">
        <f aca="true" t="shared" si="9" ref="G60:O60">SUM(G59:G59)</f>
        <v>0</v>
      </c>
      <c r="H60" s="424">
        <f t="shared" si="9"/>
        <v>4365</v>
      </c>
      <c r="I60" s="424">
        <f t="shared" si="9"/>
        <v>0</v>
      </c>
      <c r="J60" s="424">
        <f t="shared" si="9"/>
        <v>0</v>
      </c>
      <c r="K60" s="424">
        <f t="shared" si="9"/>
        <v>55910</v>
      </c>
      <c r="L60" s="424">
        <f t="shared" si="9"/>
        <v>0</v>
      </c>
      <c r="M60" s="424">
        <f t="shared" si="9"/>
        <v>0</v>
      </c>
      <c r="N60" s="424">
        <f t="shared" si="9"/>
        <v>4365</v>
      </c>
      <c r="O60" s="424">
        <f t="shared" si="9"/>
        <v>0</v>
      </c>
      <c r="P60" s="697" t="s">
        <v>333</v>
      </c>
      <c r="Q60" s="355"/>
    </row>
    <row r="61" spans="1:17" s="351" customFormat="1" ht="15">
      <c r="A61" s="394"/>
      <c r="B61" s="395"/>
      <c r="C61" s="397"/>
      <c r="D61" s="397"/>
      <c r="E61" s="397"/>
      <c r="F61" s="424"/>
      <c r="G61" s="381"/>
      <c r="H61" s="425"/>
      <c r="I61" s="381"/>
      <c r="J61" s="381"/>
      <c r="K61" s="381"/>
      <c r="L61" s="381"/>
      <c r="M61" s="702"/>
      <c r="N61" s="702"/>
      <c r="O61" s="702"/>
      <c r="P61" s="699"/>
      <c r="Q61" s="355"/>
    </row>
    <row r="62" spans="1:17" s="351" customFormat="1" ht="15">
      <c r="A62" s="394"/>
      <c r="B62" s="395" t="s">
        <v>283</v>
      </c>
      <c r="C62" s="397"/>
      <c r="D62" s="397"/>
      <c r="E62" s="397"/>
      <c r="F62" s="424">
        <f>SUM(F56+F26)</f>
        <v>2146681</v>
      </c>
      <c r="G62" s="424">
        <f aca="true" t="shared" si="10" ref="G62:O62">SUM(G56+G26)</f>
        <v>92671</v>
      </c>
      <c r="H62" s="424">
        <f t="shared" si="10"/>
        <v>2251663</v>
      </c>
      <c r="I62" s="424">
        <f t="shared" si="10"/>
        <v>265299</v>
      </c>
      <c r="J62" s="424">
        <f t="shared" si="10"/>
        <v>0</v>
      </c>
      <c r="K62" s="424">
        <f t="shared" si="10"/>
        <v>2109297</v>
      </c>
      <c r="L62" s="424">
        <f t="shared" si="10"/>
        <v>336260</v>
      </c>
      <c r="M62" s="424">
        <f t="shared" si="10"/>
        <v>0</v>
      </c>
      <c r="N62" s="424">
        <f t="shared" si="10"/>
        <v>1830525</v>
      </c>
      <c r="O62" s="424">
        <f t="shared" si="10"/>
        <v>316156</v>
      </c>
      <c r="P62" s="697"/>
      <c r="Q62" s="355"/>
    </row>
    <row r="63" spans="1:17" s="351" customFormat="1" ht="15">
      <c r="A63" s="386"/>
      <c r="B63" s="387" t="s">
        <v>408</v>
      </c>
      <c r="C63" s="389"/>
      <c r="D63" s="389"/>
      <c r="E63" s="389"/>
      <c r="F63" s="390">
        <f>SUM(F60+F48)</f>
        <v>2146681</v>
      </c>
      <c r="G63" s="390">
        <f aca="true" t="shared" si="11" ref="G63:O63">SUM(G60+G48)</f>
        <v>91863</v>
      </c>
      <c r="H63" s="390">
        <f t="shared" si="11"/>
        <v>4392160</v>
      </c>
      <c r="I63" s="390">
        <f t="shared" si="11"/>
        <v>1181138</v>
      </c>
      <c r="J63" s="390">
        <f t="shared" si="11"/>
        <v>92335</v>
      </c>
      <c r="K63" s="390">
        <f t="shared" si="11"/>
        <v>2370806</v>
      </c>
      <c r="L63" s="390">
        <f t="shared" si="11"/>
        <v>3166702</v>
      </c>
      <c r="M63" s="390">
        <f t="shared" si="11"/>
        <v>93596</v>
      </c>
      <c r="N63" s="390">
        <f t="shared" si="11"/>
        <v>1567146</v>
      </c>
      <c r="O63" s="390">
        <f t="shared" si="11"/>
        <v>485939</v>
      </c>
      <c r="P63" s="697"/>
      <c r="Q63" s="355"/>
    </row>
  </sheetData>
  <sheetProtection selectLockedCells="1" selectUnlockedCells="1"/>
  <mergeCells count="2">
    <mergeCell ref="A4:P4"/>
    <mergeCell ref="A8:E8"/>
  </mergeCells>
  <printOptions horizontalCentered="1"/>
  <pageMargins left="0.3541666666666667" right="0.3541666666666667" top="0.5118055555555555" bottom="0.511805555555555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Szarvasi Polgármesteri Hivatal</cp:lastModifiedBy>
  <cp:lastPrinted>2015-02-20T07:07:30Z</cp:lastPrinted>
  <dcterms:modified xsi:type="dcterms:W3CDTF">2015-02-20T07:16:12Z</dcterms:modified>
  <cp:category/>
  <cp:version/>
  <cp:contentType/>
  <cp:contentStatus/>
</cp:coreProperties>
</file>