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330" windowWidth="15480" windowHeight="7815" tabRatio="836" firstSheet="20" activeTab="29"/>
  </bookViews>
  <sheets>
    <sheet name="Igazg." sheetId="19" r:id="rId1"/>
    <sheet name="Adók" sheetId="24" r:id="rId2"/>
    <sheet name="Temető" sheetId="18" r:id="rId3"/>
    <sheet name="Önk.vagyon" sheetId="17" r:id="rId4"/>
    <sheet name="Múzeum" sheetId="27" r:id="rId5"/>
    <sheet name="Rendezvények" sheetId="16" r:id="rId6"/>
    <sheet name="Közter.rend." sheetId="15" r:id="rId7"/>
    <sheet name="Közf." sheetId="14" r:id="rId8"/>
    <sheet name="Közutak" sheetId="13" r:id="rId9"/>
    <sheet name="Közvil." sheetId="12" r:id="rId10"/>
    <sheet name="Zöldter." sheetId="11" r:id="rId11"/>
    <sheet name="Város-község" sheetId="10" r:id="rId12"/>
    <sheet name="Háziorvos" sheetId="9" r:id="rId13"/>
    <sheet name="Sport" sheetId="7" r:id="rId14"/>
    <sheet name="Könyvtár" sheetId="6" r:id="rId15"/>
    <sheet name="Művelődési H." sheetId="5" r:id="rId16"/>
    <sheet name="Közösségi Ház" sheetId="28" r:id="rId17"/>
    <sheet name="Isk.1-4." sheetId="4" r:id="rId18"/>
    <sheet name="Isk.5-8." sheetId="2" r:id="rId19"/>
    <sheet name="Gyermekétk." sheetId="3" r:id="rId20"/>
    <sheet name="Családvéd." sheetId="20" r:id="rId21"/>
    <sheet name="Gyermekvéd." sheetId="21" r:id="rId22"/>
    <sheet name="Családtám." sheetId="22" r:id="rId23"/>
    <sheet name="Egyéb szoc." sheetId="23" r:id="rId24"/>
    <sheet name="Önk.összesen" sheetId="26" r:id="rId25"/>
    <sheet name="091110" sheetId="36" r:id="rId26"/>
    <sheet name="091140" sheetId="35" r:id="rId27"/>
    <sheet name="096015" sheetId="34" r:id="rId28"/>
    <sheet name="Ovi összesen" sheetId="37" r:id="rId29"/>
    <sheet name="Össz.össz." sheetId="38" r:id="rId30"/>
    <sheet name="Műk.mérleg" sheetId="29" r:id="rId31"/>
    <sheet name="Felhalm.mérleg" sheetId="30" r:id="rId32"/>
    <sheet name="Felhalmozás" sheetId="31" r:id="rId33"/>
    <sheet name="Védőnő" sheetId="8" r:id="rId34"/>
    <sheet name="Hivatal összesen" sheetId="39" r:id="rId35"/>
    <sheet name="05. űrlap-Hkér" sheetId="1" r:id="rId36"/>
    <sheet name="06.űrlap-Hkér" sheetId="25" r:id="rId37"/>
    <sheet name="05.űrlap-Ovi" sheetId="32" r:id="rId38"/>
    <sheet name="06.űrlap-Ovi" sheetId="33" r:id="rId39"/>
  </sheets>
  <externalReferences>
    <externalReference r:id="rId40"/>
    <externalReference r:id="rId41"/>
  </externalReferences>
  <definedNames>
    <definedName name="_xlnm.Print_Area" localSheetId="31">Felhalm.mérleg!$A$1:$I$34</definedName>
    <definedName name="_xlnm.Print_Area" localSheetId="30">Műk.mérleg!$A$1:$I$34</definedName>
    <definedName name="_xlnm.Print_Area" localSheetId="24">Önk.összesen!$A$1:$H$147</definedName>
  </definedNames>
  <calcPr calcId="125725"/>
</workbook>
</file>

<file path=xl/calcChain.xml><?xml version="1.0" encoding="utf-8"?>
<calcChain xmlns="http://schemas.openxmlformats.org/spreadsheetml/2006/main">
  <c r="F91" i="10"/>
  <c r="E98" i="19"/>
  <c r="E94" i="26"/>
  <c r="E97" i="19"/>
  <c r="E98" i="26" s="1"/>
  <c r="G19" i="31" l="1"/>
  <c r="G20"/>
  <c r="G21"/>
  <c r="G22"/>
  <c r="B8" l="1"/>
  <c r="E55" i="36" l="1"/>
  <c r="G102" i="35"/>
  <c r="G97" i="37"/>
  <c r="G41"/>
  <c r="G42"/>
  <c r="E45"/>
  <c r="E123" l="1"/>
  <c r="E105" i="39"/>
  <c r="G84"/>
  <c r="F65"/>
  <c r="F66"/>
  <c r="D69" i="38"/>
  <c r="E69"/>
  <c r="F69"/>
  <c r="G69"/>
  <c r="C69"/>
  <c r="E59" i="19" l="1"/>
  <c r="E57" i="14"/>
  <c r="E60" i="26" s="1"/>
  <c r="E6" i="19"/>
  <c r="E126"/>
  <c r="E123" i="18"/>
  <c r="E104" i="19"/>
  <c r="E102" i="12"/>
  <c r="E6" i="5"/>
  <c r="E57" i="4"/>
  <c r="E66" i="10"/>
  <c r="E8" i="19"/>
  <c r="E8" i="23"/>
  <c r="E111"/>
  <c r="E111" i="22"/>
  <c r="G46" i="19"/>
  <c r="G42"/>
  <c r="D58" i="27"/>
  <c r="D60" i="26"/>
  <c r="E125" i="19"/>
  <c r="D130" i="8"/>
  <c r="E130"/>
  <c r="F130"/>
  <c r="G130"/>
  <c r="C130"/>
  <c r="H125"/>
  <c r="F125"/>
  <c r="D130" i="23"/>
  <c r="E130"/>
  <c r="G130"/>
  <c r="C130"/>
  <c r="F125"/>
  <c r="D130" i="22"/>
  <c r="E130"/>
  <c r="G130"/>
  <c r="C130"/>
  <c r="H125"/>
  <c r="F125"/>
  <c r="D130" i="21"/>
  <c r="E130"/>
  <c r="G130"/>
  <c r="C130"/>
  <c r="F125"/>
  <c r="D130" i="20"/>
  <c r="E130"/>
  <c r="G130"/>
  <c r="C130"/>
  <c r="F125"/>
  <c r="D130" i="3"/>
  <c r="E130"/>
  <c r="G130"/>
  <c r="C130"/>
  <c r="F125"/>
  <c r="H125" s="1"/>
  <c r="D130" i="2"/>
  <c r="E130"/>
  <c r="G130"/>
  <c r="C130"/>
  <c r="H125"/>
  <c r="F125"/>
  <c r="D130" i="4"/>
  <c r="E130"/>
  <c r="G130"/>
  <c r="C130"/>
  <c r="H125"/>
  <c r="F125"/>
  <c r="D130" i="28"/>
  <c r="E130"/>
  <c r="G130"/>
  <c r="C130"/>
  <c r="F125"/>
  <c r="H125" s="1"/>
  <c r="D130" i="5"/>
  <c r="E130"/>
  <c r="G130"/>
  <c r="C130"/>
  <c r="F125"/>
  <c r="H125" s="1"/>
  <c r="D130" i="6"/>
  <c r="E130"/>
  <c r="G130"/>
  <c r="C130"/>
  <c r="H125"/>
  <c r="F125"/>
  <c r="F126"/>
  <c r="D130" i="7"/>
  <c r="E130"/>
  <c r="G130"/>
  <c r="C130"/>
  <c r="H125"/>
  <c r="F125"/>
  <c r="D130" i="9"/>
  <c r="E130"/>
  <c r="G130"/>
  <c r="C130"/>
  <c r="H125"/>
  <c r="F125"/>
  <c r="D130" i="10"/>
  <c r="E130"/>
  <c r="G130"/>
  <c r="C130"/>
  <c r="F125"/>
  <c r="H125" s="1"/>
  <c r="D130" i="11"/>
  <c r="E130"/>
  <c r="G130"/>
  <c r="C130"/>
  <c r="H125"/>
  <c r="F125"/>
  <c r="D130" i="12"/>
  <c r="E130"/>
  <c r="G130"/>
  <c r="C130"/>
  <c r="H125"/>
  <c r="F125"/>
  <c r="D131" i="13"/>
  <c r="E131"/>
  <c r="G131"/>
  <c r="C131"/>
  <c r="F126"/>
  <c r="H126" s="1"/>
  <c r="D130" i="14"/>
  <c r="E130"/>
  <c r="G130"/>
  <c r="C130"/>
  <c r="F125"/>
  <c r="H125" s="1"/>
  <c r="D130" i="15"/>
  <c r="E130"/>
  <c r="G130"/>
  <c r="C130"/>
  <c r="F125"/>
  <c r="H125" s="1"/>
  <c r="D130" i="16"/>
  <c r="E130"/>
  <c r="G130"/>
  <c r="C130"/>
  <c r="F125"/>
  <c r="D130" i="27"/>
  <c r="E130"/>
  <c r="G130"/>
  <c r="C130"/>
  <c r="F125"/>
  <c r="D130" i="17"/>
  <c r="E130"/>
  <c r="G130"/>
  <c r="C130"/>
  <c r="H125"/>
  <c r="F125"/>
  <c r="D130" i="18"/>
  <c r="E130"/>
  <c r="G130"/>
  <c r="C130"/>
  <c r="H125"/>
  <c r="F125"/>
  <c r="D131" i="24"/>
  <c r="E131"/>
  <c r="G131"/>
  <c r="C131"/>
  <c r="F126"/>
  <c r="H126" s="1"/>
  <c r="D133" i="19"/>
  <c r="E133"/>
  <c r="G133"/>
  <c r="C133"/>
  <c r="F128"/>
  <c r="H128" s="1"/>
  <c r="C131" i="26"/>
  <c r="C130" i="38" s="1"/>
  <c r="D131" i="26"/>
  <c r="D130" i="38" s="1"/>
  <c r="E131" i="26"/>
  <c r="E130" i="38" s="1"/>
  <c r="G131" i="26"/>
  <c r="G130" i="38" s="1"/>
  <c r="E123" i="19"/>
  <c r="E122" s="1"/>
  <c r="E110" i="22"/>
  <c r="E102" i="19"/>
  <c r="E88"/>
  <c r="D142" i="26"/>
  <c r="D141" i="38" s="1"/>
  <c r="G20" i="29" s="1"/>
  <c r="E142" i="26"/>
  <c r="E141" i="38" s="1"/>
  <c r="H20" i="29" s="1"/>
  <c r="G142" i="26"/>
  <c r="G141" i="38" s="1"/>
  <c r="C142" i="26"/>
  <c r="C141" i="38" s="1"/>
  <c r="D59" i="26"/>
  <c r="D58" i="38" s="1"/>
  <c r="E59" i="26"/>
  <c r="E58" i="38" s="1"/>
  <c r="D22" i="29" s="1"/>
  <c r="G59" i="26"/>
  <c r="G58" i="38" s="1"/>
  <c r="C59" i="26"/>
  <c r="C58" i="38" s="1"/>
  <c r="D140" i="13"/>
  <c r="E140"/>
  <c r="G140"/>
  <c r="C140"/>
  <c r="F137"/>
  <c r="H137" s="1"/>
  <c r="F57"/>
  <c r="H57" s="1"/>
  <c r="E39" i="19"/>
  <c r="D52" i="26"/>
  <c r="E52"/>
  <c r="G52"/>
  <c r="C52"/>
  <c r="E8" i="22"/>
  <c r="G112" i="23"/>
  <c r="G110"/>
  <c r="E107" i="19"/>
  <c r="E82" i="10"/>
  <c r="E80"/>
  <c r="E79"/>
  <c r="E66" i="14"/>
  <c r="E42" i="19"/>
  <c r="E95"/>
  <c r="E89" i="12"/>
  <c r="E89" i="19"/>
  <c r="E71" i="10"/>
  <c r="E86" i="19"/>
  <c r="E84" i="4"/>
  <c r="F91"/>
  <c r="E94" i="19"/>
  <c r="F91" i="17"/>
  <c r="E96" i="28"/>
  <c r="E89"/>
  <c r="E89" i="10"/>
  <c r="F99" i="14"/>
  <c r="F99" i="5"/>
  <c r="F100"/>
  <c r="F67" i="14"/>
  <c r="F67" i="3"/>
  <c r="F67" i="5"/>
  <c r="F67" i="10"/>
  <c r="F67" i="8"/>
  <c r="E87" i="10"/>
  <c r="E85" i="19"/>
  <c r="H125" i="23" l="1"/>
  <c r="H125" i="21"/>
  <c r="H125" i="20"/>
  <c r="H125" i="16"/>
  <c r="H125" i="27"/>
  <c r="F131" i="26"/>
  <c r="F130" i="38" s="1"/>
  <c r="H130" s="1"/>
  <c r="F142" i="26"/>
  <c r="F141" i="38" s="1"/>
  <c r="I20" i="29" s="1"/>
  <c r="G105" i="19"/>
  <c r="G95"/>
  <c r="G91"/>
  <c r="G102" i="27"/>
  <c r="G89"/>
  <c r="G104" i="19"/>
  <c r="G89" i="4"/>
  <c r="G66" i="10"/>
  <c r="G38" i="5"/>
  <c r="G102"/>
  <c r="G96"/>
  <c r="D107" i="26"/>
  <c r="E107"/>
  <c r="G107"/>
  <c r="C107"/>
  <c r="D44"/>
  <c r="E44"/>
  <c r="G44"/>
  <c r="C44"/>
  <c r="F58" i="19"/>
  <c r="D45"/>
  <c r="E45"/>
  <c r="G45"/>
  <c r="C45"/>
  <c r="F43"/>
  <c r="H43" s="1"/>
  <c r="D142"/>
  <c r="E142"/>
  <c r="G142"/>
  <c r="C142"/>
  <c r="F139"/>
  <c r="H139" s="1"/>
  <c r="F106"/>
  <c r="H106" s="1"/>
  <c r="G33" i="39"/>
  <c r="G30"/>
  <c r="G28"/>
  <c r="G32" s="1"/>
  <c r="G26"/>
  <c r="G25"/>
  <c r="G12"/>
  <c r="D32" i="26"/>
  <c r="D32" i="38" s="1"/>
  <c r="E32" i="26"/>
  <c r="E32" i="38" s="1"/>
  <c r="G32" i="26"/>
  <c r="G32" i="38" s="1"/>
  <c r="C32" i="26"/>
  <c r="C32" i="38" s="1"/>
  <c r="F32" i="24"/>
  <c r="F32" i="26" s="1"/>
  <c r="F32" i="38" s="1"/>
  <c r="G111" i="23"/>
  <c r="H141" i="38" l="1"/>
  <c r="H58" i="19"/>
  <c r="F59" i="26"/>
  <c r="F44"/>
  <c r="H44" s="1"/>
  <c r="H32" i="24"/>
  <c r="H142" i="26"/>
  <c r="F107"/>
  <c r="H32" i="38"/>
  <c r="H32" i="26"/>
  <c r="D55" i="8"/>
  <c r="E55"/>
  <c r="G55"/>
  <c r="C55"/>
  <c r="F50"/>
  <c r="H50" s="1"/>
  <c r="G49"/>
  <c r="E49"/>
  <c r="D49"/>
  <c r="C49"/>
  <c r="F50" i="23"/>
  <c r="H50" s="1"/>
  <c r="G49"/>
  <c r="E49"/>
  <c r="D49"/>
  <c r="C49"/>
  <c r="F50" i="22"/>
  <c r="H50" s="1"/>
  <c r="G49"/>
  <c r="E49"/>
  <c r="D49"/>
  <c r="C49"/>
  <c r="F50" i="21"/>
  <c r="H50" s="1"/>
  <c r="G49"/>
  <c r="E49"/>
  <c r="D49"/>
  <c r="C49"/>
  <c r="F50" i="20"/>
  <c r="H50" s="1"/>
  <c r="G49"/>
  <c r="E49"/>
  <c r="D49"/>
  <c r="C49"/>
  <c r="F50" i="3"/>
  <c r="H50" s="1"/>
  <c r="G49"/>
  <c r="E49"/>
  <c r="D49"/>
  <c r="C49"/>
  <c r="F50" i="2"/>
  <c r="H50" s="1"/>
  <c r="G49"/>
  <c r="E49"/>
  <c r="D49"/>
  <c r="C49"/>
  <c r="F50" i="4"/>
  <c r="H50" s="1"/>
  <c r="G49"/>
  <c r="E49"/>
  <c r="D49"/>
  <c r="C49"/>
  <c r="F50" i="28"/>
  <c r="H50" s="1"/>
  <c r="G49"/>
  <c r="E49"/>
  <c r="D49"/>
  <c r="C49"/>
  <c r="F50" i="5"/>
  <c r="H50" s="1"/>
  <c r="G49"/>
  <c r="E49"/>
  <c r="D49"/>
  <c r="C49"/>
  <c r="F50" i="6"/>
  <c r="H50" s="1"/>
  <c r="G49"/>
  <c r="E49"/>
  <c r="D49"/>
  <c r="C49"/>
  <c r="F50" i="7"/>
  <c r="H50" s="1"/>
  <c r="G49"/>
  <c r="E49"/>
  <c r="D49"/>
  <c r="C49"/>
  <c r="F50" i="9"/>
  <c r="H50" s="1"/>
  <c r="G49"/>
  <c r="E49"/>
  <c r="D49"/>
  <c r="C49"/>
  <c r="F50" i="10"/>
  <c r="H50" s="1"/>
  <c r="G49"/>
  <c r="E49"/>
  <c r="D49"/>
  <c r="C49"/>
  <c r="F50" i="11"/>
  <c r="H50" s="1"/>
  <c r="G49"/>
  <c r="E49"/>
  <c r="D49"/>
  <c r="C49"/>
  <c r="F50" i="12"/>
  <c r="H50" s="1"/>
  <c r="G49"/>
  <c r="E49"/>
  <c r="D49"/>
  <c r="C49"/>
  <c r="F50" i="13"/>
  <c r="H50" s="1"/>
  <c r="G49"/>
  <c r="E49"/>
  <c r="D49"/>
  <c r="C49"/>
  <c r="F50" i="14"/>
  <c r="H50" s="1"/>
  <c r="G49"/>
  <c r="E49"/>
  <c r="D49"/>
  <c r="C49"/>
  <c r="F50" i="15"/>
  <c r="H50" s="1"/>
  <c r="G49"/>
  <c r="E49"/>
  <c r="D49"/>
  <c r="C49"/>
  <c r="F50" i="16"/>
  <c r="H50" s="1"/>
  <c r="G49"/>
  <c r="E49"/>
  <c r="D49"/>
  <c r="C49"/>
  <c r="F50" i="27"/>
  <c r="H50" s="1"/>
  <c r="G49"/>
  <c r="E49"/>
  <c r="D49"/>
  <c r="C49"/>
  <c r="F50" i="17"/>
  <c r="G49"/>
  <c r="E49"/>
  <c r="D49"/>
  <c r="C49"/>
  <c r="F50" i="18"/>
  <c r="H50" s="1"/>
  <c r="G49"/>
  <c r="E49"/>
  <c r="D49"/>
  <c r="C49"/>
  <c r="F51" i="24"/>
  <c r="H51" s="1"/>
  <c r="G50"/>
  <c r="E50"/>
  <c r="D50"/>
  <c r="C50"/>
  <c r="F51" i="19"/>
  <c r="H51"/>
  <c r="D50"/>
  <c r="E50"/>
  <c r="F50"/>
  <c r="G50"/>
  <c r="C50"/>
  <c r="D105" i="26"/>
  <c r="E105"/>
  <c r="G105"/>
  <c r="D106"/>
  <c r="D106" i="38" s="1"/>
  <c r="E106" i="26"/>
  <c r="E106" i="38" s="1"/>
  <c r="G106" i="26"/>
  <c r="G106" i="38" s="1"/>
  <c r="C106" i="26"/>
  <c r="C106" i="38" s="1"/>
  <c r="F103" i="8"/>
  <c r="C105" i="26"/>
  <c r="F104" i="24"/>
  <c r="F103" i="18"/>
  <c r="F103" i="17"/>
  <c r="F103" i="27"/>
  <c r="F103" i="16"/>
  <c r="F103" i="15"/>
  <c r="F103" i="14"/>
  <c r="F104" i="13"/>
  <c r="F103" i="12"/>
  <c r="F103" i="11"/>
  <c r="F103" i="10"/>
  <c r="F103" i="9"/>
  <c r="F103" i="7"/>
  <c r="F99"/>
  <c r="F102" i="26" s="1"/>
  <c r="F103" i="6"/>
  <c r="F103" i="5"/>
  <c r="F103" i="28"/>
  <c r="F103" i="4"/>
  <c r="F103" i="2"/>
  <c r="F103" i="3"/>
  <c r="F103" i="20"/>
  <c r="F103" i="21"/>
  <c r="F103" i="22"/>
  <c r="F103" i="23"/>
  <c r="F105" i="19"/>
  <c r="G123"/>
  <c r="G120"/>
  <c r="G87"/>
  <c r="C51" i="26" l="1"/>
  <c r="D51"/>
  <c r="E51"/>
  <c r="G51"/>
  <c r="H59"/>
  <c r="F58" i="38"/>
  <c r="F106" i="26"/>
  <c r="H50" i="17"/>
  <c r="F52" i="26"/>
  <c r="H105" i="19"/>
  <c r="H50"/>
  <c r="F49" i="8"/>
  <c r="H49" s="1"/>
  <c r="F49" i="23"/>
  <c r="F49" i="22"/>
  <c r="H49" s="1"/>
  <c r="F49" i="21"/>
  <c r="H49" s="1"/>
  <c r="F49" i="20"/>
  <c r="H49" s="1"/>
  <c r="F49" i="3"/>
  <c r="H49" s="1"/>
  <c r="F49" i="2"/>
  <c r="H49" s="1"/>
  <c r="F49" i="4"/>
  <c r="H49" s="1"/>
  <c r="F49" i="28"/>
  <c r="H49" s="1"/>
  <c r="F49" i="5"/>
  <c r="H49" s="1"/>
  <c r="F49" i="6"/>
  <c r="H49" s="1"/>
  <c r="F49" i="7"/>
  <c r="H49" s="1"/>
  <c r="F49" i="9"/>
  <c r="H49" s="1"/>
  <c r="F49" i="10"/>
  <c r="H49" s="1"/>
  <c r="F49" i="11"/>
  <c r="H49" s="1"/>
  <c r="F49" i="12"/>
  <c r="H49" s="1"/>
  <c r="F49" i="13"/>
  <c r="H49" s="1"/>
  <c r="F49" i="14"/>
  <c r="H49" s="1"/>
  <c r="F49" i="15"/>
  <c r="H49" s="1"/>
  <c r="F49" i="16"/>
  <c r="H49" s="1"/>
  <c r="F49" i="27"/>
  <c r="H49" s="1"/>
  <c r="F49" i="17"/>
  <c r="F49" i="18"/>
  <c r="H49" s="1"/>
  <c r="F50" i="24"/>
  <c r="H50" s="1"/>
  <c r="E82" i="35"/>
  <c r="F101" i="36"/>
  <c r="H101" s="1"/>
  <c r="F101" i="35"/>
  <c r="H101" s="1"/>
  <c r="F101" i="34"/>
  <c r="H101" s="1"/>
  <c r="G58" i="37"/>
  <c r="G45" i="35"/>
  <c r="G100"/>
  <c r="G87"/>
  <c r="G85"/>
  <c r="G84"/>
  <c r="G64" i="36"/>
  <c r="D44" i="35"/>
  <c r="D46" s="1"/>
  <c r="E44"/>
  <c r="E46" s="1"/>
  <c r="G44"/>
  <c r="C44"/>
  <c r="C46"/>
  <c r="G43" i="37"/>
  <c r="G46" i="35" l="1"/>
  <c r="G45" i="37"/>
  <c r="H52" i="26"/>
  <c r="E22" i="29"/>
  <c r="H58" i="38"/>
  <c r="H49" i="17"/>
  <c r="F51" i="26"/>
  <c r="H49" i="23"/>
  <c r="F101" i="37"/>
  <c r="F106" i="38" s="1"/>
  <c r="F112"/>
  <c r="C113"/>
  <c r="D113"/>
  <c r="E113"/>
  <c r="F113"/>
  <c r="G113"/>
  <c r="D113" i="26"/>
  <c r="D112" i="38" s="1"/>
  <c r="E113" i="26"/>
  <c r="E112" i="38" s="1"/>
  <c r="G113" i="26"/>
  <c r="G112" i="38" s="1"/>
  <c r="C113" i="26"/>
  <c r="C112" i="38" s="1"/>
  <c r="D113" i="39"/>
  <c r="C113"/>
  <c r="D107"/>
  <c r="E107"/>
  <c r="F107"/>
  <c r="G107"/>
  <c r="C107"/>
  <c r="F114"/>
  <c r="F115"/>
  <c r="F118"/>
  <c r="F119"/>
  <c r="F120"/>
  <c r="F121"/>
  <c r="F122"/>
  <c r="F123"/>
  <c r="F125"/>
  <c r="F126"/>
  <c r="F127"/>
  <c r="C138"/>
  <c r="D137"/>
  <c r="D138" s="1"/>
  <c r="C137"/>
  <c r="D133"/>
  <c r="C133"/>
  <c r="D129"/>
  <c r="C129"/>
  <c r="D124"/>
  <c r="F124" s="1"/>
  <c r="E124"/>
  <c r="C124"/>
  <c r="D119"/>
  <c r="E119"/>
  <c r="C119"/>
  <c r="D117"/>
  <c r="F117" s="1"/>
  <c r="E117"/>
  <c r="C117"/>
  <c r="D116"/>
  <c r="F116" s="1"/>
  <c r="E116"/>
  <c r="C116"/>
  <c r="D105"/>
  <c r="C105"/>
  <c r="C104"/>
  <c r="D103"/>
  <c r="D104" s="1"/>
  <c r="C103"/>
  <c r="D100"/>
  <c r="C100"/>
  <c r="D97"/>
  <c r="C97"/>
  <c r="D87"/>
  <c r="C87"/>
  <c r="D84"/>
  <c r="C84"/>
  <c r="D77"/>
  <c r="C77"/>
  <c r="D75"/>
  <c r="D76" s="1"/>
  <c r="C75"/>
  <c r="D71"/>
  <c r="C61"/>
  <c r="C60"/>
  <c r="D59"/>
  <c r="D60" s="1"/>
  <c r="C59"/>
  <c r="D56"/>
  <c r="C56"/>
  <c r="C54"/>
  <c r="C53"/>
  <c r="C49"/>
  <c r="D48"/>
  <c r="C48"/>
  <c r="D46"/>
  <c r="C46"/>
  <c r="D44"/>
  <c r="C44"/>
  <c r="C36"/>
  <c r="C22"/>
  <c r="C20"/>
  <c r="C13"/>
  <c r="C12"/>
  <c r="H51" i="26" l="1"/>
  <c r="H101" i="37"/>
  <c r="H106" i="38" s="1"/>
  <c r="D134" i="39"/>
  <c r="D139" l="1"/>
  <c r="D56" i="36" l="1"/>
  <c r="D57" i="37"/>
  <c r="E57"/>
  <c r="G57"/>
  <c r="D58"/>
  <c r="D62" i="38" s="1"/>
  <c r="C24" i="29" s="1"/>
  <c r="E58" i="37"/>
  <c r="C58"/>
  <c r="C62" i="38" s="1"/>
  <c r="F57" i="34"/>
  <c r="F58"/>
  <c r="D59"/>
  <c r="D56"/>
  <c r="F56" s="1"/>
  <c r="E56"/>
  <c r="E59" s="1"/>
  <c r="E60" s="1"/>
  <c r="G56"/>
  <c r="G59" s="1"/>
  <c r="G60" s="1"/>
  <c r="F50"/>
  <c r="D48"/>
  <c r="E48"/>
  <c r="F48" s="1"/>
  <c r="G48"/>
  <c r="D49"/>
  <c r="D53" s="1"/>
  <c r="E49"/>
  <c r="E53" s="1"/>
  <c r="G49"/>
  <c r="G53" s="1"/>
  <c r="D46"/>
  <c r="E46"/>
  <c r="G46"/>
  <c r="F27"/>
  <c r="F29"/>
  <c r="F31"/>
  <c r="D28"/>
  <c r="F28" s="1"/>
  <c r="E28"/>
  <c r="G28"/>
  <c r="D30"/>
  <c r="F30" s="1"/>
  <c r="E30"/>
  <c r="G30"/>
  <c r="F57" i="35"/>
  <c r="F58"/>
  <c r="D56"/>
  <c r="D59" s="1"/>
  <c r="E56"/>
  <c r="E59" s="1"/>
  <c r="E60" s="1"/>
  <c r="G56"/>
  <c r="G59" s="1"/>
  <c r="G60" s="1"/>
  <c r="F55"/>
  <c r="G53"/>
  <c r="F48"/>
  <c r="D48"/>
  <c r="E48"/>
  <c r="G48"/>
  <c r="F27"/>
  <c r="F29"/>
  <c r="F31"/>
  <c r="F33"/>
  <c r="D30"/>
  <c r="F30" s="1"/>
  <c r="E30"/>
  <c r="G30"/>
  <c r="D28"/>
  <c r="F28" s="1"/>
  <c r="E28"/>
  <c r="G28"/>
  <c r="F7" i="36"/>
  <c r="F8"/>
  <c r="F9"/>
  <c r="F10"/>
  <c r="F11"/>
  <c r="F14"/>
  <c r="F15"/>
  <c r="F16"/>
  <c r="F17"/>
  <c r="F18"/>
  <c r="F19"/>
  <c r="F21"/>
  <c r="F23"/>
  <c r="F24"/>
  <c r="F27"/>
  <c r="F29"/>
  <c r="F31"/>
  <c r="F33"/>
  <c r="F34"/>
  <c r="F35"/>
  <c r="F37"/>
  <c r="F38"/>
  <c r="F39"/>
  <c r="F40"/>
  <c r="F41"/>
  <c r="F42"/>
  <c r="F43"/>
  <c r="F44"/>
  <c r="F45"/>
  <c r="F47"/>
  <c r="F50"/>
  <c r="F51"/>
  <c r="F52"/>
  <c r="F55"/>
  <c r="F57"/>
  <c r="F58"/>
  <c r="E56"/>
  <c r="E59" s="1"/>
  <c r="E60" s="1"/>
  <c r="G56"/>
  <c r="G59" s="1"/>
  <c r="G60" s="1"/>
  <c r="G53"/>
  <c r="D48"/>
  <c r="F48" s="1"/>
  <c r="E48"/>
  <c r="G48"/>
  <c r="D46"/>
  <c r="E46"/>
  <c r="G46"/>
  <c r="D30"/>
  <c r="F30" s="1"/>
  <c r="E30"/>
  <c r="G30"/>
  <c r="D28"/>
  <c r="F28" s="1"/>
  <c r="E28"/>
  <c r="G28"/>
  <c r="D13"/>
  <c r="F13" s="1"/>
  <c r="E13"/>
  <c r="G13"/>
  <c r="D12"/>
  <c r="F12" s="1"/>
  <c r="E12"/>
  <c r="E20" s="1"/>
  <c r="G12"/>
  <c r="G20" s="1"/>
  <c r="G61" i="8"/>
  <c r="D61"/>
  <c r="E61"/>
  <c r="C61"/>
  <c r="D61" i="27"/>
  <c r="F53" i="34" l="1"/>
  <c r="F49"/>
  <c r="F59"/>
  <c r="D20" i="36"/>
  <c r="F46"/>
  <c r="E46" i="37"/>
  <c r="F56" i="36"/>
  <c r="F57" i="37"/>
  <c r="F58"/>
  <c r="H58" s="1"/>
  <c r="E58" i="39"/>
  <c r="F58" s="1"/>
  <c r="G62" i="38"/>
  <c r="D60" i="34"/>
  <c r="F60" s="1"/>
  <c r="F46"/>
  <c r="D60" i="35"/>
  <c r="F60" s="1"/>
  <c r="F59"/>
  <c r="F56"/>
  <c r="D59" i="36"/>
  <c r="C65" i="37"/>
  <c r="D65"/>
  <c r="E65"/>
  <c r="G65"/>
  <c r="C66"/>
  <c r="D66"/>
  <c r="E66"/>
  <c r="G66"/>
  <c r="C67"/>
  <c r="D67"/>
  <c r="E67"/>
  <c r="G67"/>
  <c r="C68"/>
  <c r="D68"/>
  <c r="E68"/>
  <c r="G68"/>
  <c r="C69"/>
  <c r="D69"/>
  <c r="E69"/>
  <c r="G69"/>
  <c r="C71"/>
  <c r="D71"/>
  <c r="E71"/>
  <c r="G71"/>
  <c r="C72"/>
  <c r="D72"/>
  <c r="E72"/>
  <c r="G72"/>
  <c r="C73"/>
  <c r="D73"/>
  <c r="E73"/>
  <c r="G73"/>
  <c r="C77"/>
  <c r="D77"/>
  <c r="E77"/>
  <c r="G77"/>
  <c r="C78"/>
  <c r="D78"/>
  <c r="E78"/>
  <c r="G78"/>
  <c r="C79"/>
  <c r="D79"/>
  <c r="E79"/>
  <c r="G79"/>
  <c r="C80"/>
  <c r="D80"/>
  <c r="E80"/>
  <c r="G80"/>
  <c r="C81"/>
  <c r="D81"/>
  <c r="E81"/>
  <c r="G81"/>
  <c r="C82"/>
  <c r="D82"/>
  <c r="E82"/>
  <c r="G82"/>
  <c r="C84"/>
  <c r="D84"/>
  <c r="E84"/>
  <c r="G84"/>
  <c r="C85"/>
  <c r="D85"/>
  <c r="E85"/>
  <c r="G85"/>
  <c r="C87"/>
  <c r="D87"/>
  <c r="E87"/>
  <c r="G87"/>
  <c r="C88"/>
  <c r="D88"/>
  <c r="E88"/>
  <c r="G88"/>
  <c r="C89"/>
  <c r="D89"/>
  <c r="E89"/>
  <c r="G89"/>
  <c r="C90"/>
  <c r="D90"/>
  <c r="E90"/>
  <c r="G90"/>
  <c r="C91"/>
  <c r="D91"/>
  <c r="E91"/>
  <c r="G91"/>
  <c r="C92"/>
  <c r="D92"/>
  <c r="E92"/>
  <c r="G92"/>
  <c r="C93"/>
  <c r="D93"/>
  <c r="E93"/>
  <c r="G93"/>
  <c r="C94"/>
  <c r="D94"/>
  <c r="E94"/>
  <c r="G94"/>
  <c r="C95"/>
  <c r="D95"/>
  <c r="E95"/>
  <c r="G95"/>
  <c r="D97"/>
  <c r="C98"/>
  <c r="D98"/>
  <c r="E98"/>
  <c r="G98"/>
  <c r="C100"/>
  <c r="D100"/>
  <c r="E100"/>
  <c r="G100"/>
  <c r="C102"/>
  <c r="D102"/>
  <c r="E102"/>
  <c r="G102"/>
  <c r="C106"/>
  <c r="D106"/>
  <c r="E106"/>
  <c r="G106"/>
  <c r="C109"/>
  <c r="D109"/>
  <c r="E109"/>
  <c r="G109"/>
  <c r="C110"/>
  <c r="D110"/>
  <c r="E110"/>
  <c r="G110"/>
  <c r="C111"/>
  <c r="D111"/>
  <c r="E111"/>
  <c r="G111"/>
  <c r="C112"/>
  <c r="D112"/>
  <c r="E112"/>
  <c r="G112"/>
  <c r="C114"/>
  <c r="D114"/>
  <c r="E114"/>
  <c r="G114"/>
  <c r="C115"/>
  <c r="D115"/>
  <c r="E115"/>
  <c r="G115"/>
  <c r="C118"/>
  <c r="D118"/>
  <c r="E118"/>
  <c r="G118"/>
  <c r="C120"/>
  <c r="D120"/>
  <c r="E120"/>
  <c r="G120"/>
  <c r="C121"/>
  <c r="D121"/>
  <c r="E121"/>
  <c r="G121"/>
  <c r="C122"/>
  <c r="D122"/>
  <c r="E122"/>
  <c r="G122"/>
  <c r="D123"/>
  <c r="C125"/>
  <c r="D125"/>
  <c r="E125"/>
  <c r="G125"/>
  <c r="C126"/>
  <c r="D126"/>
  <c r="E126"/>
  <c r="G126"/>
  <c r="C127"/>
  <c r="D127"/>
  <c r="E127"/>
  <c r="G127"/>
  <c r="C128"/>
  <c r="D128"/>
  <c r="E128"/>
  <c r="G128"/>
  <c r="C130"/>
  <c r="D130"/>
  <c r="E130"/>
  <c r="G130"/>
  <c r="C131"/>
  <c r="D131"/>
  <c r="E131"/>
  <c r="G131"/>
  <c r="C132"/>
  <c r="D132"/>
  <c r="E132"/>
  <c r="G132"/>
  <c r="C135"/>
  <c r="D135"/>
  <c r="E135"/>
  <c r="G135"/>
  <c r="C136"/>
  <c r="D136"/>
  <c r="E136"/>
  <c r="G136"/>
  <c r="D64"/>
  <c r="E64"/>
  <c r="G64"/>
  <c r="C64"/>
  <c r="C7"/>
  <c r="D7"/>
  <c r="E7"/>
  <c r="G7"/>
  <c r="C8"/>
  <c r="D8"/>
  <c r="E8"/>
  <c r="G8"/>
  <c r="C9"/>
  <c r="D9"/>
  <c r="E9"/>
  <c r="G9"/>
  <c r="C10"/>
  <c r="D10"/>
  <c r="E10"/>
  <c r="G10"/>
  <c r="C11"/>
  <c r="D11"/>
  <c r="E11"/>
  <c r="G11"/>
  <c r="C14"/>
  <c r="D14"/>
  <c r="E14"/>
  <c r="G14"/>
  <c r="C15"/>
  <c r="D15"/>
  <c r="E15"/>
  <c r="G15"/>
  <c r="C16"/>
  <c r="D16"/>
  <c r="E16"/>
  <c r="G16"/>
  <c r="C17"/>
  <c r="D17"/>
  <c r="E17"/>
  <c r="G17"/>
  <c r="C18"/>
  <c r="D18"/>
  <c r="E18"/>
  <c r="G18"/>
  <c r="C19"/>
  <c r="D19"/>
  <c r="E19"/>
  <c r="G19"/>
  <c r="C21"/>
  <c r="D21"/>
  <c r="E21"/>
  <c r="G21"/>
  <c r="C23"/>
  <c r="D23"/>
  <c r="E23"/>
  <c r="G23"/>
  <c r="C24"/>
  <c r="D24"/>
  <c r="E24"/>
  <c r="G24"/>
  <c r="G25"/>
  <c r="C27"/>
  <c r="D27"/>
  <c r="E27"/>
  <c r="G27"/>
  <c r="G28"/>
  <c r="C29"/>
  <c r="D29"/>
  <c r="E29"/>
  <c r="G29"/>
  <c r="G30"/>
  <c r="C31"/>
  <c r="D31"/>
  <c r="E31"/>
  <c r="G31"/>
  <c r="C33"/>
  <c r="D33"/>
  <c r="E33"/>
  <c r="G33"/>
  <c r="C34"/>
  <c r="D34"/>
  <c r="E34"/>
  <c r="G34"/>
  <c r="C35"/>
  <c r="D35"/>
  <c r="E35"/>
  <c r="G35"/>
  <c r="C37"/>
  <c r="D37"/>
  <c r="E37"/>
  <c r="G37"/>
  <c r="C38"/>
  <c r="D38"/>
  <c r="E38"/>
  <c r="G38"/>
  <c r="C39"/>
  <c r="D39"/>
  <c r="E39"/>
  <c r="G39"/>
  <c r="C40"/>
  <c r="D40"/>
  <c r="E40"/>
  <c r="G40"/>
  <c r="C41"/>
  <c r="D41"/>
  <c r="E41"/>
  <c r="C42"/>
  <c r="D42"/>
  <c r="E42"/>
  <c r="C43"/>
  <c r="D43"/>
  <c r="E43"/>
  <c r="C44"/>
  <c r="D44"/>
  <c r="E44"/>
  <c r="G44"/>
  <c r="C45"/>
  <c r="D45"/>
  <c r="G46"/>
  <c r="C47"/>
  <c r="D47"/>
  <c r="E47"/>
  <c r="G47"/>
  <c r="G48"/>
  <c r="G49"/>
  <c r="G50" i="38" s="1"/>
  <c r="C50" i="37"/>
  <c r="C51" i="38" s="1"/>
  <c r="D50" i="37"/>
  <c r="E50"/>
  <c r="E51" i="38" s="1"/>
  <c r="G50" i="37"/>
  <c r="G51" i="38" s="1"/>
  <c r="C51" i="37"/>
  <c r="D51"/>
  <c r="E51"/>
  <c r="G51"/>
  <c r="C52"/>
  <c r="D52"/>
  <c r="E52"/>
  <c r="G52"/>
  <c r="G53"/>
  <c r="C55"/>
  <c r="D55"/>
  <c r="E55"/>
  <c r="G55"/>
  <c r="G56"/>
  <c r="C57"/>
  <c r="G59"/>
  <c r="G60"/>
  <c r="D6"/>
  <c r="E6"/>
  <c r="G6"/>
  <c r="C6"/>
  <c r="G135" i="34"/>
  <c r="G136" s="1"/>
  <c r="E135"/>
  <c r="E136" s="1"/>
  <c r="D135"/>
  <c r="D136" s="1"/>
  <c r="C135"/>
  <c r="C136" s="1"/>
  <c r="F134"/>
  <c r="H134" s="1"/>
  <c r="H133"/>
  <c r="F133"/>
  <c r="G131"/>
  <c r="F131"/>
  <c r="H131" s="1"/>
  <c r="E131"/>
  <c r="D131"/>
  <c r="C131"/>
  <c r="H130"/>
  <c r="F130"/>
  <c r="F129"/>
  <c r="H129" s="1"/>
  <c r="F128"/>
  <c r="H128" s="1"/>
  <c r="G127"/>
  <c r="E127"/>
  <c r="F127" s="1"/>
  <c r="D127"/>
  <c r="C127"/>
  <c r="F126"/>
  <c r="H126" s="1"/>
  <c r="H125"/>
  <c r="F125"/>
  <c r="F124"/>
  <c r="H124" s="1"/>
  <c r="F123"/>
  <c r="H123" s="1"/>
  <c r="G121"/>
  <c r="F121"/>
  <c r="C121"/>
  <c r="F120"/>
  <c r="H120" s="1"/>
  <c r="F119"/>
  <c r="H119" s="1"/>
  <c r="F118"/>
  <c r="H118" s="1"/>
  <c r="G117"/>
  <c r="E117"/>
  <c r="D117"/>
  <c r="C117"/>
  <c r="F116"/>
  <c r="H116" s="1"/>
  <c r="G115"/>
  <c r="E115"/>
  <c r="D115"/>
  <c r="F115" s="1"/>
  <c r="C115"/>
  <c r="G114"/>
  <c r="E114"/>
  <c r="D114"/>
  <c r="D122" s="1"/>
  <c r="C114"/>
  <c r="F113"/>
  <c r="H113" s="1"/>
  <c r="F112"/>
  <c r="H112" s="1"/>
  <c r="F110"/>
  <c r="H110" s="1"/>
  <c r="F109"/>
  <c r="H109" s="1"/>
  <c r="H108"/>
  <c r="F108"/>
  <c r="F107"/>
  <c r="H107" s="1"/>
  <c r="F106"/>
  <c r="H106" s="1"/>
  <c r="G105"/>
  <c r="E105"/>
  <c r="E111" s="1"/>
  <c r="D105"/>
  <c r="D111" s="1"/>
  <c r="F111" s="1"/>
  <c r="C105"/>
  <c r="C111" s="1"/>
  <c r="G103"/>
  <c r="E103"/>
  <c r="D103"/>
  <c r="F103" s="1"/>
  <c r="C103"/>
  <c r="F102"/>
  <c r="H102" s="1"/>
  <c r="F100"/>
  <c r="H100" s="1"/>
  <c r="D99"/>
  <c r="F98"/>
  <c r="H98" s="1"/>
  <c r="G99"/>
  <c r="E97"/>
  <c r="F97" s="1"/>
  <c r="C97"/>
  <c r="C99" s="1"/>
  <c r="G96"/>
  <c r="E96"/>
  <c r="D96"/>
  <c r="C96"/>
  <c r="F95"/>
  <c r="H95" s="1"/>
  <c r="H94"/>
  <c r="F94"/>
  <c r="F93"/>
  <c r="H93" s="1"/>
  <c r="F92"/>
  <c r="H92" s="1"/>
  <c r="F91"/>
  <c r="H91" s="1"/>
  <c r="F90"/>
  <c r="H90" s="1"/>
  <c r="F89"/>
  <c r="F88"/>
  <c r="H88" s="1"/>
  <c r="F87"/>
  <c r="H87" s="1"/>
  <c r="G86"/>
  <c r="E86"/>
  <c r="D86"/>
  <c r="C86"/>
  <c r="F85"/>
  <c r="H85" s="1"/>
  <c r="F84"/>
  <c r="H84" s="1"/>
  <c r="G83"/>
  <c r="E83"/>
  <c r="D83"/>
  <c r="C83"/>
  <c r="F82"/>
  <c r="H82" s="1"/>
  <c r="F81"/>
  <c r="H81" s="1"/>
  <c r="F80"/>
  <c r="H80" s="1"/>
  <c r="F79"/>
  <c r="H79" s="1"/>
  <c r="F78"/>
  <c r="H78" s="1"/>
  <c r="F77"/>
  <c r="H77" s="1"/>
  <c r="G76"/>
  <c r="E76"/>
  <c r="D76"/>
  <c r="C76"/>
  <c r="G74"/>
  <c r="E74"/>
  <c r="D74"/>
  <c r="C74"/>
  <c r="F73"/>
  <c r="H73" s="1"/>
  <c r="F72"/>
  <c r="H72" s="1"/>
  <c r="F71"/>
  <c r="H71" s="1"/>
  <c r="G70"/>
  <c r="G75" s="1"/>
  <c r="E70"/>
  <c r="D70"/>
  <c r="D75" s="1"/>
  <c r="C70"/>
  <c r="F69"/>
  <c r="H69" s="1"/>
  <c r="F68"/>
  <c r="H68" s="1"/>
  <c r="F67"/>
  <c r="H67" s="1"/>
  <c r="F66"/>
  <c r="H66" s="1"/>
  <c r="F65"/>
  <c r="F64"/>
  <c r="H64" s="1"/>
  <c r="H57"/>
  <c r="C56"/>
  <c r="F55"/>
  <c r="H55" s="1"/>
  <c r="F52"/>
  <c r="H52" s="1"/>
  <c r="F51"/>
  <c r="H51" s="1"/>
  <c r="H50"/>
  <c r="C49"/>
  <c r="C53" s="1"/>
  <c r="C48"/>
  <c r="F47"/>
  <c r="H47" s="1"/>
  <c r="C46"/>
  <c r="F45"/>
  <c r="H45" s="1"/>
  <c r="F44"/>
  <c r="H44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F33"/>
  <c r="H33" s="1"/>
  <c r="H31"/>
  <c r="H30"/>
  <c r="C30"/>
  <c r="H29"/>
  <c r="H28"/>
  <c r="C28"/>
  <c r="H27"/>
  <c r="G26"/>
  <c r="G32" s="1"/>
  <c r="G36" s="1"/>
  <c r="E26"/>
  <c r="D26"/>
  <c r="C26"/>
  <c r="C32" s="1"/>
  <c r="C36" s="1"/>
  <c r="E25"/>
  <c r="D25"/>
  <c r="D32" s="1"/>
  <c r="C25"/>
  <c r="F24"/>
  <c r="H24" s="1"/>
  <c r="F23"/>
  <c r="H23" s="1"/>
  <c r="G22"/>
  <c r="E22"/>
  <c r="D22"/>
  <c r="F22" s="1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E20" s="1"/>
  <c r="D12"/>
  <c r="D20" s="1"/>
  <c r="C12"/>
  <c r="F11"/>
  <c r="H11" s="1"/>
  <c r="F10"/>
  <c r="H10" s="1"/>
  <c r="F9"/>
  <c r="H9" s="1"/>
  <c r="F8"/>
  <c r="H8" s="1"/>
  <c r="F7"/>
  <c r="H7" s="1"/>
  <c r="F6"/>
  <c r="H6" s="1"/>
  <c r="G135" i="35"/>
  <c r="G136" s="1"/>
  <c r="E135"/>
  <c r="D135"/>
  <c r="D136" s="1"/>
  <c r="C135"/>
  <c r="C136" s="1"/>
  <c r="F134"/>
  <c r="H134" s="1"/>
  <c r="F133"/>
  <c r="H133" s="1"/>
  <c r="G131"/>
  <c r="E131"/>
  <c r="D131"/>
  <c r="C131"/>
  <c r="F130"/>
  <c r="F129"/>
  <c r="F128"/>
  <c r="G127"/>
  <c r="E127"/>
  <c r="D127"/>
  <c r="C127"/>
  <c r="F126"/>
  <c r="H126" s="1"/>
  <c r="F125"/>
  <c r="H125" s="1"/>
  <c r="H124"/>
  <c r="F124"/>
  <c r="F123"/>
  <c r="G121"/>
  <c r="F121"/>
  <c r="C121"/>
  <c r="F120"/>
  <c r="F119"/>
  <c r="F118"/>
  <c r="H118" s="1"/>
  <c r="G117"/>
  <c r="E117"/>
  <c r="D117"/>
  <c r="C117"/>
  <c r="F116"/>
  <c r="G115"/>
  <c r="E115"/>
  <c r="D115"/>
  <c r="F115" s="1"/>
  <c r="C115"/>
  <c r="G114"/>
  <c r="E114"/>
  <c r="D114"/>
  <c r="C114"/>
  <c r="F113"/>
  <c r="H113" s="1"/>
  <c r="F112"/>
  <c r="H112" s="1"/>
  <c r="H110"/>
  <c r="F110"/>
  <c r="F109"/>
  <c r="H109" s="1"/>
  <c r="F108"/>
  <c r="H108" s="1"/>
  <c r="F107"/>
  <c r="F106"/>
  <c r="G105"/>
  <c r="G111" s="1"/>
  <c r="E105"/>
  <c r="E111" s="1"/>
  <c r="D105"/>
  <c r="D111" s="1"/>
  <c r="C105"/>
  <c r="C111" s="1"/>
  <c r="G103"/>
  <c r="E103"/>
  <c r="D103"/>
  <c r="C103"/>
  <c r="F102"/>
  <c r="H102" s="1"/>
  <c r="F100"/>
  <c r="H100" s="1"/>
  <c r="D99"/>
  <c r="F98"/>
  <c r="G99"/>
  <c r="F97"/>
  <c r="C97"/>
  <c r="C99" s="1"/>
  <c r="G96"/>
  <c r="E96"/>
  <c r="D96"/>
  <c r="C96"/>
  <c r="F95"/>
  <c r="H95" s="1"/>
  <c r="F94"/>
  <c r="F93"/>
  <c r="H93" s="1"/>
  <c r="F92"/>
  <c r="F91"/>
  <c r="H91" s="1"/>
  <c r="F90"/>
  <c r="F89"/>
  <c r="F88"/>
  <c r="H88" s="1"/>
  <c r="F87"/>
  <c r="H87" s="1"/>
  <c r="G86"/>
  <c r="E86"/>
  <c r="D86"/>
  <c r="C86"/>
  <c r="F85"/>
  <c r="H85" s="1"/>
  <c r="F84"/>
  <c r="G83"/>
  <c r="E83"/>
  <c r="D83"/>
  <c r="C83"/>
  <c r="F82"/>
  <c r="F81"/>
  <c r="H81" s="1"/>
  <c r="F80"/>
  <c r="H80" s="1"/>
  <c r="F79"/>
  <c r="F78"/>
  <c r="F77"/>
  <c r="H77" s="1"/>
  <c r="G76"/>
  <c r="E76"/>
  <c r="D76"/>
  <c r="C76"/>
  <c r="G74"/>
  <c r="E74"/>
  <c r="D74"/>
  <c r="C74"/>
  <c r="F73"/>
  <c r="F72"/>
  <c r="H72" s="1"/>
  <c r="F71"/>
  <c r="H71" s="1"/>
  <c r="G70"/>
  <c r="E70"/>
  <c r="D70"/>
  <c r="C70"/>
  <c r="F69"/>
  <c r="F68"/>
  <c r="F67"/>
  <c r="H67" s="1"/>
  <c r="F66"/>
  <c r="H66" s="1"/>
  <c r="F65"/>
  <c r="F64"/>
  <c r="H64" s="1"/>
  <c r="C56"/>
  <c r="C59" s="1"/>
  <c r="H55"/>
  <c r="F52"/>
  <c r="H52" s="1"/>
  <c r="F51"/>
  <c r="F50"/>
  <c r="E49"/>
  <c r="E53" s="1"/>
  <c r="D49"/>
  <c r="D53" s="1"/>
  <c r="C49"/>
  <c r="E48" i="37"/>
  <c r="C48" i="35"/>
  <c r="F47"/>
  <c r="D46" i="37"/>
  <c r="F45" i="35"/>
  <c r="F45" i="37" s="1"/>
  <c r="F43" i="35"/>
  <c r="F44" s="1"/>
  <c r="F42"/>
  <c r="F41"/>
  <c r="F40"/>
  <c r="F39"/>
  <c r="F38"/>
  <c r="F37"/>
  <c r="F35"/>
  <c r="F34"/>
  <c r="E30" i="37"/>
  <c r="C30" i="35"/>
  <c r="H29"/>
  <c r="D28" i="37"/>
  <c r="C28" i="35"/>
  <c r="G26"/>
  <c r="G32" s="1"/>
  <c r="G36" s="1"/>
  <c r="E26"/>
  <c r="D26"/>
  <c r="C26"/>
  <c r="E25"/>
  <c r="E32" s="1"/>
  <c r="E36" s="1"/>
  <c r="D25"/>
  <c r="C25"/>
  <c r="F24"/>
  <c r="F23"/>
  <c r="G22"/>
  <c r="E22"/>
  <c r="D22"/>
  <c r="C22"/>
  <c r="F21"/>
  <c r="F19"/>
  <c r="H19" s="1"/>
  <c r="F18"/>
  <c r="F17"/>
  <c r="H17" s="1"/>
  <c r="F16"/>
  <c r="F15"/>
  <c r="H15" s="1"/>
  <c r="F14"/>
  <c r="G13"/>
  <c r="G13" i="37" s="1"/>
  <c r="E13" i="35"/>
  <c r="D13"/>
  <c r="C13"/>
  <c r="G12"/>
  <c r="E12"/>
  <c r="D12"/>
  <c r="F12" s="1"/>
  <c r="C12"/>
  <c r="F11"/>
  <c r="F10"/>
  <c r="F9"/>
  <c r="F8"/>
  <c r="F7"/>
  <c r="F6"/>
  <c r="F65" i="36"/>
  <c r="F66"/>
  <c r="F67"/>
  <c r="F68"/>
  <c r="H68" s="1"/>
  <c r="F69"/>
  <c r="F71"/>
  <c r="F72"/>
  <c r="F73"/>
  <c r="H73" s="1"/>
  <c r="F77"/>
  <c r="F78"/>
  <c r="H78" s="1"/>
  <c r="F79"/>
  <c r="F80"/>
  <c r="H80" s="1"/>
  <c r="F81"/>
  <c r="H81" s="1"/>
  <c r="F82"/>
  <c r="F84"/>
  <c r="F85"/>
  <c r="F87"/>
  <c r="F88"/>
  <c r="F89"/>
  <c r="F90"/>
  <c r="H90" s="1"/>
  <c r="F91"/>
  <c r="F92"/>
  <c r="F93"/>
  <c r="F94"/>
  <c r="H94" s="1"/>
  <c r="F95"/>
  <c r="F98"/>
  <c r="F100"/>
  <c r="H100" s="1"/>
  <c r="F102"/>
  <c r="F106"/>
  <c r="F107"/>
  <c r="F108"/>
  <c r="F109"/>
  <c r="F110"/>
  <c r="F112"/>
  <c r="F113"/>
  <c r="F116"/>
  <c r="F118"/>
  <c r="F119"/>
  <c r="F120"/>
  <c r="F123"/>
  <c r="H123" s="1"/>
  <c r="F124"/>
  <c r="F125"/>
  <c r="F126"/>
  <c r="F128"/>
  <c r="H128" s="1"/>
  <c r="F129"/>
  <c r="F130"/>
  <c r="F133"/>
  <c r="F134"/>
  <c r="F64"/>
  <c r="H64" s="1"/>
  <c r="D70"/>
  <c r="E70"/>
  <c r="E75" s="1"/>
  <c r="G70"/>
  <c r="D74"/>
  <c r="E74"/>
  <c r="G74"/>
  <c r="D76"/>
  <c r="F76" s="1"/>
  <c r="E76"/>
  <c r="G76"/>
  <c r="D83"/>
  <c r="E83"/>
  <c r="G83"/>
  <c r="D86"/>
  <c r="E86"/>
  <c r="G86"/>
  <c r="D96"/>
  <c r="E96"/>
  <c r="G96"/>
  <c r="F97"/>
  <c r="G99"/>
  <c r="D99"/>
  <c r="D103"/>
  <c r="E103"/>
  <c r="G103"/>
  <c r="D105"/>
  <c r="D111" s="1"/>
  <c r="F111" s="1"/>
  <c r="E105"/>
  <c r="E111" s="1"/>
  <c r="G105"/>
  <c r="G111" s="1"/>
  <c r="D114"/>
  <c r="F114" s="1"/>
  <c r="H114" s="1"/>
  <c r="E114"/>
  <c r="G114"/>
  <c r="D115"/>
  <c r="E115"/>
  <c r="G115"/>
  <c r="D117"/>
  <c r="F117" s="1"/>
  <c r="E117"/>
  <c r="G117"/>
  <c r="G121"/>
  <c r="D122"/>
  <c r="D127"/>
  <c r="E127"/>
  <c r="G127"/>
  <c r="D131"/>
  <c r="F131" s="1"/>
  <c r="E131"/>
  <c r="G131"/>
  <c r="D135"/>
  <c r="F135" s="1"/>
  <c r="H135" s="1"/>
  <c r="E135"/>
  <c r="G135"/>
  <c r="E136"/>
  <c r="G136"/>
  <c r="C135"/>
  <c r="C136" s="1"/>
  <c r="C131"/>
  <c r="C127"/>
  <c r="C117"/>
  <c r="C115"/>
  <c r="C114"/>
  <c r="C111"/>
  <c r="C105"/>
  <c r="C103"/>
  <c r="C96"/>
  <c r="C86"/>
  <c r="C83"/>
  <c r="C76"/>
  <c r="C74"/>
  <c r="C70"/>
  <c r="F6"/>
  <c r="D22"/>
  <c r="E22"/>
  <c r="D25"/>
  <c r="E25"/>
  <c r="D26"/>
  <c r="E26"/>
  <c r="D49"/>
  <c r="E49"/>
  <c r="E53" s="1"/>
  <c r="C56"/>
  <c r="C53"/>
  <c r="C49"/>
  <c r="C48"/>
  <c r="C46"/>
  <c r="C46" i="37" s="1"/>
  <c r="C30" i="36"/>
  <c r="C32" s="1"/>
  <c r="C36" s="1"/>
  <c r="C28"/>
  <c r="G22"/>
  <c r="G54" s="1"/>
  <c r="G26"/>
  <c r="G32" s="1"/>
  <c r="G36" s="1"/>
  <c r="G36" i="37" s="1"/>
  <c r="C26" i="36"/>
  <c r="C22"/>
  <c r="C25"/>
  <c r="C13"/>
  <c r="C12"/>
  <c r="C20" s="1"/>
  <c r="H134"/>
  <c r="H133"/>
  <c r="H130"/>
  <c r="H129"/>
  <c r="H126"/>
  <c r="H125"/>
  <c r="H124"/>
  <c r="C121"/>
  <c r="H120"/>
  <c r="H119"/>
  <c r="H118"/>
  <c r="H116"/>
  <c r="H113"/>
  <c r="H112"/>
  <c r="H110"/>
  <c r="H109"/>
  <c r="H108"/>
  <c r="H107"/>
  <c r="H106"/>
  <c r="H102"/>
  <c r="H98"/>
  <c r="C97"/>
  <c r="H95"/>
  <c r="H93"/>
  <c r="H92"/>
  <c r="H91"/>
  <c r="H88"/>
  <c r="H87"/>
  <c r="H85"/>
  <c r="H84"/>
  <c r="H82"/>
  <c r="H79"/>
  <c r="H77"/>
  <c r="H72"/>
  <c r="H71"/>
  <c r="H69"/>
  <c r="H67"/>
  <c r="H66"/>
  <c r="H57"/>
  <c r="H56"/>
  <c r="H55"/>
  <c r="H52"/>
  <c r="H51"/>
  <c r="H50"/>
  <c r="H48"/>
  <c r="H47"/>
  <c r="H46"/>
  <c r="H45"/>
  <c r="H44"/>
  <c r="H43"/>
  <c r="H42"/>
  <c r="H41"/>
  <c r="H40"/>
  <c r="H39"/>
  <c r="H38"/>
  <c r="H37"/>
  <c r="H35"/>
  <c r="H34"/>
  <c r="H33"/>
  <c r="H31"/>
  <c r="H30"/>
  <c r="H29"/>
  <c r="H28"/>
  <c r="H27"/>
  <c r="H24"/>
  <c r="H21"/>
  <c r="H19"/>
  <c r="H18"/>
  <c r="H17"/>
  <c r="H16"/>
  <c r="H15"/>
  <c r="H14"/>
  <c r="H11"/>
  <c r="H10"/>
  <c r="H9"/>
  <c r="H8"/>
  <c r="H7"/>
  <c r="H6"/>
  <c r="E13" i="37" l="1"/>
  <c r="E32" i="34"/>
  <c r="E36" s="1"/>
  <c r="E54" s="1"/>
  <c r="E61" s="1"/>
  <c r="C75"/>
  <c r="F74"/>
  <c r="H74" s="1"/>
  <c r="F76"/>
  <c r="F13"/>
  <c r="H13" s="1"/>
  <c r="E75"/>
  <c r="D36"/>
  <c r="F36" s="1"/>
  <c r="F32"/>
  <c r="H127"/>
  <c r="D32" i="35"/>
  <c r="D75"/>
  <c r="F117"/>
  <c r="H117" s="1"/>
  <c r="F127"/>
  <c r="F135"/>
  <c r="F53"/>
  <c r="F105"/>
  <c r="H105" s="1"/>
  <c r="G61" i="36"/>
  <c r="C22" i="37"/>
  <c r="E25"/>
  <c r="G26"/>
  <c r="C74"/>
  <c r="C86"/>
  <c r="C103"/>
  <c r="C119"/>
  <c r="C129"/>
  <c r="F136"/>
  <c r="C59" i="36"/>
  <c r="C60" s="1"/>
  <c r="C61" s="1"/>
  <c r="F26"/>
  <c r="H26" s="1"/>
  <c r="F22"/>
  <c r="H22" s="1"/>
  <c r="D136"/>
  <c r="F136" s="1"/>
  <c r="H136" s="1"/>
  <c r="H111"/>
  <c r="F86"/>
  <c r="H86" s="1"/>
  <c r="D22" i="37"/>
  <c r="C28"/>
  <c r="F106"/>
  <c r="H106" s="1"/>
  <c r="F131"/>
  <c r="H131" s="1"/>
  <c r="G32"/>
  <c r="C54" i="36"/>
  <c r="E32"/>
  <c r="E36" s="1"/>
  <c r="E54" s="1"/>
  <c r="F127"/>
  <c r="H127" s="1"/>
  <c r="F115"/>
  <c r="H115" s="1"/>
  <c r="F74"/>
  <c r="H74" s="1"/>
  <c r="C25" i="37"/>
  <c r="D26"/>
  <c r="D49"/>
  <c r="D53" i="36"/>
  <c r="F49"/>
  <c r="H49" s="1"/>
  <c r="F25"/>
  <c r="H25" s="1"/>
  <c r="D32"/>
  <c r="C75"/>
  <c r="H131"/>
  <c r="H117"/>
  <c r="G75"/>
  <c r="F6" i="37"/>
  <c r="G22"/>
  <c r="C48"/>
  <c r="F122"/>
  <c r="H122" s="1"/>
  <c r="C133"/>
  <c r="F20" i="36"/>
  <c r="F103"/>
  <c r="H103" s="1"/>
  <c r="E62" i="38"/>
  <c r="D24" i="29" s="1"/>
  <c r="E24" s="1"/>
  <c r="G123" i="37"/>
  <c r="F83" i="35"/>
  <c r="H83" s="1"/>
  <c r="F103"/>
  <c r="H103" s="1"/>
  <c r="F83" i="36"/>
  <c r="H83" s="1"/>
  <c r="F70"/>
  <c r="H70" s="1"/>
  <c r="F64" i="37"/>
  <c r="H106" i="35"/>
  <c r="H120"/>
  <c r="H129"/>
  <c r="F62" i="38"/>
  <c r="H62" s="1"/>
  <c r="F46" i="35"/>
  <c r="F118" i="37"/>
  <c r="H136"/>
  <c r="F65"/>
  <c r="F91"/>
  <c r="F130"/>
  <c r="H64"/>
  <c r="F102"/>
  <c r="H102" s="1"/>
  <c r="F115"/>
  <c r="F120"/>
  <c r="F125"/>
  <c r="F128"/>
  <c r="F94"/>
  <c r="H94" s="1"/>
  <c r="G122" i="36"/>
  <c r="F90" i="37"/>
  <c r="F93"/>
  <c r="F98"/>
  <c r="F109"/>
  <c r="H109" s="1"/>
  <c r="F112"/>
  <c r="H112" s="1"/>
  <c r="F126"/>
  <c r="H76" i="34"/>
  <c r="H76" i="36"/>
  <c r="H58" i="39"/>
  <c r="D104" i="34"/>
  <c r="D132" s="1"/>
  <c r="D104" i="36"/>
  <c r="D75"/>
  <c r="F75" s="1"/>
  <c r="D60"/>
  <c r="F59"/>
  <c r="H59" s="1"/>
  <c r="C59" i="34"/>
  <c r="C60" s="1"/>
  <c r="E60" i="37"/>
  <c r="F105" i="36"/>
  <c r="H105" s="1"/>
  <c r="F9" i="37"/>
  <c r="F15"/>
  <c r="F21"/>
  <c r="F33"/>
  <c r="F52"/>
  <c r="G76"/>
  <c r="G86"/>
  <c r="G96"/>
  <c r="E113"/>
  <c r="E116"/>
  <c r="E129"/>
  <c r="D133"/>
  <c r="E137"/>
  <c r="F96" i="36"/>
  <c r="H96" s="1"/>
  <c r="F10" i="37"/>
  <c r="F18"/>
  <c r="F23"/>
  <c r="F34"/>
  <c r="D74"/>
  <c r="E83"/>
  <c r="D99"/>
  <c r="G103"/>
  <c r="E133"/>
  <c r="F7"/>
  <c r="F11"/>
  <c r="F16"/>
  <c r="F19"/>
  <c r="F24"/>
  <c r="F29"/>
  <c r="F35"/>
  <c r="F50"/>
  <c r="D70"/>
  <c r="D76"/>
  <c r="D86"/>
  <c r="G129"/>
  <c r="E122" i="36"/>
  <c r="F122" s="1"/>
  <c r="E103" i="37"/>
  <c r="D113"/>
  <c r="D116"/>
  <c r="D117"/>
  <c r="G119"/>
  <c r="D129"/>
  <c r="C97"/>
  <c r="C123"/>
  <c r="G104" i="36"/>
  <c r="E99"/>
  <c r="F121"/>
  <c r="F123" i="37" s="1"/>
  <c r="F97"/>
  <c r="E97"/>
  <c r="C122" i="36"/>
  <c r="C122" i="35"/>
  <c r="C99" i="36"/>
  <c r="C104" s="1"/>
  <c r="C30" i="37"/>
  <c r="C56"/>
  <c r="C104" i="34"/>
  <c r="C96" i="37"/>
  <c r="C76"/>
  <c r="C70"/>
  <c r="F8"/>
  <c r="C13"/>
  <c r="F14"/>
  <c r="F17"/>
  <c r="E22"/>
  <c r="F47"/>
  <c r="F55"/>
  <c r="E56"/>
  <c r="F89"/>
  <c r="F92"/>
  <c r="F95"/>
  <c r="E96"/>
  <c r="G99"/>
  <c r="D103"/>
  <c r="C113"/>
  <c r="F110"/>
  <c r="C117"/>
  <c r="G117"/>
  <c r="E119"/>
  <c r="F121"/>
  <c r="F132"/>
  <c r="G133"/>
  <c r="C138"/>
  <c r="G138"/>
  <c r="C20" i="34"/>
  <c r="H22"/>
  <c r="F26"/>
  <c r="H26" s="1"/>
  <c r="H46"/>
  <c r="H48"/>
  <c r="H103"/>
  <c r="F105"/>
  <c r="H105" s="1"/>
  <c r="F96"/>
  <c r="H96" s="1"/>
  <c r="C122"/>
  <c r="H115"/>
  <c r="F117"/>
  <c r="H117" s="1"/>
  <c r="F12"/>
  <c r="F12" i="37" s="1"/>
  <c r="H53" i="34"/>
  <c r="E122"/>
  <c r="F122" s="1"/>
  <c r="F135"/>
  <c r="H135" s="1"/>
  <c r="H12" i="35"/>
  <c r="H6"/>
  <c r="H10"/>
  <c r="F13"/>
  <c r="D13" i="37"/>
  <c r="H14" i="35"/>
  <c r="H16"/>
  <c r="H18"/>
  <c r="H21"/>
  <c r="E28" i="37"/>
  <c r="H39" i="35"/>
  <c r="F39" i="37"/>
  <c r="H43" i="35"/>
  <c r="F43" i="37"/>
  <c r="F51"/>
  <c r="H51" i="35"/>
  <c r="H78"/>
  <c r="F78" i="37"/>
  <c r="H82" i="35"/>
  <c r="F82" i="37"/>
  <c r="G104" i="35"/>
  <c r="G83" i="37"/>
  <c r="H7" i="35"/>
  <c r="H9"/>
  <c r="H11"/>
  <c r="H24"/>
  <c r="C32"/>
  <c r="C26" i="37"/>
  <c r="H27" i="35"/>
  <c r="F27" i="37"/>
  <c r="H33" i="35"/>
  <c r="H35"/>
  <c r="H40"/>
  <c r="F40" i="37"/>
  <c r="H44" i="35"/>
  <c r="F44" i="37"/>
  <c r="H57" i="35"/>
  <c r="H57" i="37"/>
  <c r="H68" i="35"/>
  <c r="F68" i="37"/>
  <c r="F70" i="35"/>
  <c r="E75"/>
  <c r="E75" i="37" s="1"/>
  <c r="E70"/>
  <c r="H73" i="35"/>
  <c r="F73" i="37"/>
  <c r="G74"/>
  <c r="F76" i="35"/>
  <c r="F76" i="37" s="1"/>
  <c r="E76"/>
  <c r="H79" i="35"/>
  <c r="F79" i="37"/>
  <c r="C104" i="35"/>
  <c r="C83" i="37"/>
  <c r="H84" i="35"/>
  <c r="F84" i="37"/>
  <c r="F86" i="35"/>
  <c r="E86" i="37"/>
  <c r="C20" i="35"/>
  <c r="C12" i="37"/>
  <c r="G20" i="35"/>
  <c r="G54" s="1"/>
  <c r="G61" s="1"/>
  <c r="G12" i="37"/>
  <c r="H31" i="35"/>
  <c r="F31" i="37"/>
  <c r="H37" i="35"/>
  <c r="F37" i="37"/>
  <c r="H41" i="35"/>
  <c r="F41" i="37"/>
  <c r="H45" i="35"/>
  <c r="H69"/>
  <c r="F69" i="37"/>
  <c r="G75" i="35"/>
  <c r="G75" i="37" s="1"/>
  <c r="G70"/>
  <c r="D138"/>
  <c r="H8" i="35"/>
  <c r="D20"/>
  <c r="D12" i="37"/>
  <c r="H23" i="35"/>
  <c r="D32" i="37"/>
  <c r="D25"/>
  <c r="F26" i="35"/>
  <c r="E26" i="37"/>
  <c r="H34" i="35"/>
  <c r="H38"/>
  <c r="F38" i="37"/>
  <c r="H42" i="35"/>
  <c r="F42" i="37"/>
  <c r="H47" i="35"/>
  <c r="C53"/>
  <c r="C53" i="37" s="1"/>
  <c r="C49"/>
  <c r="C50" i="38" s="1"/>
  <c r="H50" i="35"/>
  <c r="D59" i="37"/>
  <c r="D56"/>
  <c r="E20" i="35"/>
  <c r="E12" i="37"/>
  <c r="F22" i="35"/>
  <c r="D30" i="37"/>
  <c r="F49" i="35"/>
  <c r="F74"/>
  <c r="F74" i="37" s="1"/>
  <c r="H90" i="35"/>
  <c r="H92"/>
  <c r="H94"/>
  <c r="D104"/>
  <c r="E122"/>
  <c r="H116"/>
  <c r="H119"/>
  <c r="H128"/>
  <c r="H130"/>
  <c r="F131"/>
  <c r="E136"/>
  <c r="E138" i="37" s="1"/>
  <c r="E49"/>
  <c r="E117"/>
  <c r="G105"/>
  <c r="C105"/>
  <c r="F85"/>
  <c r="D83"/>
  <c r="F81"/>
  <c r="F77"/>
  <c r="E74"/>
  <c r="G122" i="35"/>
  <c r="H115"/>
  <c r="H127"/>
  <c r="H135"/>
  <c r="D137" i="37"/>
  <c r="F135"/>
  <c r="F127"/>
  <c r="F111"/>
  <c r="F100"/>
  <c r="F88"/>
  <c r="F80"/>
  <c r="F72"/>
  <c r="D48"/>
  <c r="G137"/>
  <c r="C137"/>
  <c r="F114"/>
  <c r="E105"/>
  <c r="F87"/>
  <c r="F71"/>
  <c r="F67"/>
  <c r="C75" i="35"/>
  <c r="C75" i="37" s="1"/>
  <c r="H98" i="35"/>
  <c r="H107"/>
  <c r="D122"/>
  <c r="D124" i="37" s="1"/>
  <c r="H123" i="35"/>
  <c r="H6" i="37"/>
  <c r="E59"/>
  <c r="F129"/>
  <c r="D119"/>
  <c r="F117"/>
  <c r="G116"/>
  <c r="C116"/>
  <c r="D105"/>
  <c r="F103"/>
  <c r="D96"/>
  <c r="F66"/>
  <c r="F75" i="34"/>
  <c r="H75" s="1"/>
  <c r="F136"/>
  <c r="H136" s="1"/>
  <c r="C54"/>
  <c r="H60"/>
  <c r="H59"/>
  <c r="F20"/>
  <c r="H36"/>
  <c r="H32"/>
  <c r="G104"/>
  <c r="G20"/>
  <c r="G54" s="1"/>
  <c r="G61" s="1"/>
  <c r="F83"/>
  <c r="H83" s="1"/>
  <c r="E99"/>
  <c r="F99" s="1"/>
  <c r="H99" s="1"/>
  <c r="G111"/>
  <c r="H111" s="1"/>
  <c r="G122"/>
  <c r="F25"/>
  <c r="H25" s="1"/>
  <c r="H56"/>
  <c r="F114"/>
  <c r="H114" s="1"/>
  <c r="H49"/>
  <c r="F70"/>
  <c r="H70" s="1"/>
  <c r="F86"/>
  <c r="H86" s="1"/>
  <c r="H26" i="35"/>
  <c r="H76"/>
  <c r="F111"/>
  <c r="F75"/>
  <c r="E99"/>
  <c r="F99" s="1"/>
  <c r="F25"/>
  <c r="F96"/>
  <c r="F114"/>
  <c r="H20" i="36"/>
  <c r="H23"/>
  <c r="H13"/>
  <c r="H12"/>
  <c r="F25" i="31"/>
  <c r="E25"/>
  <c r="D25"/>
  <c r="B25"/>
  <c r="G24"/>
  <c r="G23"/>
  <c r="G18"/>
  <c r="G17"/>
  <c r="G16"/>
  <c r="G15"/>
  <c r="G14"/>
  <c r="G13"/>
  <c r="G12"/>
  <c r="G11"/>
  <c r="G10"/>
  <c r="G9"/>
  <c r="G8"/>
  <c r="G7"/>
  <c r="E5"/>
  <c r="D5"/>
  <c r="G4"/>
  <c r="H31" i="30"/>
  <c r="G31"/>
  <c r="I30"/>
  <c r="E30"/>
  <c r="I29"/>
  <c r="E29"/>
  <c r="I28"/>
  <c r="E28"/>
  <c r="I27"/>
  <c r="E27"/>
  <c r="I26"/>
  <c r="E26"/>
  <c r="E25" s="1"/>
  <c r="I25"/>
  <c r="D25"/>
  <c r="C25"/>
  <c r="I24"/>
  <c r="E24"/>
  <c r="I23"/>
  <c r="E23"/>
  <c r="I22"/>
  <c r="E22"/>
  <c r="I21"/>
  <c r="E21"/>
  <c r="I20"/>
  <c r="E20"/>
  <c r="I19"/>
  <c r="I31" s="1"/>
  <c r="E19"/>
  <c r="D19"/>
  <c r="D31" s="1"/>
  <c r="C19"/>
  <c r="C31" s="1"/>
  <c r="I17"/>
  <c r="E17"/>
  <c r="I16"/>
  <c r="E16"/>
  <c r="I15"/>
  <c r="E15"/>
  <c r="I14"/>
  <c r="E14"/>
  <c r="I13"/>
  <c r="E13"/>
  <c r="I12"/>
  <c r="E12"/>
  <c r="I11"/>
  <c r="E11"/>
  <c r="I10"/>
  <c r="E10"/>
  <c r="I8"/>
  <c r="E8"/>
  <c r="E7"/>
  <c r="I5"/>
  <c r="H5"/>
  <c r="C5"/>
  <c r="G5" s="1"/>
  <c r="I3"/>
  <c r="I29" i="29"/>
  <c r="E29"/>
  <c r="I28"/>
  <c r="E28"/>
  <c r="I27"/>
  <c r="E27"/>
  <c r="I26"/>
  <c r="E26"/>
  <c r="E25"/>
  <c r="D25"/>
  <c r="C25"/>
  <c r="I23"/>
  <c r="I22"/>
  <c r="I21"/>
  <c r="I18"/>
  <c r="I17"/>
  <c r="E17"/>
  <c r="I16"/>
  <c r="E16"/>
  <c r="I15"/>
  <c r="E15"/>
  <c r="I14"/>
  <c r="E14"/>
  <c r="I13"/>
  <c r="D13"/>
  <c r="E13" s="1"/>
  <c r="E9"/>
  <c r="I5"/>
  <c r="H5"/>
  <c r="C5"/>
  <c r="G5" s="1"/>
  <c r="I3"/>
  <c r="G61" i="37" l="1"/>
  <c r="D54" i="34"/>
  <c r="E20" i="37"/>
  <c r="E54" i="35"/>
  <c r="E61" s="1"/>
  <c r="D20" i="37"/>
  <c r="G54"/>
  <c r="D36" i="35"/>
  <c r="F36" s="1"/>
  <c r="F32"/>
  <c r="E61" i="36"/>
  <c r="F32"/>
  <c r="H32" s="1"/>
  <c r="D36"/>
  <c r="F53"/>
  <c r="H53" s="1"/>
  <c r="D53" i="37"/>
  <c r="G25" i="31"/>
  <c r="C132" i="36"/>
  <c r="C137" s="1"/>
  <c r="H122"/>
  <c r="F70" i="37"/>
  <c r="H70" s="1"/>
  <c r="F26"/>
  <c r="H26" s="1"/>
  <c r="H120"/>
  <c r="H100"/>
  <c r="H77"/>
  <c r="H73"/>
  <c r="H27"/>
  <c r="H78"/>
  <c r="H55"/>
  <c r="H115"/>
  <c r="H72"/>
  <c r="H80"/>
  <c r="H87"/>
  <c r="H88"/>
  <c r="H127"/>
  <c r="H85"/>
  <c r="H42"/>
  <c r="H69"/>
  <c r="H41"/>
  <c r="H31"/>
  <c r="H84"/>
  <c r="H79"/>
  <c r="H51"/>
  <c r="H121"/>
  <c r="H110"/>
  <c r="H17"/>
  <c r="H29"/>
  <c r="H11"/>
  <c r="H23"/>
  <c r="H52"/>
  <c r="H9"/>
  <c r="H91"/>
  <c r="H135"/>
  <c r="H40"/>
  <c r="H14"/>
  <c r="H7"/>
  <c r="H18"/>
  <c r="H98"/>
  <c r="H118"/>
  <c r="H66"/>
  <c r="H129"/>
  <c r="H114"/>
  <c r="F105"/>
  <c r="H105" s="1"/>
  <c r="H81"/>
  <c r="H38"/>
  <c r="H45"/>
  <c r="H37"/>
  <c r="H68"/>
  <c r="H132"/>
  <c r="H92"/>
  <c r="H47"/>
  <c r="H50"/>
  <c r="H19"/>
  <c r="H10"/>
  <c r="H21"/>
  <c r="H126"/>
  <c r="H93"/>
  <c r="H128"/>
  <c r="H43"/>
  <c r="H95"/>
  <c r="H24"/>
  <c r="H33"/>
  <c r="H67"/>
  <c r="H71"/>
  <c r="H111"/>
  <c r="H82"/>
  <c r="H39"/>
  <c r="H8"/>
  <c r="H35"/>
  <c r="H16"/>
  <c r="H34"/>
  <c r="H15"/>
  <c r="H90"/>
  <c r="H125"/>
  <c r="H130"/>
  <c r="H44"/>
  <c r="D104"/>
  <c r="D132" i="36"/>
  <c r="D137" s="1"/>
  <c r="D75" i="37"/>
  <c r="F60" i="36"/>
  <c r="H60" s="1"/>
  <c r="C61" i="34"/>
  <c r="C132"/>
  <c r="C137" s="1"/>
  <c r="H103" i="37"/>
  <c r="H117"/>
  <c r="E124"/>
  <c r="H76"/>
  <c r="C124"/>
  <c r="G124"/>
  <c r="C104"/>
  <c r="C99"/>
  <c r="E104" i="36"/>
  <c r="F99"/>
  <c r="H99" s="1"/>
  <c r="G132"/>
  <c r="G137" s="1"/>
  <c r="C132" i="35"/>
  <c r="F75" i="37"/>
  <c r="H75" s="1"/>
  <c r="H12"/>
  <c r="H12" i="34"/>
  <c r="E104"/>
  <c r="F119" i="37"/>
  <c r="G20"/>
  <c r="F86"/>
  <c r="G104"/>
  <c r="F83"/>
  <c r="G113"/>
  <c r="H122" i="34"/>
  <c r="F137" i="37"/>
  <c r="H99" i="35"/>
  <c r="D132"/>
  <c r="H30"/>
  <c r="F30" i="37"/>
  <c r="H56" i="35"/>
  <c r="F56" i="37"/>
  <c r="H70" i="35"/>
  <c r="H86"/>
  <c r="D60" i="37"/>
  <c r="H75" i="35"/>
  <c r="H131"/>
  <c r="F133" i="37"/>
  <c r="H48" i="35"/>
  <c r="F48" i="37"/>
  <c r="C60" i="35"/>
  <c r="C60" i="37" s="1"/>
  <c r="C59"/>
  <c r="C54" i="35"/>
  <c r="C20" i="37"/>
  <c r="H74" i="35"/>
  <c r="E36" i="37"/>
  <c r="E32"/>
  <c r="C36" i="35"/>
  <c r="C36" i="37" s="1"/>
  <c r="C32"/>
  <c r="H13" i="35"/>
  <c r="F13" i="37"/>
  <c r="H25" i="35"/>
  <c r="F25" i="37"/>
  <c r="E53"/>
  <c r="H32" i="35"/>
  <c r="F32" i="37"/>
  <c r="H114" i="35"/>
  <c r="F116" i="37"/>
  <c r="E104" i="35"/>
  <c r="F104" s="1"/>
  <c r="E99" i="37"/>
  <c r="H111" i="35"/>
  <c r="F113" i="37"/>
  <c r="D36"/>
  <c r="H96" i="35"/>
  <c r="F96" i="37"/>
  <c r="F20" i="35"/>
  <c r="F122"/>
  <c r="H59"/>
  <c r="F59" i="37"/>
  <c r="G132" i="35"/>
  <c r="H49"/>
  <c r="F49" i="37"/>
  <c r="H22" i="35"/>
  <c r="F22" i="37"/>
  <c r="F136" i="35"/>
  <c r="H74" i="37"/>
  <c r="H46" i="35"/>
  <c r="F46" i="37"/>
  <c r="H28" i="35"/>
  <c r="F28" i="37"/>
  <c r="G132" i="34"/>
  <c r="H20"/>
  <c r="D137"/>
  <c r="D137" i="35"/>
  <c r="H75" i="36"/>
  <c r="E31" i="30"/>
  <c r="D61" i="34" l="1"/>
  <c r="F61" s="1"/>
  <c r="F54"/>
  <c r="D54" i="35"/>
  <c r="F36" i="36"/>
  <c r="H36" s="1"/>
  <c r="D54"/>
  <c r="C134" i="37"/>
  <c r="E132" i="35"/>
  <c r="F132" s="1"/>
  <c r="H28" i="37"/>
  <c r="H137"/>
  <c r="H116"/>
  <c r="H56"/>
  <c r="H59"/>
  <c r="H96"/>
  <c r="H25"/>
  <c r="H133"/>
  <c r="H83"/>
  <c r="H119"/>
  <c r="H49"/>
  <c r="H13"/>
  <c r="H48"/>
  <c r="H86"/>
  <c r="H32"/>
  <c r="H30"/>
  <c r="H22"/>
  <c r="H46"/>
  <c r="D134"/>
  <c r="H113"/>
  <c r="F99"/>
  <c r="F104" i="36"/>
  <c r="H104" s="1"/>
  <c r="E132"/>
  <c r="C137" i="35"/>
  <c r="C139" i="37" s="1"/>
  <c r="E132" i="34"/>
  <c r="F104"/>
  <c r="H104" s="1"/>
  <c r="G134" i="37"/>
  <c r="E104"/>
  <c r="D139"/>
  <c r="H104" i="35"/>
  <c r="H20"/>
  <c r="F20" i="37"/>
  <c r="C61" i="35"/>
  <c r="C61" i="37" s="1"/>
  <c r="C54"/>
  <c r="H60" i="35"/>
  <c r="F60" i="37"/>
  <c r="E61"/>
  <c r="E54"/>
  <c r="H36" i="35"/>
  <c r="F36" i="37"/>
  <c r="G137" i="35"/>
  <c r="F138" i="37"/>
  <c r="H136" i="35"/>
  <c r="F124" i="37"/>
  <c r="H122" i="35"/>
  <c r="H53"/>
  <c r="F53" i="37"/>
  <c r="G137" i="34"/>
  <c r="H54"/>
  <c r="H61"/>
  <c r="F54" i="35" l="1"/>
  <c r="D61"/>
  <c r="F61" s="1"/>
  <c r="F54" i="36"/>
  <c r="H54" s="1"/>
  <c r="D54" i="37"/>
  <c r="D61" i="36"/>
  <c r="F61" s="1"/>
  <c r="H61" s="1"/>
  <c r="E137" i="35"/>
  <c r="F137" s="1"/>
  <c r="H60" i="37"/>
  <c r="H138"/>
  <c r="H124"/>
  <c r="H53"/>
  <c r="H36"/>
  <c r="H99"/>
  <c r="H20"/>
  <c r="E134"/>
  <c r="F132" i="36"/>
  <c r="H132" s="1"/>
  <c r="E137"/>
  <c r="F137" s="1"/>
  <c r="H137" s="1"/>
  <c r="G139" i="37"/>
  <c r="F104"/>
  <c r="E137" i="34"/>
  <c r="F137" s="1"/>
  <c r="H137" s="1"/>
  <c r="F132"/>
  <c r="H132" s="1"/>
  <c r="H54" i="35"/>
  <c r="F54" i="37"/>
  <c r="H132" i="35"/>
  <c r="H61"/>
  <c r="F61" i="37" l="1"/>
  <c r="D61"/>
  <c r="H104"/>
  <c r="H61"/>
  <c r="H54"/>
  <c r="F134"/>
  <c r="E139"/>
  <c r="F139"/>
  <c r="H137" i="35"/>
  <c r="D7" i="26"/>
  <c r="D7" i="38" s="1"/>
  <c r="H134" i="37" l="1"/>
  <c r="H139"/>
  <c r="F67" i="2"/>
  <c r="F67" i="4"/>
  <c r="F69" i="19"/>
  <c r="F70" i="26" s="1"/>
  <c r="F70" i="38" s="1"/>
  <c r="C70" i="26"/>
  <c r="D70"/>
  <c r="D70" i="38" s="1"/>
  <c r="E70" i="26"/>
  <c r="E70" i="38" s="1"/>
  <c r="G70" i="26"/>
  <c r="G70" i="38" s="1"/>
  <c r="C66" i="39" l="1"/>
  <c r="C70" i="38" s="1"/>
  <c r="D101" i="23"/>
  <c r="E101"/>
  <c r="G101"/>
  <c r="C101"/>
  <c r="D101" i="22"/>
  <c r="E101"/>
  <c r="G101"/>
  <c r="C101"/>
  <c r="D101" i="21"/>
  <c r="E101"/>
  <c r="G101"/>
  <c r="C101"/>
  <c r="D101" i="20"/>
  <c r="E101"/>
  <c r="G101"/>
  <c r="C101"/>
  <c r="D101" i="3"/>
  <c r="E101"/>
  <c r="G101"/>
  <c r="C101"/>
  <c r="D101" i="2"/>
  <c r="E101"/>
  <c r="G101"/>
  <c r="C101"/>
  <c r="D101" i="4"/>
  <c r="E101"/>
  <c r="G101"/>
  <c r="C101"/>
  <c r="D101" i="28"/>
  <c r="E101"/>
  <c r="G101"/>
  <c r="C101"/>
  <c r="D101" i="5"/>
  <c r="E101"/>
  <c r="G101"/>
  <c r="C101"/>
  <c r="D101" i="6"/>
  <c r="E101"/>
  <c r="G101"/>
  <c r="C101"/>
  <c r="D101" i="7"/>
  <c r="E101"/>
  <c r="G101"/>
  <c r="C101"/>
  <c r="D101" i="8"/>
  <c r="E101"/>
  <c r="G101"/>
  <c r="C101"/>
  <c r="D101" i="9"/>
  <c r="E101"/>
  <c r="G101"/>
  <c r="C101"/>
  <c r="D101" i="10"/>
  <c r="E101"/>
  <c r="G101"/>
  <c r="C101"/>
  <c r="D101" i="11"/>
  <c r="E101"/>
  <c r="G101"/>
  <c r="C101"/>
  <c r="D101" i="12"/>
  <c r="E101"/>
  <c r="G101"/>
  <c r="C101"/>
  <c r="D102" i="13"/>
  <c r="E102"/>
  <c r="G102"/>
  <c r="C102"/>
  <c r="D101" i="14"/>
  <c r="E101"/>
  <c r="G101"/>
  <c r="C101"/>
  <c r="D101" i="15"/>
  <c r="E101"/>
  <c r="G101"/>
  <c r="C101"/>
  <c r="D101" i="16"/>
  <c r="E101"/>
  <c r="G101"/>
  <c r="C101"/>
  <c r="D101" i="27"/>
  <c r="E101"/>
  <c r="G101"/>
  <c r="C101"/>
  <c r="D101" i="17"/>
  <c r="E101"/>
  <c r="G101"/>
  <c r="C101"/>
  <c r="D101" i="18"/>
  <c r="E101"/>
  <c r="G101"/>
  <c r="C101"/>
  <c r="D102" i="24"/>
  <c r="E102"/>
  <c r="G102"/>
  <c r="C102"/>
  <c r="C102" i="26"/>
  <c r="C102" i="38" s="1"/>
  <c r="D102" i="26"/>
  <c r="D102" i="38" s="1"/>
  <c r="E102" i="26"/>
  <c r="G102"/>
  <c r="C103"/>
  <c r="C103" i="38" s="1"/>
  <c r="D103" i="26"/>
  <c r="D103" i="38" s="1"/>
  <c r="E103" i="26"/>
  <c r="G103"/>
  <c r="D103" i="19"/>
  <c r="E103"/>
  <c r="G103"/>
  <c r="C103"/>
  <c r="C71" i="26"/>
  <c r="C71" i="38" s="1"/>
  <c r="D71" i="26"/>
  <c r="D71" i="38" s="1"/>
  <c r="E71" i="26"/>
  <c r="G71"/>
  <c r="C72"/>
  <c r="C72" i="38" s="1"/>
  <c r="D72" i="26"/>
  <c r="D72" i="38" s="1"/>
  <c r="E72" i="26"/>
  <c r="G72"/>
  <c r="C73"/>
  <c r="C73" i="38" s="1"/>
  <c r="D73" i="26"/>
  <c r="D73" i="38" s="1"/>
  <c r="E73" i="26"/>
  <c r="G73"/>
  <c r="C74"/>
  <c r="C74" i="38" s="1"/>
  <c r="D74" i="26"/>
  <c r="D74" i="38" s="1"/>
  <c r="E74" i="26"/>
  <c r="G74"/>
  <c r="C76"/>
  <c r="C76" i="38" s="1"/>
  <c r="D76" i="26"/>
  <c r="D76" i="38" s="1"/>
  <c r="E76" i="26"/>
  <c r="G76"/>
  <c r="C77"/>
  <c r="C77" i="38" s="1"/>
  <c r="D77" i="26"/>
  <c r="D77" i="38" s="1"/>
  <c r="E77" i="26"/>
  <c r="G77"/>
  <c r="C78"/>
  <c r="C78" i="38" s="1"/>
  <c r="D78" i="26"/>
  <c r="D78" i="38" s="1"/>
  <c r="E78" i="26"/>
  <c r="G78"/>
  <c r="C82"/>
  <c r="C82" i="38" s="1"/>
  <c r="D82" i="26"/>
  <c r="D82" i="38" s="1"/>
  <c r="E82" i="26"/>
  <c r="G82"/>
  <c r="C83"/>
  <c r="C83" i="38" s="1"/>
  <c r="D83" i="26"/>
  <c r="D83" i="38" s="1"/>
  <c r="E83" i="26"/>
  <c r="G83"/>
  <c r="C84"/>
  <c r="C84" i="38" s="1"/>
  <c r="D84" i="26"/>
  <c r="D84" i="38" s="1"/>
  <c r="E84" i="26"/>
  <c r="G84"/>
  <c r="C85"/>
  <c r="C85" i="38" s="1"/>
  <c r="D85" i="26"/>
  <c r="D85" i="38" s="1"/>
  <c r="E85" i="26"/>
  <c r="G85"/>
  <c r="C86"/>
  <c r="C86" i="38" s="1"/>
  <c r="D86" i="26"/>
  <c r="D86" i="38" s="1"/>
  <c r="E86" i="26"/>
  <c r="G86"/>
  <c r="C87"/>
  <c r="C87" i="38" s="1"/>
  <c r="D87" i="26"/>
  <c r="D87" i="38" s="1"/>
  <c r="E87" i="26"/>
  <c r="G87"/>
  <c r="C89"/>
  <c r="C89" i="38" s="1"/>
  <c r="D89" i="26"/>
  <c r="D89" i="38" s="1"/>
  <c r="E89" i="26"/>
  <c r="G89"/>
  <c r="C90"/>
  <c r="C90" i="38" s="1"/>
  <c r="D90" i="26"/>
  <c r="D90" i="38" s="1"/>
  <c r="E90" i="26"/>
  <c r="G90"/>
  <c r="C92"/>
  <c r="C92" i="38" s="1"/>
  <c r="D92" i="26"/>
  <c r="D92" i="38" s="1"/>
  <c r="E92" i="26"/>
  <c r="G92"/>
  <c r="C93"/>
  <c r="C93" i="38" s="1"/>
  <c r="D93" i="26"/>
  <c r="D93" i="38" s="1"/>
  <c r="E93" i="26"/>
  <c r="G93"/>
  <c r="C94"/>
  <c r="C94" i="38" s="1"/>
  <c r="D94" i="26"/>
  <c r="D94" i="38" s="1"/>
  <c r="F94" i="26"/>
  <c r="G94"/>
  <c r="C95"/>
  <c r="C95" i="38" s="1"/>
  <c r="D95" i="26"/>
  <c r="D95" i="38" s="1"/>
  <c r="E95" i="26"/>
  <c r="G95"/>
  <c r="C96"/>
  <c r="C96" i="38" s="1"/>
  <c r="D96" i="26"/>
  <c r="D96" i="38" s="1"/>
  <c r="E96" i="26"/>
  <c r="G96"/>
  <c r="C97"/>
  <c r="C97" i="38" s="1"/>
  <c r="D97" i="26"/>
  <c r="D97" i="38" s="1"/>
  <c r="E97" i="26"/>
  <c r="G97"/>
  <c r="C98"/>
  <c r="C98" i="38" s="1"/>
  <c r="D98" i="26"/>
  <c r="D98" i="38" s="1"/>
  <c r="G98" i="26"/>
  <c r="D99"/>
  <c r="D99" i="38" s="1"/>
  <c r="E99" i="26"/>
  <c r="G99"/>
  <c r="C100"/>
  <c r="C100" i="38" s="1"/>
  <c r="D100" i="26"/>
  <c r="D100" i="38" s="1"/>
  <c r="E100" i="26"/>
  <c r="G100"/>
  <c r="C105" i="38"/>
  <c r="D105"/>
  <c r="C108" i="26"/>
  <c r="C107" i="38" s="1"/>
  <c r="D108" i="26"/>
  <c r="D107" i="38" s="1"/>
  <c r="E108" i="26"/>
  <c r="G108"/>
  <c r="C112"/>
  <c r="C111" i="38" s="1"/>
  <c r="D112" i="26"/>
  <c r="D111" i="38" s="1"/>
  <c r="E112" i="26"/>
  <c r="G112"/>
  <c r="C116"/>
  <c r="C115" i="38" s="1"/>
  <c r="D116" i="26"/>
  <c r="D115" i="38" s="1"/>
  <c r="E116" i="26"/>
  <c r="G116"/>
  <c r="C117"/>
  <c r="C116" i="38" s="1"/>
  <c r="D117" i="26"/>
  <c r="D116" i="38" s="1"/>
  <c r="E117" i="26"/>
  <c r="G117"/>
  <c r="C118"/>
  <c r="C117" i="38" s="1"/>
  <c r="D118" i="26"/>
  <c r="D117" i="38" s="1"/>
  <c r="E118" i="26"/>
  <c r="G118"/>
  <c r="C120"/>
  <c r="C119" i="38" s="1"/>
  <c r="D120" i="26"/>
  <c r="D119" i="38" s="1"/>
  <c r="E120" i="26"/>
  <c r="E119" i="38" s="1"/>
  <c r="G120" i="26"/>
  <c r="C121"/>
  <c r="C120" i="38" s="1"/>
  <c r="D121" i="26"/>
  <c r="D120" i="38" s="1"/>
  <c r="E121" i="26"/>
  <c r="E120" i="38" s="1"/>
  <c r="G121" i="26"/>
  <c r="C124"/>
  <c r="C123" i="38" s="1"/>
  <c r="D124" i="26"/>
  <c r="D123" i="38" s="1"/>
  <c r="E124" i="26"/>
  <c r="E123" i="38" s="1"/>
  <c r="G124" i="26"/>
  <c r="C126"/>
  <c r="C125" i="38" s="1"/>
  <c r="D126" i="26"/>
  <c r="D125" i="38" s="1"/>
  <c r="E126" i="26"/>
  <c r="E125" i="38" s="1"/>
  <c r="G126" i="26"/>
  <c r="C127"/>
  <c r="C126" i="38" s="1"/>
  <c r="D127" i="26"/>
  <c r="D126" i="38" s="1"/>
  <c r="E127" i="26"/>
  <c r="E126" i="38" s="1"/>
  <c r="G127" i="26"/>
  <c r="C128"/>
  <c r="C127" i="38" s="1"/>
  <c r="D128" i="26"/>
  <c r="D127" i="38" s="1"/>
  <c r="E128" i="26"/>
  <c r="E127" i="38" s="1"/>
  <c r="G128" i="26"/>
  <c r="C129"/>
  <c r="C128" i="38" s="1"/>
  <c r="D129" i="26"/>
  <c r="D128" i="38" s="1"/>
  <c r="G12" i="29" s="1"/>
  <c r="E129" i="26"/>
  <c r="E128" i="38" s="1"/>
  <c r="H12" i="29" s="1"/>
  <c r="G129" i="26"/>
  <c r="C132"/>
  <c r="C131" i="38" s="1"/>
  <c r="D132" i="26"/>
  <c r="D131" i="38" s="1"/>
  <c r="E132" i="26"/>
  <c r="E131" i="38" s="1"/>
  <c r="G132" i="26"/>
  <c r="C133"/>
  <c r="C132" i="38" s="1"/>
  <c r="D133" i="26"/>
  <c r="D132" i="38" s="1"/>
  <c r="E133" i="26"/>
  <c r="E132" i="38" s="1"/>
  <c r="G133" i="26"/>
  <c r="C134"/>
  <c r="C133" i="38" s="1"/>
  <c r="D134" i="26"/>
  <c r="D133" i="38" s="1"/>
  <c r="E134" i="26"/>
  <c r="E133" i="38" s="1"/>
  <c r="G134" i="26"/>
  <c r="C135"/>
  <c r="C134" i="38" s="1"/>
  <c r="D135" i="26"/>
  <c r="D134" i="38" s="1"/>
  <c r="E135" i="26"/>
  <c r="G135"/>
  <c r="C137"/>
  <c r="C136" i="38" s="1"/>
  <c r="D137" i="26"/>
  <c r="D136" i="38" s="1"/>
  <c r="E137" i="26"/>
  <c r="G137"/>
  <c r="C138"/>
  <c r="C137" i="38" s="1"/>
  <c r="D138" i="26"/>
  <c r="D137" i="38" s="1"/>
  <c r="E138" i="26"/>
  <c r="G138"/>
  <c r="C139"/>
  <c r="C138" i="38" s="1"/>
  <c r="D139" i="26"/>
  <c r="D138" i="38" s="1"/>
  <c r="E139" i="26"/>
  <c r="G139"/>
  <c r="C143"/>
  <c r="C142" i="38" s="1"/>
  <c r="D143" i="26"/>
  <c r="D142" i="38" s="1"/>
  <c r="G25" i="29" s="1"/>
  <c r="E143" i="26"/>
  <c r="G143"/>
  <c r="C144"/>
  <c r="C143" i="38" s="1"/>
  <c r="D144" i="26"/>
  <c r="D143" i="38" s="1"/>
  <c r="G24" i="29" s="1"/>
  <c r="G30" s="1"/>
  <c r="E144" i="26"/>
  <c r="G144"/>
  <c r="D69"/>
  <c r="D68" i="38" s="1"/>
  <c r="E69" i="26"/>
  <c r="G69"/>
  <c r="C69"/>
  <c r="C68" i="38" s="1"/>
  <c r="C7" i="26"/>
  <c r="C7" i="38" s="1"/>
  <c r="E7" i="26"/>
  <c r="G7"/>
  <c r="G7" i="38" s="1"/>
  <c r="C8" i="26"/>
  <c r="C8" i="38" s="1"/>
  <c r="D8" i="26"/>
  <c r="D8" i="38" s="1"/>
  <c r="E8" i="26"/>
  <c r="G8"/>
  <c r="G8" i="38" s="1"/>
  <c r="C9" i="26"/>
  <c r="C9" i="38" s="1"/>
  <c r="D9" i="26"/>
  <c r="D9" i="38" s="1"/>
  <c r="E9" i="26"/>
  <c r="G9"/>
  <c r="G9" i="38" s="1"/>
  <c r="C10" i="26"/>
  <c r="C10" i="38" s="1"/>
  <c r="D10" i="26"/>
  <c r="D10" i="38" s="1"/>
  <c r="E10" i="26"/>
  <c r="G10"/>
  <c r="G10" i="38" s="1"/>
  <c r="C11" i="26"/>
  <c r="C11" i="38" s="1"/>
  <c r="D11" i="26"/>
  <c r="E11"/>
  <c r="G11"/>
  <c r="G11" i="38" s="1"/>
  <c r="C14" i="26"/>
  <c r="C14" i="38" s="1"/>
  <c r="D14" i="26"/>
  <c r="E14"/>
  <c r="G14"/>
  <c r="G14" i="38" s="1"/>
  <c r="C15" i="26"/>
  <c r="C15" i="38" s="1"/>
  <c r="D15" i="26"/>
  <c r="E15"/>
  <c r="G15"/>
  <c r="G15" i="38" s="1"/>
  <c r="C16" i="26"/>
  <c r="C16" i="38" s="1"/>
  <c r="D16" i="26"/>
  <c r="D16" i="38" s="1"/>
  <c r="E16" i="26"/>
  <c r="G16"/>
  <c r="G16" i="38" s="1"/>
  <c r="C17" i="26"/>
  <c r="C17" i="38" s="1"/>
  <c r="D17" i="26"/>
  <c r="D17" i="38" s="1"/>
  <c r="E17" i="26"/>
  <c r="G17"/>
  <c r="G17" i="38" s="1"/>
  <c r="C18" i="26"/>
  <c r="C18" i="38" s="1"/>
  <c r="D18" i="26"/>
  <c r="D18" i="38" s="1"/>
  <c r="E18" i="26"/>
  <c r="G18"/>
  <c r="G18" i="38" s="1"/>
  <c r="C19" i="26"/>
  <c r="C19" i="38" s="1"/>
  <c r="D19" i="26"/>
  <c r="E19"/>
  <c r="G19"/>
  <c r="C21"/>
  <c r="C21" i="38" s="1"/>
  <c r="D21" i="26"/>
  <c r="E21"/>
  <c r="G21"/>
  <c r="G21" i="38" s="1"/>
  <c r="C23" i="26"/>
  <c r="C23" i="38" s="1"/>
  <c r="D23" i="26"/>
  <c r="E23"/>
  <c r="G23"/>
  <c r="G23" i="38" s="1"/>
  <c r="C24" i="26"/>
  <c r="C24" i="38" s="1"/>
  <c r="D24" i="26"/>
  <c r="E24"/>
  <c r="G24"/>
  <c r="G24" i="38" s="1"/>
  <c r="C27" i="26"/>
  <c r="C27" i="38" s="1"/>
  <c r="D27" i="26"/>
  <c r="D27" i="38" s="1"/>
  <c r="E27" i="26"/>
  <c r="G27"/>
  <c r="G27" i="38" s="1"/>
  <c r="C29" i="26"/>
  <c r="C29" i="38" s="1"/>
  <c r="D29" i="26"/>
  <c r="D29" i="38" s="1"/>
  <c r="E29" i="26"/>
  <c r="G29"/>
  <c r="G29" i="38" s="1"/>
  <c r="C31" i="26"/>
  <c r="C31" i="38" s="1"/>
  <c r="D31" i="26"/>
  <c r="D31" i="38" s="1"/>
  <c r="E31" i="26"/>
  <c r="G31"/>
  <c r="G31" i="38" s="1"/>
  <c r="C35" i="26"/>
  <c r="C35" i="38" s="1"/>
  <c r="D35" i="26"/>
  <c r="D35" i="38" s="1"/>
  <c r="E35" i="26"/>
  <c r="G35"/>
  <c r="C36"/>
  <c r="C36" i="38" s="1"/>
  <c r="D36" i="26"/>
  <c r="D36" i="38" s="1"/>
  <c r="E36" i="26"/>
  <c r="G36"/>
  <c r="C38"/>
  <c r="C38" i="38" s="1"/>
  <c r="D38" i="26"/>
  <c r="D38" i="38" s="1"/>
  <c r="E38" i="26"/>
  <c r="G38"/>
  <c r="C39"/>
  <c r="C39" i="38" s="1"/>
  <c r="D39" i="26"/>
  <c r="D39" i="38" s="1"/>
  <c r="E39" i="26"/>
  <c r="G39"/>
  <c r="C40"/>
  <c r="C40" i="38" s="1"/>
  <c r="D40" i="26"/>
  <c r="D40" i="38" s="1"/>
  <c r="E40" i="26"/>
  <c r="G40"/>
  <c r="C41"/>
  <c r="C41" i="38" s="1"/>
  <c r="D41" i="26"/>
  <c r="D41" i="38" s="1"/>
  <c r="E41" i="26"/>
  <c r="G41"/>
  <c r="C42"/>
  <c r="C42" i="38" s="1"/>
  <c r="D42" i="26"/>
  <c r="D42" i="38" s="1"/>
  <c r="E42" i="26"/>
  <c r="G42"/>
  <c r="C43"/>
  <c r="C43" i="38" s="1"/>
  <c r="D43" i="26"/>
  <c r="D43" i="38" s="1"/>
  <c r="E43" i="26"/>
  <c r="G43"/>
  <c r="C45"/>
  <c r="C44" i="38" s="1"/>
  <c r="D45" i="26"/>
  <c r="D44" i="38" s="1"/>
  <c r="E45" i="26"/>
  <c r="G45"/>
  <c r="C47"/>
  <c r="C46" i="38" s="1"/>
  <c r="D47" i="26"/>
  <c r="D46" i="38" s="1"/>
  <c r="E47" i="26"/>
  <c r="G47"/>
  <c r="C49"/>
  <c r="C48" i="38" s="1"/>
  <c r="D49" i="26"/>
  <c r="D48" i="38" s="1"/>
  <c r="E49" i="26"/>
  <c r="G49"/>
  <c r="C54"/>
  <c r="C53" i="38" s="1"/>
  <c r="D54" i="26"/>
  <c r="E54"/>
  <c r="G54"/>
  <c r="C55"/>
  <c r="C54" i="38" s="1"/>
  <c r="D55" i="26"/>
  <c r="D54" i="38" s="1"/>
  <c r="E55" i="26"/>
  <c r="G55"/>
  <c r="C56"/>
  <c r="C55" i="38" s="1"/>
  <c r="D56" i="26"/>
  <c r="D55" i="38" s="1"/>
  <c r="E56" i="26"/>
  <c r="G56"/>
  <c r="C60"/>
  <c r="C59" i="38" s="1"/>
  <c r="D59"/>
  <c r="G60" i="26"/>
  <c r="C62"/>
  <c r="C61" i="38" s="1"/>
  <c r="D62" i="26"/>
  <c r="D61" i="38" s="1"/>
  <c r="C23" i="29" s="1"/>
  <c r="E62" i="26"/>
  <c r="G62"/>
  <c r="D6"/>
  <c r="D6" i="38" s="1"/>
  <c r="E6" i="26"/>
  <c r="G6"/>
  <c r="G6" i="38" s="1"/>
  <c r="C6" i="26"/>
  <c r="C6" i="38" s="1"/>
  <c r="G138" i="28"/>
  <c r="E138"/>
  <c r="E139" s="1"/>
  <c r="D138"/>
  <c r="D139" s="1"/>
  <c r="C138"/>
  <c r="C139" s="1"/>
  <c r="F137"/>
  <c r="H137" s="1"/>
  <c r="F136"/>
  <c r="H136" s="1"/>
  <c r="G134"/>
  <c r="E134"/>
  <c r="D134"/>
  <c r="F134" s="1"/>
  <c r="C134"/>
  <c r="F133"/>
  <c r="H133" s="1"/>
  <c r="F132"/>
  <c r="H132" s="1"/>
  <c r="F131"/>
  <c r="H131" s="1"/>
  <c r="F129"/>
  <c r="H129" s="1"/>
  <c r="F128"/>
  <c r="H128" s="1"/>
  <c r="F127"/>
  <c r="H127" s="1"/>
  <c r="F126"/>
  <c r="F123"/>
  <c r="F122"/>
  <c r="H122" s="1"/>
  <c r="F121"/>
  <c r="H121" s="1"/>
  <c r="F120"/>
  <c r="H120" s="1"/>
  <c r="G119"/>
  <c r="E119"/>
  <c r="D119"/>
  <c r="F119" s="1"/>
  <c r="C119"/>
  <c r="F118"/>
  <c r="H118" s="1"/>
  <c r="G117"/>
  <c r="E117"/>
  <c r="D117"/>
  <c r="F117" s="1"/>
  <c r="C117"/>
  <c r="G116"/>
  <c r="E116"/>
  <c r="E124" s="1"/>
  <c r="D116"/>
  <c r="C116"/>
  <c r="F115"/>
  <c r="H115" s="1"/>
  <c r="F114"/>
  <c r="H114" s="1"/>
  <c r="F112"/>
  <c r="H112" s="1"/>
  <c r="F111"/>
  <c r="H111" s="1"/>
  <c r="F110"/>
  <c r="H110" s="1"/>
  <c r="G109"/>
  <c r="E109"/>
  <c r="D109"/>
  <c r="F109" s="1"/>
  <c r="C109"/>
  <c r="F108"/>
  <c r="H108" s="1"/>
  <c r="G107"/>
  <c r="G113" s="1"/>
  <c r="E107"/>
  <c r="E113" s="1"/>
  <c r="D107"/>
  <c r="D113" s="1"/>
  <c r="F113" s="1"/>
  <c r="C107"/>
  <c r="C113" s="1"/>
  <c r="G105"/>
  <c r="E105"/>
  <c r="D105"/>
  <c r="F105" s="1"/>
  <c r="C105"/>
  <c r="F104"/>
  <c r="H104" s="1"/>
  <c r="F102"/>
  <c r="H102" s="1"/>
  <c r="F100"/>
  <c r="H100" s="1"/>
  <c r="G98"/>
  <c r="E98"/>
  <c r="D98"/>
  <c r="C98"/>
  <c r="F97"/>
  <c r="H97" s="1"/>
  <c r="F96"/>
  <c r="H96" s="1"/>
  <c r="F95"/>
  <c r="H95" s="1"/>
  <c r="F94"/>
  <c r="H94" s="1"/>
  <c r="F93"/>
  <c r="H93" s="1"/>
  <c r="F92"/>
  <c r="H92" s="1"/>
  <c r="F90"/>
  <c r="F89"/>
  <c r="H89" s="1"/>
  <c r="G88"/>
  <c r="E88"/>
  <c r="D88"/>
  <c r="C88"/>
  <c r="F87"/>
  <c r="H87" s="1"/>
  <c r="F86"/>
  <c r="H86" s="1"/>
  <c r="G85"/>
  <c r="E85"/>
  <c r="D85"/>
  <c r="C85"/>
  <c r="F84"/>
  <c r="H84" s="1"/>
  <c r="F83"/>
  <c r="H83" s="1"/>
  <c r="F82"/>
  <c r="H82" s="1"/>
  <c r="F81"/>
  <c r="H81" s="1"/>
  <c r="F80"/>
  <c r="H80" s="1"/>
  <c r="F79"/>
  <c r="H79" s="1"/>
  <c r="G78"/>
  <c r="E78"/>
  <c r="D78"/>
  <c r="F78" s="1"/>
  <c r="C78"/>
  <c r="G76"/>
  <c r="E76"/>
  <c r="D76"/>
  <c r="F76" s="1"/>
  <c r="C76"/>
  <c r="F75"/>
  <c r="H75" s="1"/>
  <c r="F74"/>
  <c r="H74" s="1"/>
  <c r="F73"/>
  <c r="H73" s="1"/>
  <c r="G72"/>
  <c r="G77" s="1"/>
  <c r="E72"/>
  <c r="E77" s="1"/>
  <c r="D72"/>
  <c r="F72" s="1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D62" s="1"/>
  <c r="C58"/>
  <c r="F57"/>
  <c r="H57" s="1"/>
  <c r="F54"/>
  <c r="H54" s="1"/>
  <c r="F53"/>
  <c r="H53" s="1"/>
  <c r="F52"/>
  <c r="H52" s="1"/>
  <c r="G51"/>
  <c r="G55" s="1"/>
  <c r="E51"/>
  <c r="E55" s="1"/>
  <c r="D51"/>
  <c r="C51"/>
  <c r="C55" s="1"/>
  <c r="G48"/>
  <c r="E48"/>
  <c r="D48"/>
  <c r="F48" s="1"/>
  <c r="C48"/>
  <c r="F47"/>
  <c r="H47" s="1"/>
  <c r="F45"/>
  <c r="H45" s="1"/>
  <c r="G44"/>
  <c r="G46" s="1"/>
  <c r="E44"/>
  <c r="E46" s="1"/>
  <c r="D44"/>
  <c r="D46" s="1"/>
  <c r="F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F33" s="1"/>
  <c r="H33" s="1"/>
  <c r="C33"/>
  <c r="F31"/>
  <c r="H31" s="1"/>
  <c r="G30"/>
  <c r="F30"/>
  <c r="E30"/>
  <c r="D30"/>
  <c r="C30"/>
  <c r="F29"/>
  <c r="H29" s="1"/>
  <c r="G28"/>
  <c r="E28"/>
  <c r="E32" s="1"/>
  <c r="D28"/>
  <c r="D32" s="1"/>
  <c r="F32" s="1"/>
  <c r="C28"/>
  <c r="F27"/>
  <c r="H27" s="1"/>
  <c r="G26"/>
  <c r="F26"/>
  <c r="E26"/>
  <c r="D26"/>
  <c r="C26"/>
  <c r="G25"/>
  <c r="E25"/>
  <c r="E36" s="1"/>
  <c r="D25"/>
  <c r="C25"/>
  <c r="F24"/>
  <c r="H24" s="1"/>
  <c r="F23"/>
  <c r="H23" s="1"/>
  <c r="G22"/>
  <c r="E22"/>
  <c r="D22"/>
  <c r="F22" s="1"/>
  <c r="C22"/>
  <c r="F21"/>
  <c r="H21" s="1"/>
  <c r="H19"/>
  <c r="F19"/>
  <c r="F18"/>
  <c r="H18" s="1"/>
  <c r="F17"/>
  <c r="H17" s="1"/>
  <c r="F16"/>
  <c r="H16" s="1"/>
  <c r="F15"/>
  <c r="H15" s="1"/>
  <c r="F14"/>
  <c r="H14" s="1"/>
  <c r="G13"/>
  <c r="E13"/>
  <c r="D13"/>
  <c r="C13"/>
  <c r="G12"/>
  <c r="G20" s="1"/>
  <c r="E12"/>
  <c r="D12"/>
  <c r="D20" s="1"/>
  <c r="C12"/>
  <c r="C20" s="1"/>
  <c r="F11"/>
  <c r="H11" s="1"/>
  <c r="F10"/>
  <c r="H10" s="1"/>
  <c r="F9"/>
  <c r="H9" s="1"/>
  <c r="F8"/>
  <c r="H8" s="1"/>
  <c r="F7"/>
  <c r="H7" s="1"/>
  <c r="F6"/>
  <c r="H6" s="1"/>
  <c r="F28" l="1"/>
  <c r="E61"/>
  <c r="F61" s="1"/>
  <c r="H61" s="1"/>
  <c r="D77"/>
  <c r="F88"/>
  <c r="C32"/>
  <c r="F44"/>
  <c r="F58"/>
  <c r="F107"/>
  <c r="C124"/>
  <c r="G124"/>
  <c r="F139"/>
  <c r="C61"/>
  <c r="C62" s="1"/>
  <c r="F85"/>
  <c r="H85" s="1"/>
  <c r="F51"/>
  <c r="D55"/>
  <c r="H126"/>
  <c r="F130"/>
  <c r="D104" i="26"/>
  <c r="H51" i="28"/>
  <c r="F55"/>
  <c r="E106"/>
  <c r="E135" s="1"/>
  <c r="E140" s="1"/>
  <c r="G106"/>
  <c r="G135" s="1"/>
  <c r="I12" i="29"/>
  <c r="G104" i="26"/>
  <c r="C71" i="39"/>
  <c r="G61" i="38"/>
  <c r="G59"/>
  <c r="G48"/>
  <c r="D24" i="39"/>
  <c r="D24" i="38" s="1"/>
  <c r="D23" i="39"/>
  <c r="D23" i="38" s="1"/>
  <c r="D21" i="39"/>
  <c r="D21" i="38" s="1"/>
  <c r="G19" i="39"/>
  <c r="G13" s="1"/>
  <c r="D11"/>
  <c r="D11" i="38" s="1"/>
  <c r="G138"/>
  <c r="G131" i="39"/>
  <c r="G137" i="38" s="1"/>
  <c r="G136"/>
  <c r="G134"/>
  <c r="G125" i="39"/>
  <c r="G131" i="38" s="1"/>
  <c r="E105"/>
  <c r="G90"/>
  <c r="G89"/>
  <c r="E59"/>
  <c r="G55"/>
  <c r="G54"/>
  <c r="G53"/>
  <c r="E48"/>
  <c r="E19" i="39"/>
  <c r="E19" i="38" s="1"/>
  <c r="E18" i="39"/>
  <c r="E18" i="38" s="1"/>
  <c r="E17" i="39"/>
  <c r="E17" i="38" s="1"/>
  <c r="E16"/>
  <c r="E15" i="39"/>
  <c r="E15" i="38" s="1"/>
  <c r="E14"/>
  <c r="G141" i="39"/>
  <c r="G140"/>
  <c r="G143" i="38"/>
  <c r="G142"/>
  <c r="E131" i="39"/>
  <c r="E136" i="38"/>
  <c r="E134"/>
  <c r="G106" i="39"/>
  <c r="G111" i="38" s="1"/>
  <c r="G96" i="39"/>
  <c r="G100" i="38" s="1"/>
  <c r="G99"/>
  <c r="G98"/>
  <c r="G93" i="39"/>
  <c r="G97" i="38" s="1"/>
  <c r="G96"/>
  <c r="G95"/>
  <c r="G94"/>
  <c r="E86" i="39"/>
  <c r="E89" i="38"/>
  <c r="G74"/>
  <c r="G73"/>
  <c r="G72"/>
  <c r="G71"/>
  <c r="E102"/>
  <c r="E6" i="39"/>
  <c r="E6" i="38" s="1"/>
  <c r="E51" i="39"/>
  <c r="E53" i="38"/>
  <c r="G46"/>
  <c r="G44"/>
  <c r="G43"/>
  <c r="G42"/>
  <c r="G41"/>
  <c r="G40"/>
  <c r="G39"/>
  <c r="G38"/>
  <c r="G36"/>
  <c r="G35"/>
  <c r="D19" i="39"/>
  <c r="D19" i="38" s="1"/>
  <c r="D15" i="39"/>
  <c r="D15" i="38" s="1"/>
  <c r="D14" i="39"/>
  <c r="D14" i="38" s="1"/>
  <c r="G68"/>
  <c r="E141" i="39"/>
  <c r="E140"/>
  <c r="E136"/>
  <c r="E142" i="38"/>
  <c r="H25" i="29" s="1"/>
  <c r="I25" s="1"/>
  <c r="G117" i="38"/>
  <c r="G116"/>
  <c r="G115"/>
  <c r="E111"/>
  <c r="E96" i="39"/>
  <c r="E93"/>
  <c r="E92"/>
  <c r="G93" i="38"/>
  <c r="G92"/>
  <c r="G87"/>
  <c r="G86"/>
  <c r="G85"/>
  <c r="G84"/>
  <c r="G83"/>
  <c r="G82"/>
  <c r="G78"/>
  <c r="G77"/>
  <c r="G76"/>
  <c r="E70" i="39"/>
  <c r="E69"/>
  <c r="E68"/>
  <c r="E67"/>
  <c r="D50"/>
  <c r="E44" i="38"/>
  <c r="E42" i="39"/>
  <c r="E41"/>
  <c r="E40"/>
  <c r="E38"/>
  <c r="E37"/>
  <c r="E38" i="38" s="1"/>
  <c r="E34" i="39"/>
  <c r="E31" i="38"/>
  <c r="E29" i="39"/>
  <c r="E29" i="38" s="1"/>
  <c r="E27"/>
  <c r="E24" i="39"/>
  <c r="E24" i="38" s="1"/>
  <c r="E23" i="39"/>
  <c r="E23" i="38" s="1"/>
  <c r="E21" i="39"/>
  <c r="E21" i="38" s="1"/>
  <c r="E11"/>
  <c r="E10"/>
  <c r="E9" i="39"/>
  <c r="E9" i="38" s="1"/>
  <c r="E8" i="39"/>
  <c r="E8" i="38" s="1"/>
  <c r="E7" i="39"/>
  <c r="E7" i="38" s="1"/>
  <c r="E68"/>
  <c r="G123" i="39"/>
  <c r="G128" i="38" s="1"/>
  <c r="G121" i="39"/>
  <c r="G125" i="38"/>
  <c r="G123"/>
  <c r="G115" i="39"/>
  <c r="G114"/>
  <c r="G119" i="38" s="1"/>
  <c r="E112" i="39"/>
  <c r="E111"/>
  <c r="E110"/>
  <c r="G105" i="38"/>
  <c r="E89" i="39"/>
  <c r="E88"/>
  <c r="E92" i="38" s="1"/>
  <c r="E82" i="39"/>
  <c r="E82" i="38"/>
  <c r="E74" i="39"/>
  <c r="E72"/>
  <c r="E76" i="38" s="1"/>
  <c r="F101" i="28"/>
  <c r="H101" s="1"/>
  <c r="H88"/>
  <c r="F12"/>
  <c r="H12" s="1"/>
  <c r="E104" i="26"/>
  <c r="D104" i="38"/>
  <c r="C104" i="26"/>
  <c r="C104" i="38" s="1"/>
  <c r="H134" i="28"/>
  <c r="H30"/>
  <c r="F98"/>
  <c r="H98" s="1"/>
  <c r="H117"/>
  <c r="C106"/>
  <c r="C77"/>
  <c r="H22"/>
  <c r="G62"/>
  <c r="H109"/>
  <c r="D36"/>
  <c r="F36" s="1"/>
  <c r="F25"/>
  <c r="H25" s="1"/>
  <c r="C36"/>
  <c r="H26"/>
  <c r="H48"/>
  <c r="H76"/>
  <c r="H78"/>
  <c r="H113"/>
  <c r="H130"/>
  <c r="E20"/>
  <c r="F20" s="1"/>
  <c r="H20" s="1"/>
  <c r="F13"/>
  <c r="H13" s="1"/>
  <c r="C56"/>
  <c r="F77"/>
  <c r="H77" s="1"/>
  <c r="H105"/>
  <c r="D106"/>
  <c r="D124"/>
  <c r="F116"/>
  <c r="G32"/>
  <c r="H32" s="1"/>
  <c r="H28"/>
  <c r="H46"/>
  <c r="H44"/>
  <c r="H58"/>
  <c r="H72"/>
  <c r="H90"/>
  <c r="H107"/>
  <c r="H119"/>
  <c r="G139"/>
  <c r="H139" s="1"/>
  <c r="F138"/>
  <c r="H138" s="1"/>
  <c r="D98" i="23"/>
  <c r="E98"/>
  <c r="G98"/>
  <c r="C98"/>
  <c r="D98" i="22"/>
  <c r="E98"/>
  <c r="G98"/>
  <c r="C98"/>
  <c r="D98" i="21"/>
  <c r="E98"/>
  <c r="G98"/>
  <c r="C98"/>
  <c r="D98" i="20"/>
  <c r="E98"/>
  <c r="G98"/>
  <c r="C98"/>
  <c r="D98" i="3"/>
  <c r="E98"/>
  <c r="G98"/>
  <c r="C98"/>
  <c r="D98" i="2"/>
  <c r="E98"/>
  <c r="G98"/>
  <c r="C98"/>
  <c r="D98" i="4"/>
  <c r="E98"/>
  <c r="G98"/>
  <c r="C98"/>
  <c r="D98" i="5"/>
  <c r="E98"/>
  <c r="G98"/>
  <c r="C98"/>
  <c r="D98" i="6"/>
  <c r="E98"/>
  <c r="G98"/>
  <c r="C98"/>
  <c r="D98" i="7"/>
  <c r="E98"/>
  <c r="G98"/>
  <c r="C98"/>
  <c r="D98" i="8"/>
  <c r="E98"/>
  <c r="E106" s="1"/>
  <c r="G98"/>
  <c r="C98"/>
  <c r="D98" i="9"/>
  <c r="E98"/>
  <c r="G98"/>
  <c r="C98"/>
  <c r="D98" i="10"/>
  <c r="E98"/>
  <c r="G98"/>
  <c r="C98"/>
  <c r="D98" i="11"/>
  <c r="E98"/>
  <c r="G98"/>
  <c r="C98"/>
  <c r="D98" i="12"/>
  <c r="E98"/>
  <c r="G98"/>
  <c r="C98"/>
  <c r="D99" i="13"/>
  <c r="E99"/>
  <c r="G99"/>
  <c r="C99"/>
  <c r="D98" i="14"/>
  <c r="E98"/>
  <c r="G98"/>
  <c r="C98"/>
  <c r="D98" i="15"/>
  <c r="E98"/>
  <c r="G98"/>
  <c r="C98"/>
  <c r="D98" i="16"/>
  <c r="E98"/>
  <c r="G98"/>
  <c r="C98"/>
  <c r="D98" i="27"/>
  <c r="E98"/>
  <c r="G98"/>
  <c r="C98"/>
  <c r="D98" i="17"/>
  <c r="E98"/>
  <c r="G98"/>
  <c r="C98"/>
  <c r="D98" i="18"/>
  <c r="E98"/>
  <c r="G98"/>
  <c r="C98"/>
  <c r="D99" i="24"/>
  <c r="E99"/>
  <c r="G99"/>
  <c r="C99"/>
  <c r="D100" i="19"/>
  <c r="E100"/>
  <c r="G100"/>
  <c r="F35" i="24"/>
  <c r="F123" i="23"/>
  <c r="F123" i="22"/>
  <c r="F123" i="21"/>
  <c r="F123" i="20"/>
  <c r="F123" i="3"/>
  <c r="F123" i="2"/>
  <c r="F123" i="4"/>
  <c r="F123" i="5"/>
  <c r="F123" i="6"/>
  <c r="F123" i="7"/>
  <c r="D124" i="8"/>
  <c r="C124"/>
  <c r="F123"/>
  <c r="F123" i="9"/>
  <c r="F123" i="10"/>
  <c r="F123" i="11"/>
  <c r="F123" i="12"/>
  <c r="F124" i="13"/>
  <c r="F123" i="14"/>
  <c r="F123" i="15"/>
  <c r="F123" i="16"/>
  <c r="F123" i="27"/>
  <c r="F123" i="17"/>
  <c r="F123" i="18"/>
  <c r="F124" i="24"/>
  <c r="E127" i="19"/>
  <c r="F126"/>
  <c r="F141" i="8"/>
  <c r="C98" i="19"/>
  <c r="C99" i="26" s="1"/>
  <c r="C99" i="38" s="1"/>
  <c r="E56" i="28" l="1"/>
  <c r="E62"/>
  <c r="F62" s="1"/>
  <c r="H62" s="1"/>
  <c r="G140"/>
  <c r="G101" i="26"/>
  <c r="D101"/>
  <c r="D101" i="38" s="1"/>
  <c r="C100" i="19"/>
  <c r="C101" i="26" s="1"/>
  <c r="C101" i="38" s="1"/>
  <c r="E86"/>
  <c r="E84" i="39"/>
  <c r="D53" i="38"/>
  <c r="D51"/>
  <c r="F106" i="28"/>
  <c r="H106" s="1"/>
  <c r="E101" i="26"/>
  <c r="G19" i="38"/>
  <c r="F42" i="39"/>
  <c r="H42" s="1"/>
  <c r="E43" i="38"/>
  <c r="H127" i="39"/>
  <c r="G133" i="38"/>
  <c r="G103"/>
  <c r="E22" i="39"/>
  <c r="F79"/>
  <c r="H79" s="1"/>
  <c r="E83" i="38"/>
  <c r="F111" i="39"/>
  <c r="E116" i="38"/>
  <c r="F9" i="39"/>
  <c r="H9" s="1"/>
  <c r="F27"/>
  <c r="H27" s="1"/>
  <c r="F35"/>
  <c r="H35" s="1"/>
  <c r="E36" i="38"/>
  <c r="F45" i="39"/>
  <c r="H45" s="1"/>
  <c r="E46" i="38"/>
  <c r="F69" i="39"/>
  <c r="H69" s="1"/>
  <c r="E73" i="38"/>
  <c r="F73" i="39"/>
  <c r="E77" i="38"/>
  <c r="F80" i="39"/>
  <c r="H80" s="1"/>
  <c r="E84" i="38"/>
  <c r="F112" i="39"/>
  <c r="H112" s="1"/>
  <c r="E117" i="38"/>
  <c r="F10" i="39"/>
  <c r="H10" s="1"/>
  <c r="F41"/>
  <c r="E42" i="38"/>
  <c r="F70" i="39"/>
  <c r="H70" s="1"/>
  <c r="E74" i="38"/>
  <c r="F91" i="39"/>
  <c r="E95" i="38"/>
  <c r="F95" i="39"/>
  <c r="H95" s="1"/>
  <c r="E99" i="38"/>
  <c r="F136" i="39"/>
  <c r="H136" s="1"/>
  <c r="E143" i="38"/>
  <c r="H24" i="29" s="1"/>
  <c r="F52" i="39"/>
  <c r="E55" i="38"/>
  <c r="F86" i="39"/>
  <c r="E90" i="38"/>
  <c r="F132" i="39"/>
  <c r="E138" i="38"/>
  <c r="F17" i="39"/>
  <c r="F57"/>
  <c r="H57" s="1"/>
  <c r="E61" i="38"/>
  <c r="D23" i="29" s="1"/>
  <c r="E23" s="1"/>
  <c r="H126" i="39"/>
  <c r="G132" i="38"/>
  <c r="F74" i="39"/>
  <c r="H74" s="1"/>
  <c r="E78" i="38"/>
  <c r="F89" i="39"/>
  <c r="E93" i="38"/>
  <c r="F7" i="39"/>
  <c r="H7" s="1"/>
  <c r="F29"/>
  <c r="F92"/>
  <c r="H92" s="1"/>
  <c r="E96" i="38"/>
  <c r="F90" i="39"/>
  <c r="F94" i="38" s="1"/>
  <c r="E94"/>
  <c r="F110" i="39"/>
  <c r="E115" i="38"/>
  <c r="H115" i="39"/>
  <c r="G120" i="38"/>
  <c r="H122" i="39"/>
  <c r="G127" i="38"/>
  <c r="F8" i="39"/>
  <c r="F34"/>
  <c r="E35" i="38"/>
  <c r="F39" i="39"/>
  <c r="H39" s="1"/>
  <c r="E40" i="38"/>
  <c r="F68" i="39"/>
  <c r="H68" s="1"/>
  <c r="E72" i="38"/>
  <c r="F93" i="39"/>
  <c r="E97" i="38"/>
  <c r="F141" i="39"/>
  <c r="F99"/>
  <c r="E103" i="38"/>
  <c r="F102" i="39"/>
  <c r="E107" i="38"/>
  <c r="F81" i="39"/>
  <c r="E85" i="38"/>
  <c r="H121" i="39"/>
  <c r="G126" i="38"/>
  <c r="F38" i="39"/>
  <c r="E39" i="38"/>
  <c r="F67" i="39"/>
  <c r="E71" i="38"/>
  <c r="F96" i="39"/>
  <c r="E100" i="38"/>
  <c r="F140" i="39"/>
  <c r="F18"/>
  <c r="H18" s="1"/>
  <c r="C76"/>
  <c r="F83"/>
  <c r="E87" i="38"/>
  <c r="F31" i="39"/>
  <c r="H31" s="1"/>
  <c r="F40"/>
  <c r="E41" i="38"/>
  <c r="F94" i="39"/>
  <c r="E98" i="38"/>
  <c r="F19" i="39"/>
  <c r="H19" s="1"/>
  <c r="F51"/>
  <c r="E54" i="38"/>
  <c r="F131" i="39"/>
  <c r="H131" s="1"/>
  <c r="E137" i="38"/>
  <c r="F16" i="39"/>
  <c r="G100"/>
  <c r="G104" i="38" s="1"/>
  <c r="G102"/>
  <c r="G107"/>
  <c r="F15" i="39"/>
  <c r="H15" s="1"/>
  <c r="E49"/>
  <c r="E50" i="38" s="1"/>
  <c r="G49" i="39"/>
  <c r="E75"/>
  <c r="F72"/>
  <c r="H120"/>
  <c r="G119"/>
  <c r="F64"/>
  <c r="E71"/>
  <c r="F37"/>
  <c r="F43"/>
  <c r="E44"/>
  <c r="F50"/>
  <c r="F51" i="38" s="1"/>
  <c r="H51" s="1"/>
  <c r="D49" i="39"/>
  <c r="D50" i="38" s="1"/>
  <c r="F14" i="39"/>
  <c r="D13"/>
  <c r="G22"/>
  <c r="F98"/>
  <c r="F102" i="38" s="1"/>
  <c r="E100" i="39"/>
  <c r="F47"/>
  <c r="E48"/>
  <c r="G133"/>
  <c r="F23"/>
  <c r="H118"/>
  <c r="G117"/>
  <c r="E137"/>
  <c r="F135"/>
  <c r="G71"/>
  <c r="F128"/>
  <c r="E129"/>
  <c r="E56"/>
  <c r="F55"/>
  <c r="G103"/>
  <c r="G77"/>
  <c r="G44"/>
  <c r="F6"/>
  <c r="G137"/>
  <c r="E13"/>
  <c r="G87"/>
  <c r="E103"/>
  <c r="F101"/>
  <c r="F11"/>
  <c r="D12"/>
  <c r="D22"/>
  <c r="F21"/>
  <c r="F24"/>
  <c r="F78"/>
  <c r="E77"/>
  <c r="F82"/>
  <c r="F84" s="1"/>
  <c r="F88"/>
  <c r="E97"/>
  <c r="H114"/>
  <c r="G116"/>
  <c r="G97"/>
  <c r="G101" i="38" s="1"/>
  <c r="F106" i="39"/>
  <c r="F85"/>
  <c r="E87"/>
  <c r="G105"/>
  <c r="E133"/>
  <c r="F130"/>
  <c r="G129"/>
  <c r="H125"/>
  <c r="G48"/>
  <c r="G56"/>
  <c r="C63" i="28"/>
  <c r="C135"/>
  <c r="C140" s="1"/>
  <c r="D135"/>
  <c r="D140" s="1"/>
  <c r="F140" s="1"/>
  <c r="H140" s="1"/>
  <c r="H126" i="19"/>
  <c r="F129" i="26"/>
  <c r="F128" i="38" s="1"/>
  <c r="D56" i="28"/>
  <c r="H55"/>
  <c r="F124"/>
  <c r="H124" s="1"/>
  <c r="H116"/>
  <c r="G36"/>
  <c r="C44" i="7"/>
  <c r="G139" i="27"/>
  <c r="G138"/>
  <c r="E138"/>
  <c r="E139" s="1"/>
  <c r="D138"/>
  <c r="D139" s="1"/>
  <c r="F139" s="1"/>
  <c r="C138"/>
  <c r="C139" s="1"/>
  <c r="F137"/>
  <c r="H137" s="1"/>
  <c r="F136"/>
  <c r="H136" s="1"/>
  <c r="G134"/>
  <c r="E134"/>
  <c r="D134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F119"/>
  <c r="H119" s="1"/>
  <c r="E119"/>
  <c r="D119"/>
  <c r="C119"/>
  <c r="F118"/>
  <c r="H118" s="1"/>
  <c r="G117"/>
  <c r="E117"/>
  <c r="D117"/>
  <c r="F117" s="1"/>
  <c r="H117" s="1"/>
  <c r="C117"/>
  <c r="G116"/>
  <c r="E116"/>
  <c r="E124" s="1"/>
  <c r="D116"/>
  <c r="D124" s="1"/>
  <c r="C116"/>
  <c r="C124" s="1"/>
  <c r="F115"/>
  <c r="H115" s="1"/>
  <c r="F114"/>
  <c r="H114" s="1"/>
  <c r="F112"/>
  <c r="H112" s="1"/>
  <c r="F111"/>
  <c r="H111" s="1"/>
  <c r="F110"/>
  <c r="H110" s="1"/>
  <c r="G109"/>
  <c r="F109"/>
  <c r="H109" s="1"/>
  <c r="E109"/>
  <c r="D109"/>
  <c r="C109"/>
  <c r="F108"/>
  <c r="H108" s="1"/>
  <c r="G107"/>
  <c r="G113" s="1"/>
  <c r="E107"/>
  <c r="E113" s="1"/>
  <c r="D107"/>
  <c r="D113" s="1"/>
  <c r="F113" s="1"/>
  <c r="C107"/>
  <c r="G105"/>
  <c r="E105"/>
  <c r="D105"/>
  <c r="F105" s="1"/>
  <c r="C105"/>
  <c r="F104"/>
  <c r="H104" s="1"/>
  <c r="H102"/>
  <c r="F102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C88"/>
  <c r="F87"/>
  <c r="H87" s="1"/>
  <c r="F86"/>
  <c r="H86" s="1"/>
  <c r="G85"/>
  <c r="E85"/>
  <c r="D85"/>
  <c r="C85"/>
  <c r="C106" s="1"/>
  <c r="F84"/>
  <c r="H84" s="1"/>
  <c r="F83"/>
  <c r="H83" s="1"/>
  <c r="F82"/>
  <c r="H82" s="1"/>
  <c r="F81"/>
  <c r="H81" s="1"/>
  <c r="F80"/>
  <c r="H80" s="1"/>
  <c r="F79"/>
  <c r="H79" s="1"/>
  <c r="G78"/>
  <c r="F78"/>
  <c r="H78" s="1"/>
  <c r="E78"/>
  <c r="D78"/>
  <c r="C78"/>
  <c r="G76"/>
  <c r="E76"/>
  <c r="D76"/>
  <c r="F76" s="1"/>
  <c r="H76" s="1"/>
  <c r="C76"/>
  <c r="F75"/>
  <c r="H75" s="1"/>
  <c r="F74"/>
  <c r="H74" s="1"/>
  <c r="F73"/>
  <c r="H73" s="1"/>
  <c r="G72"/>
  <c r="G77" s="1"/>
  <c r="E72"/>
  <c r="E77" s="1"/>
  <c r="D72"/>
  <c r="F72" s="1"/>
  <c r="H72" s="1"/>
  <c r="C72"/>
  <c r="C77" s="1"/>
  <c r="F71"/>
  <c r="H71" s="1"/>
  <c r="F70"/>
  <c r="H70" s="1"/>
  <c r="F69"/>
  <c r="H69" s="1"/>
  <c r="F68"/>
  <c r="H68" s="1"/>
  <c r="F66"/>
  <c r="H66" s="1"/>
  <c r="F59"/>
  <c r="H59" s="1"/>
  <c r="G58"/>
  <c r="G61" s="1"/>
  <c r="E58"/>
  <c r="F58" s="1"/>
  <c r="C58"/>
  <c r="F57"/>
  <c r="H57" s="1"/>
  <c r="F54"/>
  <c r="H54" s="1"/>
  <c r="F53"/>
  <c r="H53" s="1"/>
  <c r="F52"/>
  <c r="H52" s="1"/>
  <c r="G51"/>
  <c r="G55" s="1"/>
  <c r="E51"/>
  <c r="E55" s="1"/>
  <c r="D51"/>
  <c r="C51"/>
  <c r="C55" s="1"/>
  <c r="G48"/>
  <c r="E48"/>
  <c r="D48"/>
  <c r="F48" s="1"/>
  <c r="C48"/>
  <c r="F47"/>
  <c r="H47" s="1"/>
  <c r="F45"/>
  <c r="H45" s="1"/>
  <c r="G44"/>
  <c r="F44"/>
  <c r="E44"/>
  <c r="E46" s="1"/>
  <c r="D44"/>
  <c r="D46" s="1"/>
  <c r="F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F33" s="1"/>
  <c r="H33" s="1"/>
  <c r="C33"/>
  <c r="F31"/>
  <c r="H31" s="1"/>
  <c r="G30"/>
  <c r="F30"/>
  <c r="E30"/>
  <c r="D30"/>
  <c r="C30"/>
  <c r="F29"/>
  <c r="H29" s="1"/>
  <c r="G28"/>
  <c r="E28"/>
  <c r="E32" s="1"/>
  <c r="D28"/>
  <c r="D32" s="1"/>
  <c r="F32" s="1"/>
  <c r="C28"/>
  <c r="C32" s="1"/>
  <c r="F27"/>
  <c r="H27" s="1"/>
  <c r="G26"/>
  <c r="F26"/>
  <c r="E26"/>
  <c r="D26"/>
  <c r="C26"/>
  <c r="G25"/>
  <c r="E25"/>
  <c r="E36" s="1"/>
  <c r="D25"/>
  <c r="C25"/>
  <c r="F24"/>
  <c r="H24" s="1"/>
  <c r="F23"/>
  <c r="H23" s="1"/>
  <c r="G22"/>
  <c r="E22"/>
  <c r="D22"/>
  <c r="F22" s="1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F13" s="1"/>
  <c r="H13" s="1"/>
  <c r="C13"/>
  <c r="G12"/>
  <c r="E12"/>
  <c r="E20" s="1"/>
  <c r="D12"/>
  <c r="C12"/>
  <c r="F11"/>
  <c r="H11" s="1"/>
  <c r="F10"/>
  <c r="H10" s="1"/>
  <c r="F9"/>
  <c r="H9" s="1"/>
  <c r="F8"/>
  <c r="H8" s="1"/>
  <c r="F7"/>
  <c r="H7" s="1"/>
  <c r="F6"/>
  <c r="H6" s="1"/>
  <c r="G138" i="23"/>
  <c r="G139" s="1"/>
  <c r="E138"/>
  <c r="E139" s="1"/>
  <c r="D138"/>
  <c r="D139" s="1"/>
  <c r="C138"/>
  <c r="C139" s="1"/>
  <c r="F137"/>
  <c r="H137" s="1"/>
  <c r="F136"/>
  <c r="H136" s="1"/>
  <c r="G134"/>
  <c r="E134"/>
  <c r="D134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F119" s="1"/>
  <c r="H119" s="1"/>
  <c r="C119"/>
  <c r="F118"/>
  <c r="H118" s="1"/>
  <c r="G117"/>
  <c r="E117"/>
  <c r="D117"/>
  <c r="C117"/>
  <c r="G116"/>
  <c r="G124" s="1"/>
  <c r="E116"/>
  <c r="E124" s="1"/>
  <c r="D116"/>
  <c r="D124" s="1"/>
  <c r="C116"/>
  <c r="C124" s="1"/>
  <c r="F115"/>
  <c r="H115" s="1"/>
  <c r="F114"/>
  <c r="H114" s="1"/>
  <c r="F112"/>
  <c r="H112" s="1"/>
  <c r="F111"/>
  <c r="H111" s="1"/>
  <c r="F110"/>
  <c r="H110" s="1"/>
  <c r="G109"/>
  <c r="E109"/>
  <c r="D109"/>
  <c r="F108"/>
  <c r="H108" s="1"/>
  <c r="G107"/>
  <c r="G113" s="1"/>
  <c r="E107"/>
  <c r="E113" s="1"/>
  <c r="D107"/>
  <c r="C107"/>
  <c r="C113" s="1"/>
  <c r="G105"/>
  <c r="E105"/>
  <c r="D105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F88" s="1"/>
  <c r="C88"/>
  <c r="F87"/>
  <c r="H87" s="1"/>
  <c r="F86"/>
  <c r="H86" s="1"/>
  <c r="G85"/>
  <c r="G106" s="1"/>
  <c r="E85"/>
  <c r="D85"/>
  <c r="F85" s="1"/>
  <c r="C85"/>
  <c r="F84"/>
  <c r="H84" s="1"/>
  <c r="F83"/>
  <c r="H83" s="1"/>
  <c r="F82"/>
  <c r="H82" s="1"/>
  <c r="F81"/>
  <c r="H81" s="1"/>
  <c r="F80"/>
  <c r="H80" s="1"/>
  <c r="F79"/>
  <c r="H79" s="1"/>
  <c r="G78"/>
  <c r="E78"/>
  <c r="D78"/>
  <c r="C78"/>
  <c r="G76"/>
  <c r="E76"/>
  <c r="D76"/>
  <c r="F76" s="1"/>
  <c r="C76"/>
  <c r="F75"/>
  <c r="H75" s="1"/>
  <c r="F74"/>
  <c r="H74" s="1"/>
  <c r="F73"/>
  <c r="H73" s="1"/>
  <c r="G72"/>
  <c r="E72"/>
  <c r="E77" s="1"/>
  <c r="D72"/>
  <c r="D77" s="1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C51"/>
  <c r="C55" s="1"/>
  <c r="G48"/>
  <c r="E48"/>
  <c r="D48"/>
  <c r="C48"/>
  <c r="F47"/>
  <c r="H47" s="1"/>
  <c r="F45"/>
  <c r="H45" s="1"/>
  <c r="G44"/>
  <c r="E44"/>
  <c r="E46" s="1"/>
  <c r="D44"/>
  <c r="D46" s="1"/>
  <c r="F46" s="1"/>
  <c r="C46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C30"/>
  <c r="F29"/>
  <c r="H29" s="1"/>
  <c r="G28"/>
  <c r="E28"/>
  <c r="D28"/>
  <c r="D32" s="1"/>
  <c r="C28"/>
  <c r="F27"/>
  <c r="H27" s="1"/>
  <c r="G26"/>
  <c r="E26"/>
  <c r="D26"/>
  <c r="C26"/>
  <c r="G25"/>
  <c r="E25"/>
  <c r="D25"/>
  <c r="C25"/>
  <c r="F24"/>
  <c r="H24" s="1"/>
  <c r="F23"/>
  <c r="H23" s="1"/>
  <c r="G22"/>
  <c r="E22"/>
  <c r="D22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F13" s="1"/>
  <c r="C13"/>
  <c r="G12"/>
  <c r="E12"/>
  <c r="E20" s="1"/>
  <c r="D12"/>
  <c r="C12"/>
  <c r="C20" s="1"/>
  <c r="F11"/>
  <c r="H11" s="1"/>
  <c r="F10"/>
  <c r="H10" s="1"/>
  <c r="F9"/>
  <c r="H9" s="1"/>
  <c r="F8"/>
  <c r="H8" s="1"/>
  <c r="F7"/>
  <c r="H7" s="1"/>
  <c r="F6"/>
  <c r="H6" s="1"/>
  <c r="G138" i="22"/>
  <c r="G139" s="1"/>
  <c r="E138"/>
  <c r="E139" s="1"/>
  <c r="D138"/>
  <c r="D139" s="1"/>
  <c r="C138"/>
  <c r="C139" s="1"/>
  <c r="F137"/>
  <c r="H137" s="1"/>
  <c r="F136"/>
  <c r="H136" s="1"/>
  <c r="G134"/>
  <c r="E134"/>
  <c r="D134"/>
  <c r="F134" s="1"/>
  <c r="H134" s="1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C119"/>
  <c r="F118"/>
  <c r="H118" s="1"/>
  <c r="G117"/>
  <c r="E117"/>
  <c r="D117"/>
  <c r="F117" s="1"/>
  <c r="H117" s="1"/>
  <c r="C117"/>
  <c r="G116"/>
  <c r="E116"/>
  <c r="E124" s="1"/>
  <c r="D116"/>
  <c r="D124" s="1"/>
  <c r="C116"/>
  <c r="C124" s="1"/>
  <c r="F115"/>
  <c r="H115" s="1"/>
  <c r="F114"/>
  <c r="H114" s="1"/>
  <c r="F112"/>
  <c r="H112" s="1"/>
  <c r="F111"/>
  <c r="H111" s="1"/>
  <c r="F110"/>
  <c r="H110" s="1"/>
  <c r="G109"/>
  <c r="E109"/>
  <c r="D109"/>
  <c r="C109"/>
  <c r="F108"/>
  <c r="H108" s="1"/>
  <c r="G107"/>
  <c r="F107"/>
  <c r="H107" s="1"/>
  <c r="E107"/>
  <c r="D107"/>
  <c r="C107"/>
  <c r="G105"/>
  <c r="E105"/>
  <c r="D105"/>
  <c r="F105" s="1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F88" s="1"/>
  <c r="H88" s="1"/>
  <c r="D88"/>
  <c r="C88"/>
  <c r="F87"/>
  <c r="H87" s="1"/>
  <c r="F86"/>
  <c r="H86" s="1"/>
  <c r="G85"/>
  <c r="E85"/>
  <c r="D85"/>
  <c r="C85"/>
  <c r="C106" s="1"/>
  <c r="F84"/>
  <c r="H84" s="1"/>
  <c r="F83"/>
  <c r="H83" s="1"/>
  <c r="F82"/>
  <c r="H82" s="1"/>
  <c r="F81"/>
  <c r="H81" s="1"/>
  <c r="F80"/>
  <c r="H80" s="1"/>
  <c r="F79"/>
  <c r="H79" s="1"/>
  <c r="G78"/>
  <c r="E78"/>
  <c r="D78"/>
  <c r="C78"/>
  <c r="G76"/>
  <c r="E76"/>
  <c r="D76"/>
  <c r="C76"/>
  <c r="F75"/>
  <c r="H75" s="1"/>
  <c r="F74"/>
  <c r="H74" s="1"/>
  <c r="F73"/>
  <c r="H73" s="1"/>
  <c r="G72"/>
  <c r="E72"/>
  <c r="D72"/>
  <c r="D77" s="1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C48"/>
  <c r="F47"/>
  <c r="H47" s="1"/>
  <c r="F45"/>
  <c r="H45" s="1"/>
  <c r="G44"/>
  <c r="G46" s="1"/>
  <c r="E44"/>
  <c r="E46" s="1"/>
  <c r="D44"/>
  <c r="D46" s="1"/>
  <c r="F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F30" s="1"/>
  <c r="C30"/>
  <c r="F29"/>
  <c r="H29" s="1"/>
  <c r="G28"/>
  <c r="E28"/>
  <c r="D28"/>
  <c r="F28" s="1"/>
  <c r="C28"/>
  <c r="F27"/>
  <c r="H27" s="1"/>
  <c r="G26"/>
  <c r="E26"/>
  <c r="D26"/>
  <c r="F26" s="1"/>
  <c r="H26" s="1"/>
  <c r="C26"/>
  <c r="G25"/>
  <c r="E25"/>
  <c r="D25"/>
  <c r="C25"/>
  <c r="F24"/>
  <c r="H24" s="1"/>
  <c r="F23"/>
  <c r="H23" s="1"/>
  <c r="G22"/>
  <c r="E22"/>
  <c r="D22"/>
  <c r="F22" s="1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G20" s="1"/>
  <c r="E12"/>
  <c r="D12"/>
  <c r="C12"/>
  <c r="C20" s="1"/>
  <c r="F11"/>
  <c r="H11" s="1"/>
  <c r="F10"/>
  <c r="H10" s="1"/>
  <c r="F9"/>
  <c r="H9" s="1"/>
  <c r="F8"/>
  <c r="H8" s="1"/>
  <c r="F7"/>
  <c r="H7" s="1"/>
  <c r="F6"/>
  <c r="H6" s="1"/>
  <c r="G138" i="21"/>
  <c r="G139" s="1"/>
  <c r="E138"/>
  <c r="E139" s="1"/>
  <c r="D138"/>
  <c r="D139" s="1"/>
  <c r="C138"/>
  <c r="C139" s="1"/>
  <c r="F137"/>
  <c r="H137" s="1"/>
  <c r="F136"/>
  <c r="H136" s="1"/>
  <c r="G134"/>
  <c r="E134"/>
  <c r="D134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F119" s="1"/>
  <c r="C119"/>
  <c r="F118"/>
  <c r="H118" s="1"/>
  <c r="G117"/>
  <c r="E117"/>
  <c r="D117"/>
  <c r="F117" s="1"/>
  <c r="H117" s="1"/>
  <c r="C117"/>
  <c r="G116"/>
  <c r="G124" s="1"/>
  <c r="E116"/>
  <c r="E124" s="1"/>
  <c r="D116"/>
  <c r="D124" s="1"/>
  <c r="C116"/>
  <c r="F115"/>
  <c r="H115" s="1"/>
  <c r="F114"/>
  <c r="H114" s="1"/>
  <c r="F112"/>
  <c r="H112" s="1"/>
  <c r="F111"/>
  <c r="H111" s="1"/>
  <c r="F110"/>
  <c r="H110" s="1"/>
  <c r="G109"/>
  <c r="E109"/>
  <c r="D109"/>
  <c r="C109"/>
  <c r="F108"/>
  <c r="H108" s="1"/>
  <c r="G107"/>
  <c r="E107"/>
  <c r="D107"/>
  <c r="D113" s="1"/>
  <c r="C107"/>
  <c r="G105"/>
  <c r="E105"/>
  <c r="D105"/>
  <c r="F105" s="1"/>
  <c r="H105" s="1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C88"/>
  <c r="F87"/>
  <c r="H87" s="1"/>
  <c r="F86"/>
  <c r="H86" s="1"/>
  <c r="G85"/>
  <c r="E85"/>
  <c r="E106" s="1"/>
  <c r="D85"/>
  <c r="C85"/>
  <c r="C106" s="1"/>
  <c r="F84"/>
  <c r="H84" s="1"/>
  <c r="F83"/>
  <c r="H83" s="1"/>
  <c r="F82"/>
  <c r="H82" s="1"/>
  <c r="F81"/>
  <c r="H81" s="1"/>
  <c r="F80"/>
  <c r="H80" s="1"/>
  <c r="F79"/>
  <c r="H79" s="1"/>
  <c r="G78"/>
  <c r="E78"/>
  <c r="D78"/>
  <c r="C78"/>
  <c r="G76"/>
  <c r="E76"/>
  <c r="D76"/>
  <c r="C76"/>
  <c r="F75"/>
  <c r="H75" s="1"/>
  <c r="F74"/>
  <c r="H74" s="1"/>
  <c r="F73"/>
  <c r="H73" s="1"/>
  <c r="G72"/>
  <c r="G77" s="1"/>
  <c r="E72"/>
  <c r="D72"/>
  <c r="F72" s="1"/>
  <c r="H72" s="1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F48" s="1"/>
  <c r="C48"/>
  <c r="F47"/>
  <c r="H47" s="1"/>
  <c r="F45"/>
  <c r="H45" s="1"/>
  <c r="G44"/>
  <c r="E44"/>
  <c r="E46" s="1"/>
  <c r="D44"/>
  <c r="D46" s="1"/>
  <c r="F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F30" s="1"/>
  <c r="C30"/>
  <c r="F29"/>
  <c r="H29" s="1"/>
  <c r="G28"/>
  <c r="E28"/>
  <c r="D28"/>
  <c r="C28"/>
  <c r="C32" s="1"/>
  <c r="F27"/>
  <c r="H27" s="1"/>
  <c r="G26"/>
  <c r="E26"/>
  <c r="D26"/>
  <c r="F26" s="1"/>
  <c r="C26"/>
  <c r="G25"/>
  <c r="E25"/>
  <c r="D25"/>
  <c r="C25"/>
  <c r="F24"/>
  <c r="H24" s="1"/>
  <c r="F23"/>
  <c r="H23" s="1"/>
  <c r="G22"/>
  <c r="E22"/>
  <c r="D22"/>
  <c r="F22" s="1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D12"/>
  <c r="D20" s="1"/>
  <c r="C12"/>
  <c r="F11"/>
  <c r="H11" s="1"/>
  <c r="F10"/>
  <c r="H10" s="1"/>
  <c r="F9"/>
  <c r="H9" s="1"/>
  <c r="F8"/>
  <c r="H8" s="1"/>
  <c r="F7"/>
  <c r="H7" s="1"/>
  <c r="F6"/>
  <c r="H6" s="1"/>
  <c r="G138" i="20"/>
  <c r="G139" s="1"/>
  <c r="E138"/>
  <c r="E139" s="1"/>
  <c r="D138"/>
  <c r="D139" s="1"/>
  <c r="C138"/>
  <c r="C139" s="1"/>
  <c r="F137"/>
  <c r="H137" s="1"/>
  <c r="F136"/>
  <c r="H136" s="1"/>
  <c r="G134"/>
  <c r="E134"/>
  <c r="D134"/>
  <c r="F134" s="1"/>
  <c r="H134" s="1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C119"/>
  <c r="F118"/>
  <c r="H118" s="1"/>
  <c r="G117"/>
  <c r="E117"/>
  <c r="D117"/>
  <c r="C117"/>
  <c r="G116"/>
  <c r="G124" s="1"/>
  <c r="E116"/>
  <c r="D116"/>
  <c r="D124" s="1"/>
  <c r="C116"/>
  <c r="C124" s="1"/>
  <c r="F115"/>
  <c r="H115" s="1"/>
  <c r="F114"/>
  <c r="H114" s="1"/>
  <c r="F112"/>
  <c r="H112" s="1"/>
  <c r="F111"/>
  <c r="H111" s="1"/>
  <c r="F110"/>
  <c r="H110" s="1"/>
  <c r="G109"/>
  <c r="E109"/>
  <c r="D109"/>
  <c r="C109"/>
  <c r="F108"/>
  <c r="H108" s="1"/>
  <c r="G107"/>
  <c r="E107"/>
  <c r="D107"/>
  <c r="D113" s="1"/>
  <c r="C107"/>
  <c r="G105"/>
  <c r="E105"/>
  <c r="D105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F88" s="1"/>
  <c r="D88"/>
  <c r="C88"/>
  <c r="F87"/>
  <c r="H87" s="1"/>
  <c r="F86"/>
  <c r="H86" s="1"/>
  <c r="G85"/>
  <c r="E85"/>
  <c r="D85"/>
  <c r="C85"/>
  <c r="F84"/>
  <c r="H84" s="1"/>
  <c r="F83"/>
  <c r="H83" s="1"/>
  <c r="F82"/>
  <c r="H82" s="1"/>
  <c r="F81"/>
  <c r="H81" s="1"/>
  <c r="F80"/>
  <c r="H80" s="1"/>
  <c r="F79"/>
  <c r="H79" s="1"/>
  <c r="G78"/>
  <c r="E78"/>
  <c r="F78" s="1"/>
  <c r="D78"/>
  <c r="C78"/>
  <c r="G76"/>
  <c r="F76"/>
  <c r="E76"/>
  <c r="D76"/>
  <c r="C76"/>
  <c r="H75"/>
  <c r="F75"/>
  <c r="F74"/>
  <c r="H74" s="1"/>
  <c r="F73"/>
  <c r="H73" s="1"/>
  <c r="G72"/>
  <c r="E72"/>
  <c r="D72"/>
  <c r="D77" s="1"/>
  <c r="C72"/>
  <c r="C77" s="1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F48" s="1"/>
  <c r="C48"/>
  <c r="F47"/>
  <c r="H47" s="1"/>
  <c r="F45"/>
  <c r="H45" s="1"/>
  <c r="G44"/>
  <c r="E44"/>
  <c r="E46" s="1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F30" s="1"/>
  <c r="C30"/>
  <c r="F29"/>
  <c r="H29" s="1"/>
  <c r="G28"/>
  <c r="E28"/>
  <c r="E32" s="1"/>
  <c r="D28"/>
  <c r="C28"/>
  <c r="C32" s="1"/>
  <c r="F27"/>
  <c r="H27" s="1"/>
  <c r="G26"/>
  <c r="E26"/>
  <c r="D26"/>
  <c r="F26" s="1"/>
  <c r="C26"/>
  <c r="G25"/>
  <c r="E25"/>
  <c r="D25"/>
  <c r="C25"/>
  <c r="F24"/>
  <c r="H24" s="1"/>
  <c r="F23"/>
  <c r="H23" s="1"/>
  <c r="G22"/>
  <c r="E22"/>
  <c r="D22"/>
  <c r="F22" s="1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D12"/>
  <c r="D20" s="1"/>
  <c r="C12"/>
  <c r="F11"/>
  <c r="H11" s="1"/>
  <c r="F10"/>
  <c r="H10" s="1"/>
  <c r="F9"/>
  <c r="H9" s="1"/>
  <c r="F8"/>
  <c r="H8" s="1"/>
  <c r="F7"/>
  <c r="H7" s="1"/>
  <c r="F6"/>
  <c r="H6" s="1"/>
  <c r="F6" i="3"/>
  <c r="H6" s="1"/>
  <c r="F7"/>
  <c r="H7" s="1"/>
  <c r="F8"/>
  <c r="H8" s="1"/>
  <c r="F9"/>
  <c r="H9" s="1"/>
  <c r="F10"/>
  <c r="H10" s="1"/>
  <c r="F11"/>
  <c r="H11" s="1"/>
  <c r="C12"/>
  <c r="D12"/>
  <c r="E12"/>
  <c r="G12"/>
  <c r="C13"/>
  <c r="D13"/>
  <c r="E13"/>
  <c r="G13"/>
  <c r="F14"/>
  <c r="H14" s="1"/>
  <c r="F15"/>
  <c r="H15" s="1"/>
  <c r="F16"/>
  <c r="H16" s="1"/>
  <c r="F17"/>
  <c r="H17" s="1"/>
  <c r="F18"/>
  <c r="H18" s="1"/>
  <c r="F19"/>
  <c r="H19" s="1"/>
  <c r="E20"/>
  <c r="F21"/>
  <c r="H21" s="1"/>
  <c r="C22"/>
  <c r="D22"/>
  <c r="E22"/>
  <c r="G22"/>
  <c r="F23"/>
  <c r="H23" s="1"/>
  <c r="F24"/>
  <c r="H24" s="1"/>
  <c r="C25"/>
  <c r="D25"/>
  <c r="E25"/>
  <c r="G25"/>
  <c r="C26"/>
  <c r="D26"/>
  <c r="E26"/>
  <c r="G26"/>
  <c r="F27"/>
  <c r="H27" s="1"/>
  <c r="C28"/>
  <c r="D28"/>
  <c r="F28" s="1"/>
  <c r="H28" s="1"/>
  <c r="E28"/>
  <c r="G28"/>
  <c r="F29"/>
  <c r="H29" s="1"/>
  <c r="C30"/>
  <c r="C32" s="1"/>
  <c r="C36" s="1"/>
  <c r="D30"/>
  <c r="E30"/>
  <c r="E32" s="1"/>
  <c r="G30"/>
  <c r="F31"/>
  <c r="H31" s="1"/>
  <c r="C33"/>
  <c r="D33"/>
  <c r="E33"/>
  <c r="G33"/>
  <c r="F34"/>
  <c r="H34" s="1"/>
  <c r="F35"/>
  <c r="H35" s="1"/>
  <c r="F37"/>
  <c r="H37" s="1"/>
  <c r="F38"/>
  <c r="H38" s="1"/>
  <c r="F39"/>
  <c r="H39" s="1"/>
  <c r="F40"/>
  <c r="H40" s="1"/>
  <c r="F41"/>
  <c r="H41" s="1"/>
  <c r="F42"/>
  <c r="H42" s="1"/>
  <c r="F43"/>
  <c r="H43" s="1"/>
  <c r="C44"/>
  <c r="D44"/>
  <c r="E44"/>
  <c r="G44"/>
  <c r="F45"/>
  <c r="H45" s="1"/>
  <c r="C46"/>
  <c r="E46"/>
  <c r="G46"/>
  <c r="F47"/>
  <c r="H47" s="1"/>
  <c r="C48"/>
  <c r="D48"/>
  <c r="E48"/>
  <c r="G48"/>
  <c r="C51"/>
  <c r="C55" s="1"/>
  <c r="D51"/>
  <c r="E51"/>
  <c r="E55" s="1"/>
  <c r="G51"/>
  <c r="G55" s="1"/>
  <c r="F52"/>
  <c r="H52" s="1"/>
  <c r="F53"/>
  <c r="H53" s="1"/>
  <c r="F54"/>
  <c r="H54" s="1"/>
  <c r="F57"/>
  <c r="H57" s="1"/>
  <c r="C58"/>
  <c r="C61" s="1"/>
  <c r="C62" s="1"/>
  <c r="D58"/>
  <c r="D61" s="1"/>
  <c r="E58"/>
  <c r="G58"/>
  <c r="G61" s="1"/>
  <c r="F59"/>
  <c r="H59" s="1"/>
  <c r="F66"/>
  <c r="H66" s="1"/>
  <c r="F68"/>
  <c r="H68" s="1"/>
  <c r="F69"/>
  <c r="H69" s="1"/>
  <c r="F70"/>
  <c r="H70" s="1"/>
  <c r="F71"/>
  <c r="H71" s="1"/>
  <c r="C72"/>
  <c r="D72"/>
  <c r="E72"/>
  <c r="G72"/>
  <c r="F73"/>
  <c r="H73" s="1"/>
  <c r="F74"/>
  <c r="H74" s="1"/>
  <c r="F75"/>
  <c r="H75" s="1"/>
  <c r="C76"/>
  <c r="D76"/>
  <c r="E76"/>
  <c r="G76"/>
  <c r="C78"/>
  <c r="D78"/>
  <c r="E78"/>
  <c r="G78"/>
  <c r="F79"/>
  <c r="H79" s="1"/>
  <c r="F80"/>
  <c r="H80" s="1"/>
  <c r="F81"/>
  <c r="H81" s="1"/>
  <c r="F82"/>
  <c r="H82" s="1"/>
  <c r="F83"/>
  <c r="H83" s="1"/>
  <c r="F84"/>
  <c r="H84" s="1"/>
  <c r="C85"/>
  <c r="D85"/>
  <c r="E85"/>
  <c r="G85"/>
  <c r="F86"/>
  <c r="H86" s="1"/>
  <c r="F87"/>
  <c r="H87" s="1"/>
  <c r="C88"/>
  <c r="D88"/>
  <c r="E88"/>
  <c r="G88"/>
  <c r="F89"/>
  <c r="F90"/>
  <c r="H90" s="1"/>
  <c r="F92"/>
  <c r="H92" s="1"/>
  <c r="F93"/>
  <c r="H93" s="1"/>
  <c r="F94"/>
  <c r="H94" s="1"/>
  <c r="F95"/>
  <c r="H95" s="1"/>
  <c r="F96"/>
  <c r="H96" s="1"/>
  <c r="F97"/>
  <c r="H97" s="1"/>
  <c r="F100"/>
  <c r="F102"/>
  <c r="H102" s="1"/>
  <c r="F104"/>
  <c r="H104" s="1"/>
  <c r="C105"/>
  <c r="D105"/>
  <c r="E105"/>
  <c r="G105"/>
  <c r="C107"/>
  <c r="D107"/>
  <c r="E107"/>
  <c r="G107"/>
  <c r="G113" s="1"/>
  <c r="F108"/>
  <c r="H108" s="1"/>
  <c r="C109"/>
  <c r="C113" s="1"/>
  <c r="D109"/>
  <c r="E109"/>
  <c r="G109"/>
  <c r="F110"/>
  <c r="H110" s="1"/>
  <c r="F111"/>
  <c r="H111" s="1"/>
  <c r="F112"/>
  <c r="H112" s="1"/>
  <c r="F114"/>
  <c r="H114" s="1"/>
  <c r="F115"/>
  <c r="H115" s="1"/>
  <c r="C116"/>
  <c r="C124" s="1"/>
  <c r="D116"/>
  <c r="E116"/>
  <c r="F116" s="1"/>
  <c r="G116"/>
  <c r="G124" s="1"/>
  <c r="C117"/>
  <c r="D117"/>
  <c r="E117"/>
  <c r="G117"/>
  <c r="F118"/>
  <c r="H118" s="1"/>
  <c r="C119"/>
  <c r="D119"/>
  <c r="E119"/>
  <c r="G119"/>
  <c r="F120"/>
  <c r="H120" s="1"/>
  <c r="F121"/>
  <c r="H121" s="1"/>
  <c r="F122"/>
  <c r="H122" s="1"/>
  <c r="F126"/>
  <c r="F127"/>
  <c r="H127" s="1"/>
  <c r="F128"/>
  <c r="H128" s="1"/>
  <c r="F129"/>
  <c r="H129" s="1"/>
  <c r="F131"/>
  <c r="H131" s="1"/>
  <c r="F132"/>
  <c r="H132" s="1"/>
  <c r="F133"/>
  <c r="H133" s="1"/>
  <c r="C134"/>
  <c r="D134"/>
  <c r="F134" s="1"/>
  <c r="E134"/>
  <c r="G134"/>
  <c r="F136"/>
  <c r="H136" s="1"/>
  <c r="F137"/>
  <c r="H137" s="1"/>
  <c r="C138"/>
  <c r="D138"/>
  <c r="F138" s="1"/>
  <c r="H138" s="1"/>
  <c r="E138"/>
  <c r="E139" s="1"/>
  <c r="G138"/>
  <c r="C139"/>
  <c r="G139"/>
  <c r="G138" i="2"/>
  <c r="G139" s="1"/>
  <c r="E138"/>
  <c r="E139" s="1"/>
  <c r="D138"/>
  <c r="D139" s="1"/>
  <c r="C138"/>
  <c r="C139" s="1"/>
  <c r="F137"/>
  <c r="H137" s="1"/>
  <c r="F136"/>
  <c r="H136" s="1"/>
  <c r="G134"/>
  <c r="E134"/>
  <c r="D134"/>
  <c r="F134" s="1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F119" s="1"/>
  <c r="H119" s="1"/>
  <c r="C119"/>
  <c r="F118"/>
  <c r="H118" s="1"/>
  <c r="G117"/>
  <c r="E117"/>
  <c r="D117"/>
  <c r="C117"/>
  <c r="G116"/>
  <c r="G124" s="1"/>
  <c r="E116"/>
  <c r="E124" s="1"/>
  <c r="D116"/>
  <c r="C116"/>
  <c r="C124" s="1"/>
  <c r="F115"/>
  <c r="H115" s="1"/>
  <c r="F114"/>
  <c r="H114" s="1"/>
  <c r="F112"/>
  <c r="H112" s="1"/>
  <c r="F111"/>
  <c r="H111" s="1"/>
  <c r="F110"/>
  <c r="H110" s="1"/>
  <c r="G109"/>
  <c r="E109"/>
  <c r="D109"/>
  <c r="C109"/>
  <c r="F108"/>
  <c r="H108" s="1"/>
  <c r="G107"/>
  <c r="E107"/>
  <c r="D107"/>
  <c r="C107"/>
  <c r="G105"/>
  <c r="E105"/>
  <c r="D105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C88"/>
  <c r="F87"/>
  <c r="H87" s="1"/>
  <c r="F86"/>
  <c r="H86" s="1"/>
  <c r="G85"/>
  <c r="E85"/>
  <c r="D85"/>
  <c r="F85" s="1"/>
  <c r="H85" s="1"/>
  <c r="C85"/>
  <c r="F84"/>
  <c r="H84" s="1"/>
  <c r="F83"/>
  <c r="H83" s="1"/>
  <c r="F82"/>
  <c r="H82" s="1"/>
  <c r="F81"/>
  <c r="H81" s="1"/>
  <c r="F80"/>
  <c r="H80" s="1"/>
  <c r="F79"/>
  <c r="H79" s="1"/>
  <c r="G78"/>
  <c r="E78"/>
  <c r="D78"/>
  <c r="C78"/>
  <c r="G76"/>
  <c r="E76"/>
  <c r="D76"/>
  <c r="C76"/>
  <c r="F75"/>
  <c r="H75" s="1"/>
  <c r="F74"/>
  <c r="H74" s="1"/>
  <c r="F73"/>
  <c r="H73" s="1"/>
  <c r="G72"/>
  <c r="E72"/>
  <c r="D72"/>
  <c r="D77" s="1"/>
  <c r="C72"/>
  <c r="C77" s="1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C48"/>
  <c r="F47"/>
  <c r="H47" s="1"/>
  <c r="F45"/>
  <c r="H45" s="1"/>
  <c r="G44"/>
  <c r="E44"/>
  <c r="E46" s="1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C30"/>
  <c r="F29"/>
  <c r="H29" s="1"/>
  <c r="G28"/>
  <c r="E28"/>
  <c r="D28"/>
  <c r="F28" s="1"/>
  <c r="C28"/>
  <c r="F27"/>
  <c r="H27" s="1"/>
  <c r="G26"/>
  <c r="E26"/>
  <c r="D26"/>
  <c r="C26"/>
  <c r="G25"/>
  <c r="E25"/>
  <c r="D25"/>
  <c r="C25"/>
  <c r="F24"/>
  <c r="H24" s="1"/>
  <c r="F23"/>
  <c r="H23" s="1"/>
  <c r="G22"/>
  <c r="E22"/>
  <c r="D22"/>
  <c r="F22" s="1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D12"/>
  <c r="C12"/>
  <c r="F11"/>
  <c r="H11" s="1"/>
  <c r="F10"/>
  <c r="H10" s="1"/>
  <c r="F9"/>
  <c r="H9" s="1"/>
  <c r="F8"/>
  <c r="H8" s="1"/>
  <c r="F7"/>
  <c r="H7" s="1"/>
  <c r="F6"/>
  <c r="H6" s="1"/>
  <c r="G138" i="4"/>
  <c r="G139" s="1"/>
  <c r="E138"/>
  <c r="E139" s="1"/>
  <c r="D138"/>
  <c r="D139" s="1"/>
  <c r="C138"/>
  <c r="C139" s="1"/>
  <c r="F137"/>
  <c r="H137" s="1"/>
  <c r="F136"/>
  <c r="H136" s="1"/>
  <c r="G134"/>
  <c r="E134"/>
  <c r="D134"/>
  <c r="F134" s="1"/>
  <c r="H134" s="1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C119"/>
  <c r="F118"/>
  <c r="H118" s="1"/>
  <c r="G117"/>
  <c r="E117"/>
  <c r="D117"/>
  <c r="F117" s="1"/>
  <c r="H117" s="1"/>
  <c r="C117"/>
  <c r="G116"/>
  <c r="G124" s="1"/>
  <c r="E116"/>
  <c r="E124" s="1"/>
  <c r="D116"/>
  <c r="D124" s="1"/>
  <c r="C116"/>
  <c r="F115"/>
  <c r="H115" s="1"/>
  <c r="F114"/>
  <c r="H114" s="1"/>
  <c r="F112"/>
  <c r="H112" s="1"/>
  <c r="F111"/>
  <c r="H111" s="1"/>
  <c r="F110"/>
  <c r="H110" s="1"/>
  <c r="G109"/>
  <c r="F109"/>
  <c r="H109" s="1"/>
  <c r="E109"/>
  <c r="D109"/>
  <c r="C109"/>
  <c r="H108"/>
  <c r="F108"/>
  <c r="G107"/>
  <c r="E107"/>
  <c r="E113" s="1"/>
  <c r="D107"/>
  <c r="C107"/>
  <c r="G105"/>
  <c r="E105"/>
  <c r="D105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C88"/>
  <c r="F87"/>
  <c r="H87" s="1"/>
  <c r="F86"/>
  <c r="H86" s="1"/>
  <c r="G85"/>
  <c r="E85"/>
  <c r="D85"/>
  <c r="C85"/>
  <c r="F84"/>
  <c r="H84" s="1"/>
  <c r="F83"/>
  <c r="H83" s="1"/>
  <c r="F82"/>
  <c r="H82" s="1"/>
  <c r="F81"/>
  <c r="H81" s="1"/>
  <c r="F80"/>
  <c r="H80" s="1"/>
  <c r="F79"/>
  <c r="H79" s="1"/>
  <c r="G78"/>
  <c r="E78"/>
  <c r="D78"/>
  <c r="C78"/>
  <c r="G76"/>
  <c r="E76"/>
  <c r="D76"/>
  <c r="C76"/>
  <c r="F75"/>
  <c r="H75" s="1"/>
  <c r="F74"/>
  <c r="H74" s="1"/>
  <c r="F73"/>
  <c r="H73" s="1"/>
  <c r="G72"/>
  <c r="G77" s="1"/>
  <c r="E72"/>
  <c r="D72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C51"/>
  <c r="C55" s="1"/>
  <c r="G48"/>
  <c r="E48"/>
  <c r="D48"/>
  <c r="C48"/>
  <c r="F47"/>
  <c r="H47" s="1"/>
  <c r="F45"/>
  <c r="H45" s="1"/>
  <c r="G44"/>
  <c r="G46" s="1"/>
  <c r="E44"/>
  <c r="E46" s="1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C30"/>
  <c r="F29"/>
  <c r="H29" s="1"/>
  <c r="G28"/>
  <c r="E28"/>
  <c r="D28"/>
  <c r="C28"/>
  <c r="F27"/>
  <c r="H27" s="1"/>
  <c r="G26"/>
  <c r="E26"/>
  <c r="D26"/>
  <c r="C26"/>
  <c r="G25"/>
  <c r="E25"/>
  <c r="D25"/>
  <c r="C25"/>
  <c r="F24"/>
  <c r="H24" s="1"/>
  <c r="F23"/>
  <c r="H23" s="1"/>
  <c r="G22"/>
  <c r="E22"/>
  <c r="D22"/>
  <c r="F22" s="1"/>
  <c r="H22" s="1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F13" s="1"/>
  <c r="H13" s="1"/>
  <c r="C13"/>
  <c r="G12"/>
  <c r="G20" s="1"/>
  <c r="E12"/>
  <c r="E20" s="1"/>
  <c r="D12"/>
  <c r="C12"/>
  <c r="C20" s="1"/>
  <c r="F11"/>
  <c r="H11" s="1"/>
  <c r="F10"/>
  <c r="H10" s="1"/>
  <c r="F9"/>
  <c r="H9" s="1"/>
  <c r="F8"/>
  <c r="H8" s="1"/>
  <c r="F7"/>
  <c r="H7" s="1"/>
  <c r="F6"/>
  <c r="H6" s="1"/>
  <c r="G138" i="5"/>
  <c r="G139" s="1"/>
  <c r="E138"/>
  <c r="D138"/>
  <c r="C138"/>
  <c r="F137"/>
  <c r="H137" s="1"/>
  <c r="F136"/>
  <c r="H136" s="1"/>
  <c r="G134"/>
  <c r="E134"/>
  <c r="D134"/>
  <c r="C134"/>
  <c r="F133"/>
  <c r="H133" s="1"/>
  <c r="F132"/>
  <c r="H132" s="1"/>
  <c r="F131"/>
  <c r="H131" s="1"/>
  <c r="C136" i="26"/>
  <c r="C135" i="38" s="1"/>
  <c r="F129" i="5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C119"/>
  <c r="F118"/>
  <c r="H118" s="1"/>
  <c r="G117"/>
  <c r="E117"/>
  <c r="D117"/>
  <c r="C117"/>
  <c r="G116"/>
  <c r="E116"/>
  <c r="D116"/>
  <c r="C116"/>
  <c r="F115"/>
  <c r="H115" s="1"/>
  <c r="F114"/>
  <c r="H114" s="1"/>
  <c r="F112"/>
  <c r="H112" s="1"/>
  <c r="F111"/>
  <c r="H111" s="1"/>
  <c r="F110"/>
  <c r="H110" s="1"/>
  <c r="G109"/>
  <c r="E109"/>
  <c r="D109"/>
  <c r="C109"/>
  <c r="F108"/>
  <c r="H108" s="1"/>
  <c r="G107"/>
  <c r="E107"/>
  <c r="D107"/>
  <c r="C107"/>
  <c r="G105"/>
  <c r="E105"/>
  <c r="D105"/>
  <c r="C105"/>
  <c r="F104"/>
  <c r="H104" s="1"/>
  <c r="F102"/>
  <c r="H102" s="1"/>
  <c r="F97"/>
  <c r="H97" s="1"/>
  <c r="F96"/>
  <c r="H96" s="1"/>
  <c r="F95"/>
  <c r="H95" s="1"/>
  <c r="F94"/>
  <c r="H94" s="1"/>
  <c r="F93"/>
  <c r="F92"/>
  <c r="F90"/>
  <c r="H90" s="1"/>
  <c r="F89"/>
  <c r="G88"/>
  <c r="E88"/>
  <c r="D88"/>
  <c r="C88"/>
  <c r="F87"/>
  <c r="F86"/>
  <c r="G85"/>
  <c r="E85"/>
  <c r="D85"/>
  <c r="C85"/>
  <c r="F84"/>
  <c r="F83"/>
  <c r="F82"/>
  <c r="F81"/>
  <c r="H81" s="1"/>
  <c r="F80"/>
  <c r="F79"/>
  <c r="G78"/>
  <c r="E78"/>
  <c r="D78"/>
  <c r="C78"/>
  <c r="G76"/>
  <c r="E76"/>
  <c r="D76"/>
  <c r="C76"/>
  <c r="F75"/>
  <c r="F74"/>
  <c r="F73"/>
  <c r="G72"/>
  <c r="E72"/>
  <c r="D72"/>
  <c r="C72"/>
  <c r="F71"/>
  <c r="F70"/>
  <c r="H70" s="1"/>
  <c r="F69"/>
  <c r="F68"/>
  <c r="F66"/>
  <c r="F59"/>
  <c r="H59" s="1"/>
  <c r="G58"/>
  <c r="E58"/>
  <c r="D58"/>
  <c r="C58"/>
  <c r="F57"/>
  <c r="H57" s="1"/>
  <c r="F54"/>
  <c r="H54" s="1"/>
  <c r="F53"/>
  <c r="H53" s="1"/>
  <c r="F52"/>
  <c r="H52" s="1"/>
  <c r="G51"/>
  <c r="G55" s="1"/>
  <c r="E51"/>
  <c r="E55" s="1"/>
  <c r="D51"/>
  <c r="D55" s="1"/>
  <c r="C51"/>
  <c r="G48"/>
  <c r="E48"/>
  <c r="D48"/>
  <c r="C48"/>
  <c r="F47"/>
  <c r="H47" s="1"/>
  <c r="F45"/>
  <c r="H45" s="1"/>
  <c r="G44"/>
  <c r="E44"/>
  <c r="D44"/>
  <c r="C44"/>
  <c r="F43"/>
  <c r="H43" s="1"/>
  <c r="F42"/>
  <c r="F41"/>
  <c r="H41" s="1"/>
  <c r="F40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C30"/>
  <c r="F29"/>
  <c r="H29" s="1"/>
  <c r="G28"/>
  <c r="E28"/>
  <c r="D28"/>
  <c r="C28"/>
  <c r="F27"/>
  <c r="H27" s="1"/>
  <c r="G26"/>
  <c r="E26"/>
  <c r="D26"/>
  <c r="C26"/>
  <c r="G25"/>
  <c r="E25"/>
  <c r="D25"/>
  <c r="C25"/>
  <c r="F24"/>
  <c r="H24" s="1"/>
  <c r="F23"/>
  <c r="H23" s="1"/>
  <c r="G22"/>
  <c r="E22"/>
  <c r="D22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D12"/>
  <c r="C12"/>
  <c r="F11"/>
  <c r="H11" s="1"/>
  <c r="F10"/>
  <c r="H10" s="1"/>
  <c r="F9"/>
  <c r="F8"/>
  <c r="H8" s="1"/>
  <c r="F7"/>
  <c r="H7" s="1"/>
  <c r="F6"/>
  <c r="G138" i="6"/>
  <c r="E138"/>
  <c r="D138"/>
  <c r="D139" s="1"/>
  <c r="C138"/>
  <c r="C139" s="1"/>
  <c r="F137"/>
  <c r="H137" s="1"/>
  <c r="F136"/>
  <c r="H136" s="1"/>
  <c r="G134"/>
  <c r="E134"/>
  <c r="D134"/>
  <c r="C134"/>
  <c r="F133"/>
  <c r="H133" s="1"/>
  <c r="F132"/>
  <c r="H132" s="1"/>
  <c r="F131"/>
  <c r="H131" s="1"/>
  <c r="F129"/>
  <c r="H129" s="1"/>
  <c r="F128"/>
  <c r="H128" s="1"/>
  <c r="F127"/>
  <c r="H126"/>
  <c r="F122"/>
  <c r="H122" s="1"/>
  <c r="F121"/>
  <c r="H121" s="1"/>
  <c r="F120"/>
  <c r="H120" s="1"/>
  <c r="G119"/>
  <c r="E119"/>
  <c r="D119"/>
  <c r="C119"/>
  <c r="F118"/>
  <c r="H118" s="1"/>
  <c r="G117"/>
  <c r="E117"/>
  <c r="D117"/>
  <c r="C117"/>
  <c r="G116"/>
  <c r="G124" s="1"/>
  <c r="E116"/>
  <c r="D116"/>
  <c r="D124" s="1"/>
  <c r="C116"/>
  <c r="C124" s="1"/>
  <c r="F115"/>
  <c r="H115" s="1"/>
  <c r="F114"/>
  <c r="H114" s="1"/>
  <c r="F112"/>
  <c r="H112" s="1"/>
  <c r="F111"/>
  <c r="H111" s="1"/>
  <c r="F110"/>
  <c r="H110" s="1"/>
  <c r="G109"/>
  <c r="E109"/>
  <c r="D109"/>
  <c r="C109"/>
  <c r="F108"/>
  <c r="H108" s="1"/>
  <c r="G107"/>
  <c r="E107"/>
  <c r="D107"/>
  <c r="C107"/>
  <c r="G105"/>
  <c r="E105"/>
  <c r="D105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C88"/>
  <c r="F87"/>
  <c r="H87" s="1"/>
  <c r="F86"/>
  <c r="H86" s="1"/>
  <c r="G85"/>
  <c r="E85"/>
  <c r="D85"/>
  <c r="C85"/>
  <c r="F84"/>
  <c r="H84" s="1"/>
  <c r="F83"/>
  <c r="H83" s="1"/>
  <c r="F82"/>
  <c r="H82" s="1"/>
  <c r="F81"/>
  <c r="H81" s="1"/>
  <c r="F80"/>
  <c r="H80" s="1"/>
  <c r="F79"/>
  <c r="H79" s="1"/>
  <c r="G78"/>
  <c r="E78"/>
  <c r="D78"/>
  <c r="C78"/>
  <c r="G76"/>
  <c r="E76"/>
  <c r="D76"/>
  <c r="C76"/>
  <c r="F75"/>
  <c r="H75" s="1"/>
  <c r="F74"/>
  <c r="H74" s="1"/>
  <c r="F73"/>
  <c r="H73" s="1"/>
  <c r="G72"/>
  <c r="G77" s="1"/>
  <c r="E72"/>
  <c r="D72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C48"/>
  <c r="F47"/>
  <c r="H47" s="1"/>
  <c r="F45"/>
  <c r="H45" s="1"/>
  <c r="G44"/>
  <c r="E44"/>
  <c r="E46" s="1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C30"/>
  <c r="F29"/>
  <c r="H29" s="1"/>
  <c r="G28"/>
  <c r="E28"/>
  <c r="D28"/>
  <c r="C28"/>
  <c r="F27"/>
  <c r="H27" s="1"/>
  <c r="G26"/>
  <c r="E26"/>
  <c r="D26"/>
  <c r="C26"/>
  <c r="G25"/>
  <c r="E25"/>
  <c r="D25"/>
  <c r="C25"/>
  <c r="F24"/>
  <c r="H24" s="1"/>
  <c r="F23"/>
  <c r="H23" s="1"/>
  <c r="G22"/>
  <c r="E22"/>
  <c r="D22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G20" s="1"/>
  <c r="E12"/>
  <c r="D12"/>
  <c r="D20" s="1"/>
  <c r="C12"/>
  <c r="C20" s="1"/>
  <c r="F11"/>
  <c r="H11" s="1"/>
  <c r="F10"/>
  <c r="H10" s="1"/>
  <c r="F9"/>
  <c r="H9" s="1"/>
  <c r="F8"/>
  <c r="H8" s="1"/>
  <c r="F7"/>
  <c r="H7" s="1"/>
  <c r="F6"/>
  <c r="H6" s="1"/>
  <c r="G138" i="7"/>
  <c r="G139" s="1"/>
  <c r="E138"/>
  <c r="E139" s="1"/>
  <c r="D138"/>
  <c r="D139" s="1"/>
  <c r="F139" s="1"/>
  <c r="C138"/>
  <c r="C139" s="1"/>
  <c r="F137"/>
  <c r="H137" s="1"/>
  <c r="F136"/>
  <c r="H136" s="1"/>
  <c r="G134"/>
  <c r="E134"/>
  <c r="D134"/>
  <c r="F134" s="1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F119" s="1"/>
  <c r="H119" s="1"/>
  <c r="C119"/>
  <c r="F118"/>
  <c r="H118" s="1"/>
  <c r="G117"/>
  <c r="E117"/>
  <c r="D117"/>
  <c r="C117"/>
  <c r="G116"/>
  <c r="G124" s="1"/>
  <c r="E116"/>
  <c r="E124" s="1"/>
  <c r="D116"/>
  <c r="C116"/>
  <c r="C124" s="1"/>
  <c r="F115"/>
  <c r="H115" s="1"/>
  <c r="F114"/>
  <c r="H114" s="1"/>
  <c r="F112"/>
  <c r="H112" s="1"/>
  <c r="F111"/>
  <c r="H111" s="1"/>
  <c r="F110"/>
  <c r="H110" s="1"/>
  <c r="G109"/>
  <c r="E109"/>
  <c r="D109"/>
  <c r="F109" s="1"/>
  <c r="C109"/>
  <c r="F108"/>
  <c r="H108" s="1"/>
  <c r="G107"/>
  <c r="E107"/>
  <c r="D107"/>
  <c r="C107"/>
  <c r="G105"/>
  <c r="E105"/>
  <c r="D105"/>
  <c r="C105"/>
  <c r="F104"/>
  <c r="H104" s="1"/>
  <c r="F102"/>
  <c r="H102" s="1"/>
  <c r="F100"/>
  <c r="F97"/>
  <c r="H97" s="1"/>
  <c r="F96"/>
  <c r="F95"/>
  <c r="H95" s="1"/>
  <c r="F94"/>
  <c r="H94" s="1"/>
  <c r="F93"/>
  <c r="H93" s="1"/>
  <c r="F92"/>
  <c r="H92" s="1"/>
  <c r="F90"/>
  <c r="H90" s="1"/>
  <c r="F89"/>
  <c r="H89" s="1"/>
  <c r="G88"/>
  <c r="E88"/>
  <c r="D88"/>
  <c r="F88" s="1"/>
  <c r="C88"/>
  <c r="F87"/>
  <c r="H87" s="1"/>
  <c r="F86"/>
  <c r="H86" s="1"/>
  <c r="G85"/>
  <c r="E85"/>
  <c r="D85"/>
  <c r="F85" s="1"/>
  <c r="C85"/>
  <c r="F84"/>
  <c r="H84" s="1"/>
  <c r="F83"/>
  <c r="H83" s="1"/>
  <c r="F82"/>
  <c r="H82" s="1"/>
  <c r="F81"/>
  <c r="H81" s="1"/>
  <c r="F80"/>
  <c r="H80" s="1"/>
  <c r="F79"/>
  <c r="H79" s="1"/>
  <c r="G78"/>
  <c r="E78"/>
  <c r="D78"/>
  <c r="F78" s="1"/>
  <c r="C78"/>
  <c r="G76"/>
  <c r="E76"/>
  <c r="D76"/>
  <c r="D77" s="1"/>
  <c r="C76"/>
  <c r="F75"/>
  <c r="H75" s="1"/>
  <c r="F74"/>
  <c r="H74" s="1"/>
  <c r="F73"/>
  <c r="H73" s="1"/>
  <c r="G72"/>
  <c r="E72"/>
  <c r="E77" s="1"/>
  <c r="D72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C48"/>
  <c r="F47"/>
  <c r="H47" s="1"/>
  <c r="F45"/>
  <c r="H45" s="1"/>
  <c r="G44"/>
  <c r="E44"/>
  <c r="E46" s="1"/>
  <c r="D44"/>
  <c r="D46" s="1"/>
  <c r="C46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C30"/>
  <c r="F29"/>
  <c r="H29" s="1"/>
  <c r="G28"/>
  <c r="E28"/>
  <c r="D28"/>
  <c r="D32" s="1"/>
  <c r="C28"/>
  <c r="F27"/>
  <c r="H27" s="1"/>
  <c r="G26"/>
  <c r="E26"/>
  <c r="D26"/>
  <c r="C26"/>
  <c r="G25"/>
  <c r="E25"/>
  <c r="D25"/>
  <c r="C25"/>
  <c r="F24"/>
  <c r="H24" s="1"/>
  <c r="F23"/>
  <c r="H23" s="1"/>
  <c r="G22"/>
  <c r="E22"/>
  <c r="D22"/>
  <c r="F22" s="1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E20" s="1"/>
  <c r="D12"/>
  <c r="D20" s="1"/>
  <c r="C12"/>
  <c r="C20" s="1"/>
  <c r="F11"/>
  <c r="H11" s="1"/>
  <c r="F10"/>
  <c r="H10" s="1"/>
  <c r="F9"/>
  <c r="H9" s="1"/>
  <c r="F8"/>
  <c r="H8" s="1"/>
  <c r="F7"/>
  <c r="H7" s="1"/>
  <c r="F6"/>
  <c r="H6" s="1"/>
  <c r="F142" i="8"/>
  <c r="G138"/>
  <c r="E138"/>
  <c r="F138" s="1"/>
  <c r="D138"/>
  <c r="D139" s="1"/>
  <c r="C138"/>
  <c r="C139" s="1"/>
  <c r="F137"/>
  <c r="H137" s="1"/>
  <c r="F136"/>
  <c r="H136" s="1"/>
  <c r="G134"/>
  <c r="E134"/>
  <c r="D134"/>
  <c r="C134"/>
  <c r="F133"/>
  <c r="H133" s="1"/>
  <c r="F132"/>
  <c r="H132" s="1"/>
  <c r="F131"/>
  <c r="H131" s="1"/>
  <c r="F129"/>
  <c r="H129" s="1"/>
  <c r="F128"/>
  <c r="H128" s="1"/>
  <c r="F127"/>
  <c r="H127" s="1"/>
  <c r="F126"/>
  <c r="H126" s="1"/>
  <c r="F122"/>
  <c r="H122" s="1"/>
  <c r="F121"/>
  <c r="H121" s="1"/>
  <c r="F120"/>
  <c r="H120" s="1"/>
  <c r="G119"/>
  <c r="G124" s="1"/>
  <c r="E119"/>
  <c r="E124" s="1"/>
  <c r="D119"/>
  <c r="C119"/>
  <c r="F118"/>
  <c r="H118" s="1"/>
  <c r="G117"/>
  <c r="E117"/>
  <c r="D117"/>
  <c r="C117"/>
  <c r="G116"/>
  <c r="E116"/>
  <c r="D116"/>
  <c r="C116"/>
  <c r="F115"/>
  <c r="H115" s="1"/>
  <c r="F114"/>
  <c r="H114" s="1"/>
  <c r="F112"/>
  <c r="H112" s="1"/>
  <c r="F111"/>
  <c r="H111" s="1"/>
  <c r="F110"/>
  <c r="H110" s="1"/>
  <c r="G109"/>
  <c r="E109"/>
  <c r="D109"/>
  <c r="C109"/>
  <c r="F108"/>
  <c r="H108" s="1"/>
  <c r="G107"/>
  <c r="E107"/>
  <c r="D107"/>
  <c r="C107"/>
  <c r="G105"/>
  <c r="E105"/>
  <c r="D105"/>
  <c r="C105"/>
  <c r="F104"/>
  <c r="F102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C88"/>
  <c r="F87"/>
  <c r="H87" s="1"/>
  <c r="F86"/>
  <c r="H86" s="1"/>
  <c r="G85"/>
  <c r="E85"/>
  <c r="D85"/>
  <c r="C85"/>
  <c r="F84"/>
  <c r="H84" s="1"/>
  <c r="F83"/>
  <c r="H83" s="1"/>
  <c r="F82"/>
  <c r="H82" s="1"/>
  <c r="F81"/>
  <c r="H81" s="1"/>
  <c r="F80"/>
  <c r="H80" s="1"/>
  <c r="F79"/>
  <c r="H79" s="1"/>
  <c r="G78"/>
  <c r="E78"/>
  <c r="D78"/>
  <c r="C78"/>
  <c r="G76"/>
  <c r="E76"/>
  <c r="D76"/>
  <c r="C76"/>
  <c r="F75"/>
  <c r="H75" s="1"/>
  <c r="F74"/>
  <c r="H74" s="1"/>
  <c r="F73"/>
  <c r="H73" s="1"/>
  <c r="G72"/>
  <c r="E72"/>
  <c r="D72"/>
  <c r="C72"/>
  <c r="F71"/>
  <c r="H71" s="1"/>
  <c r="F70"/>
  <c r="H70" s="1"/>
  <c r="F69"/>
  <c r="H69" s="1"/>
  <c r="F68"/>
  <c r="H68" s="1"/>
  <c r="F66"/>
  <c r="H66" s="1"/>
  <c r="F59"/>
  <c r="H59" s="1"/>
  <c r="G58"/>
  <c r="E58"/>
  <c r="E62" s="1"/>
  <c r="D58"/>
  <c r="C58"/>
  <c r="C62" s="1"/>
  <c r="F57"/>
  <c r="H57" s="1"/>
  <c r="F54"/>
  <c r="H54" s="1"/>
  <c r="F53"/>
  <c r="H53" s="1"/>
  <c r="F52"/>
  <c r="H52" s="1"/>
  <c r="G51"/>
  <c r="E51"/>
  <c r="D51"/>
  <c r="C51"/>
  <c r="G48"/>
  <c r="E48"/>
  <c r="D48"/>
  <c r="F48" s="1"/>
  <c r="C48"/>
  <c r="F47"/>
  <c r="H47" s="1"/>
  <c r="F45"/>
  <c r="H45" s="1"/>
  <c r="G44"/>
  <c r="E44"/>
  <c r="E46" s="1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F33" s="1"/>
  <c r="D33"/>
  <c r="C33"/>
  <c r="F31"/>
  <c r="H31" s="1"/>
  <c r="G30"/>
  <c r="E30"/>
  <c r="D30"/>
  <c r="F30" s="1"/>
  <c r="C30"/>
  <c r="F29"/>
  <c r="H29" s="1"/>
  <c r="G28"/>
  <c r="E28"/>
  <c r="E32" s="1"/>
  <c r="D28"/>
  <c r="C28"/>
  <c r="C32" s="1"/>
  <c r="F27"/>
  <c r="H27" s="1"/>
  <c r="G26"/>
  <c r="E26"/>
  <c r="D26"/>
  <c r="F26" s="1"/>
  <c r="C26"/>
  <c r="G25"/>
  <c r="E25"/>
  <c r="D25"/>
  <c r="C25"/>
  <c r="F24"/>
  <c r="H24" s="1"/>
  <c r="F23"/>
  <c r="H23" s="1"/>
  <c r="G22"/>
  <c r="E22"/>
  <c r="D22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E20" s="1"/>
  <c r="D12"/>
  <c r="D20" s="1"/>
  <c r="C12"/>
  <c r="C20" s="1"/>
  <c r="F11"/>
  <c r="H11" s="1"/>
  <c r="F10"/>
  <c r="H10" s="1"/>
  <c r="F9"/>
  <c r="H9" s="1"/>
  <c r="F8"/>
  <c r="H8" s="1"/>
  <c r="F7"/>
  <c r="H7" s="1"/>
  <c r="F6"/>
  <c r="H6" s="1"/>
  <c r="G138" i="9"/>
  <c r="G139" s="1"/>
  <c r="E138"/>
  <c r="E139" s="1"/>
  <c r="D138"/>
  <c r="F138" s="1"/>
  <c r="H138" s="1"/>
  <c r="C138"/>
  <c r="C139" s="1"/>
  <c r="F137"/>
  <c r="H137" s="1"/>
  <c r="F136"/>
  <c r="H136" s="1"/>
  <c r="G134"/>
  <c r="E134"/>
  <c r="D134"/>
  <c r="F134" s="1"/>
  <c r="H134" s="1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E124" s="1"/>
  <c r="D119"/>
  <c r="C119"/>
  <c r="F118"/>
  <c r="H118" s="1"/>
  <c r="G117"/>
  <c r="E117"/>
  <c r="D117"/>
  <c r="F117" s="1"/>
  <c r="C117"/>
  <c r="G116"/>
  <c r="E116"/>
  <c r="D116"/>
  <c r="C116"/>
  <c r="C124" s="1"/>
  <c r="F115"/>
  <c r="H115" s="1"/>
  <c r="F114"/>
  <c r="H114" s="1"/>
  <c r="F112"/>
  <c r="H112" s="1"/>
  <c r="F111"/>
  <c r="H111" s="1"/>
  <c r="F110"/>
  <c r="H110" s="1"/>
  <c r="G109"/>
  <c r="E109"/>
  <c r="D109"/>
  <c r="C109"/>
  <c r="F108"/>
  <c r="H108" s="1"/>
  <c r="G107"/>
  <c r="E107"/>
  <c r="D107"/>
  <c r="C107"/>
  <c r="G105"/>
  <c r="E105"/>
  <c r="D105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C88"/>
  <c r="F87"/>
  <c r="H87" s="1"/>
  <c r="F86"/>
  <c r="H86" s="1"/>
  <c r="G85"/>
  <c r="E85"/>
  <c r="D85"/>
  <c r="C85"/>
  <c r="F84"/>
  <c r="H84" s="1"/>
  <c r="F83"/>
  <c r="H83" s="1"/>
  <c r="F82"/>
  <c r="H82" s="1"/>
  <c r="F81"/>
  <c r="H81" s="1"/>
  <c r="F80"/>
  <c r="H80" s="1"/>
  <c r="F79"/>
  <c r="H79" s="1"/>
  <c r="G78"/>
  <c r="E78"/>
  <c r="F78" s="1"/>
  <c r="D78"/>
  <c r="C78"/>
  <c r="G76"/>
  <c r="E76"/>
  <c r="E77" s="1"/>
  <c r="D76"/>
  <c r="C76"/>
  <c r="F75"/>
  <c r="H75" s="1"/>
  <c r="F74"/>
  <c r="H74" s="1"/>
  <c r="F73"/>
  <c r="H73" s="1"/>
  <c r="G72"/>
  <c r="E72"/>
  <c r="D72"/>
  <c r="F72" s="1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F48" s="1"/>
  <c r="C48"/>
  <c r="F47"/>
  <c r="H47" s="1"/>
  <c r="F45"/>
  <c r="H45" s="1"/>
  <c r="G44"/>
  <c r="E44"/>
  <c r="E46" s="1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F30" s="1"/>
  <c r="C30"/>
  <c r="F29"/>
  <c r="H29" s="1"/>
  <c r="G28"/>
  <c r="E28"/>
  <c r="E32" s="1"/>
  <c r="D28"/>
  <c r="C28"/>
  <c r="C32" s="1"/>
  <c r="F27"/>
  <c r="H27" s="1"/>
  <c r="G26"/>
  <c r="E26"/>
  <c r="D26"/>
  <c r="C26"/>
  <c r="G25"/>
  <c r="E25"/>
  <c r="D25"/>
  <c r="C25"/>
  <c r="F24"/>
  <c r="H24" s="1"/>
  <c r="F23"/>
  <c r="H23" s="1"/>
  <c r="G22"/>
  <c r="E22"/>
  <c r="D22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E20" s="1"/>
  <c r="D12"/>
  <c r="D20" s="1"/>
  <c r="C12"/>
  <c r="F11"/>
  <c r="H11" s="1"/>
  <c r="F10"/>
  <c r="H10" s="1"/>
  <c r="F9"/>
  <c r="H9" s="1"/>
  <c r="F8"/>
  <c r="H8" s="1"/>
  <c r="F7"/>
  <c r="H7" s="1"/>
  <c r="F6"/>
  <c r="H6" s="1"/>
  <c r="G138" i="10"/>
  <c r="G139" s="1"/>
  <c r="E138"/>
  <c r="E139" s="1"/>
  <c r="D138"/>
  <c r="D139" s="1"/>
  <c r="C138"/>
  <c r="C139" s="1"/>
  <c r="F137"/>
  <c r="H137" s="1"/>
  <c r="F136"/>
  <c r="H136" s="1"/>
  <c r="G134"/>
  <c r="E134"/>
  <c r="D134"/>
  <c r="C134"/>
  <c r="F133"/>
  <c r="H133" s="1"/>
  <c r="F132"/>
  <c r="H132" s="1"/>
  <c r="F131"/>
  <c r="H131" s="1"/>
  <c r="F129"/>
  <c r="H129" s="1"/>
  <c r="F128"/>
  <c r="F127"/>
  <c r="H127" s="1"/>
  <c r="F126"/>
  <c r="H126" s="1"/>
  <c r="F122"/>
  <c r="H122" s="1"/>
  <c r="F121"/>
  <c r="H121" s="1"/>
  <c r="F120"/>
  <c r="H120" s="1"/>
  <c r="G119"/>
  <c r="E119"/>
  <c r="D119"/>
  <c r="C119"/>
  <c r="F118"/>
  <c r="H118" s="1"/>
  <c r="G117"/>
  <c r="E117"/>
  <c r="D117"/>
  <c r="F117" s="1"/>
  <c r="C117"/>
  <c r="G116"/>
  <c r="G124" s="1"/>
  <c r="E116"/>
  <c r="D116"/>
  <c r="D124" s="1"/>
  <c r="C116"/>
  <c r="F115"/>
  <c r="H115" s="1"/>
  <c r="F114"/>
  <c r="H114" s="1"/>
  <c r="F112"/>
  <c r="H112" s="1"/>
  <c r="F111"/>
  <c r="H111" s="1"/>
  <c r="F110"/>
  <c r="H110" s="1"/>
  <c r="G109"/>
  <c r="E109"/>
  <c r="D109"/>
  <c r="C109"/>
  <c r="F108"/>
  <c r="H108" s="1"/>
  <c r="G107"/>
  <c r="E107"/>
  <c r="E113" s="1"/>
  <c r="D107"/>
  <c r="C107"/>
  <c r="G105"/>
  <c r="E105"/>
  <c r="D105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C88"/>
  <c r="F87"/>
  <c r="H87" s="1"/>
  <c r="F86"/>
  <c r="H86" s="1"/>
  <c r="G85"/>
  <c r="E85"/>
  <c r="D85"/>
  <c r="C85"/>
  <c r="F84"/>
  <c r="H84" s="1"/>
  <c r="F83"/>
  <c r="H83" s="1"/>
  <c r="F82"/>
  <c r="H82" s="1"/>
  <c r="F81"/>
  <c r="H81" s="1"/>
  <c r="F80"/>
  <c r="H80" s="1"/>
  <c r="F79"/>
  <c r="H79" s="1"/>
  <c r="G78"/>
  <c r="E78"/>
  <c r="D78"/>
  <c r="C78"/>
  <c r="G76"/>
  <c r="E76"/>
  <c r="D76"/>
  <c r="C76"/>
  <c r="F75"/>
  <c r="H75" s="1"/>
  <c r="F74"/>
  <c r="H74" s="1"/>
  <c r="F73"/>
  <c r="H73" s="1"/>
  <c r="G72"/>
  <c r="E72"/>
  <c r="D72"/>
  <c r="C72"/>
  <c r="C77" s="1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C51"/>
  <c r="C55" s="1"/>
  <c r="G48"/>
  <c r="E48"/>
  <c r="D48"/>
  <c r="C48"/>
  <c r="F47"/>
  <c r="H47" s="1"/>
  <c r="F45"/>
  <c r="H45" s="1"/>
  <c r="G44"/>
  <c r="G46" s="1"/>
  <c r="E44"/>
  <c r="E46" s="1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C30"/>
  <c r="F29"/>
  <c r="H29" s="1"/>
  <c r="G28"/>
  <c r="E28"/>
  <c r="D28"/>
  <c r="F28" s="1"/>
  <c r="C28"/>
  <c r="F27"/>
  <c r="H27" s="1"/>
  <c r="G26"/>
  <c r="E26"/>
  <c r="F26" s="1"/>
  <c r="D26"/>
  <c r="C26"/>
  <c r="G25"/>
  <c r="E25"/>
  <c r="D25"/>
  <c r="C25"/>
  <c r="F24"/>
  <c r="H24" s="1"/>
  <c r="F23"/>
  <c r="H23" s="1"/>
  <c r="G22"/>
  <c r="E22"/>
  <c r="D22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F13" s="1"/>
  <c r="H13" s="1"/>
  <c r="C13"/>
  <c r="G12"/>
  <c r="G20" s="1"/>
  <c r="E12"/>
  <c r="E20" s="1"/>
  <c r="D12"/>
  <c r="C12"/>
  <c r="C20" s="1"/>
  <c r="F11"/>
  <c r="H11" s="1"/>
  <c r="F10"/>
  <c r="H10" s="1"/>
  <c r="F9"/>
  <c r="H9" s="1"/>
  <c r="F8"/>
  <c r="H8" s="1"/>
  <c r="F7"/>
  <c r="H7" s="1"/>
  <c r="F6"/>
  <c r="H6" s="1"/>
  <c r="G138" i="11"/>
  <c r="G139" s="1"/>
  <c r="E138"/>
  <c r="E139" s="1"/>
  <c r="D138"/>
  <c r="D139" s="1"/>
  <c r="C138"/>
  <c r="C139" s="1"/>
  <c r="F137"/>
  <c r="H137" s="1"/>
  <c r="F136"/>
  <c r="H136" s="1"/>
  <c r="G134"/>
  <c r="E134"/>
  <c r="D134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C119"/>
  <c r="F118"/>
  <c r="H118" s="1"/>
  <c r="G117"/>
  <c r="E117"/>
  <c r="D117"/>
  <c r="C117"/>
  <c r="G116"/>
  <c r="G124" s="1"/>
  <c r="E116"/>
  <c r="D116"/>
  <c r="D124" s="1"/>
  <c r="C116"/>
  <c r="C124" s="1"/>
  <c r="F115"/>
  <c r="H115" s="1"/>
  <c r="F114"/>
  <c r="H114" s="1"/>
  <c r="F112"/>
  <c r="H112" s="1"/>
  <c r="F111"/>
  <c r="H111" s="1"/>
  <c r="F110"/>
  <c r="H110" s="1"/>
  <c r="G109"/>
  <c r="E109"/>
  <c r="D109"/>
  <c r="F109" s="1"/>
  <c r="H109" s="1"/>
  <c r="C109"/>
  <c r="F108"/>
  <c r="H108" s="1"/>
  <c r="G107"/>
  <c r="G113" s="1"/>
  <c r="E107"/>
  <c r="E113" s="1"/>
  <c r="D107"/>
  <c r="C107"/>
  <c r="G105"/>
  <c r="E105"/>
  <c r="F105" s="1"/>
  <c r="D105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F90"/>
  <c r="H90" s="1"/>
  <c r="F89"/>
  <c r="H89" s="1"/>
  <c r="G88"/>
  <c r="E88"/>
  <c r="D88"/>
  <c r="C88"/>
  <c r="F87"/>
  <c r="H87" s="1"/>
  <c r="F86"/>
  <c r="H86" s="1"/>
  <c r="G85"/>
  <c r="E85"/>
  <c r="D85"/>
  <c r="C85"/>
  <c r="F84"/>
  <c r="H84" s="1"/>
  <c r="F83"/>
  <c r="H83" s="1"/>
  <c r="F82"/>
  <c r="H82" s="1"/>
  <c r="F81"/>
  <c r="H81" s="1"/>
  <c r="F80"/>
  <c r="H80" s="1"/>
  <c r="F79"/>
  <c r="H79" s="1"/>
  <c r="G78"/>
  <c r="E78"/>
  <c r="F78" s="1"/>
  <c r="H78" s="1"/>
  <c r="D78"/>
  <c r="C78"/>
  <c r="G76"/>
  <c r="E76"/>
  <c r="D76"/>
  <c r="C76"/>
  <c r="F75"/>
  <c r="H75" s="1"/>
  <c r="F74"/>
  <c r="H74" s="1"/>
  <c r="F73"/>
  <c r="H73" s="1"/>
  <c r="G72"/>
  <c r="E72"/>
  <c r="D72"/>
  <c r="D77" s="1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F48" s="1"/>
  <c r="H48" s="1"/>
  <c r="C48"/>
  <c r="F47"/>
  <c r="H47" s="1"/>
  <c r="F45"/>
  <c r="H45" s="1"/>
  <c r="G44"/>
  <c r="E44"/>
  <c r="E46" s="1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C30"/>
  <c r="F29"/>
  <c r="H29" s="1"/>
  <c r="G28"/>
  <c r="E28"/>
  <c r="E32" s="1"/>
  <c r="D28"/>
  <c r="C28"/>
  <c r="F27"/>
  <c r="H27" s="1"/>
  <c r="G26"/>
  <c r="E26"/>
  <c r="D26"/>
  <c r="C26"/>
  <c r="G25"/>
  <c r="E25"/>
  <c r="D25"/>
  <c r="C25"/>
  <c r="F24"/>
  <c r="H24" s="1"/>
  <c r="F23"/>
  <c r="H23" s="1"/>
  <c r="G22"/>
  <c r="E22"/>
  <c r="D22"/>
  <c r="F22" s="1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D12"/>
  <c r="C12"/>
  <c r="F11"/>
  <c r="H11" s="1"/>
  <c r="F10"/>
  <c r="H10" s="1"/>
  <c r="F9"/>
  <c r="H9" s="1"/>
  <c r="F8"/>
  <c r="H8" s="1"/>
  <c r="F7"/>
  <c r="H7" s="1"/>
  <c r="F6"/>
  <c r="H6" s="1"/>
  <c r="G138" i="12"/>
  <c r="G139" s="1"/>
  <c r="F138"/>
  <c r="H138" s="1"/>
  <c r="E138"/>
  <c r="E139" s="1"/>
  <c r="D138"/>
  <c r="D139" s="1"/>
  <c r="C138"/>
  <c r="C139" s="1"/>
  <c r="F137"/>
  <c r="H137" s="1"/>
  <c r="F136"/>
  <c r="H136" s="1"/>
  <c r="G134"/>
  <c r="E134"/>
  <c r="D134"/>
  <c r="F134" s="1"/>
  <c r="H134" s="1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C119"/>
  <c r="F118"/>
  <c r="H118" s="1"/>
  <c r="G117"/>
  <c r="E117"/>
  <c r="D117"/>
  <c r="C117"/>
  <c r="G116"/>
  <c r="G124" s="1"/>
  <c r="E116"/>
  <c r="E124" s="1"/>
  <c r="D116"/>
  <c r="C116"/>
  <c r="C124" s="1"/>
  <c r="F115"/>
  <c r="H115" s="1"/>
  <c r="F114"/>
  <c r="H114" s="1"/>
  <c r="F112"/>
  <c r="H112" s="1"/>
  <c r="F111"/>
  <c r="H111" s="1"/>
  <c r="F110"/>
  <c r="H110" s="1"/>
  <c r="G109"/>
  <c r="E109"/>
  <c r="D109"/>
  <c r="C109"/>
  <c r="F108"/>
  <c r="H108" s="1"/>
  <c r="G107"/>
  <c r="E107"/>
  <c r="D107"/>
  <c r="C107"/>
  <c r="G105"/>
  <c r="E105"/>
  <c r="D105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C88"/>
  <c r="F87"/>
  <c r="H87" s="1"/>
  <c r="F86"/>
  <c r="H86" s="1"/>
  <c r="G85"/>
  <c r="E85"/>
  <c r="D85"/>
  <c r="C85"/>
  <c r="F84"/>
  <c r="H84" s="1"/>
  <c r="F83"/>
  <c r="H83" s="1"/>
  <c r="F82"/>
  <c r="H82" s="1"/>
  <c r="F81"/>
  <c r="H81" s="1"/>
  <c r="F80"/>
  <c r="H80" s="1"/>
  <c r="F79"/>
  <c r="H79" s="1"/>
  <c r="G78"/>
  <c r="E78"/>
  <c r="D78"/>
  <c r="C78"/>
  <c r="G76"/>
  <c r="E76"/>
  <c r="D76"/>
  <c r="C76"/>
  <c r="F75"/>
  <c r="H75" s="1"/>
  <c r="F74"/>
  <c r="H74" s="1"/>
  <c r="F73"/>
  <c r="H73" s="1"/>
  <c r="G72"/>
  <c r="E72"/>
  <c r="D72"/>
  <c r="D77" s="1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C48"/>
  <c r="F47"/>
  <c r="H47" s="1"/>
  <c r="F45"/>
  <c r="H45" s="1"/>
  <c r="G44"/>
  <c r="G46" s="1"/>
  <c r="E44"/>
  <c r="E46" s="1"/>
  <c r="D44"/>
  <c r="D46" s="1"/>
  <c r="F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D30"/>
  <c r="C30"/>
  <c r="F29"/>
  <c r="H29" s="1"/>
  <c r="G28"/>
  <c r="E28"/>
  <c r="D28"/>
  <c r="C28"/>
  <c r="C32" s="1"/>
  <c r="F27"/>
  <c r="H27" s="1"/>
  <c r="G26"/>
  <c r="E26"/>
  <c r="D26"/>
  <c r="C26"/>
  <c r="G25"/>
  <c r="E25"/>
  <c r="D25"/>
  <c r="F25" s="1"/>
  <c r="C25"/>
  <c r="F24"/>
  <c r="H24" s="1"/>
  <c r="F23"/>
  <c r="H23" s="1"/>
  <c r="G22"/>
  <c r="E22"/>
  <c r="D22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E20" s="1"/>
  <c r="D12"/>
  <c r="D20" s="1"/>
  <c r="C12"/>
  <c r="C20" s="1"/>
  <c r="F11"/>
  <c r="H11" s="1"/>
  <c r="F10"/>
  <c r="H10" s="1"/>
  <c r="F9"/>
  <c r="H9" s="1"/>
  <c r="F8"/>
  <c r="H8" s="1"/>
  <c r="F7"/>
  <c r="H7" s="1"/>
  <c r="F6"/>
  <c r="H6" s="1"/>
  <c r="G141" i="13"/>
  <c r="E141"/>
  <c r="D141"/>
  <c r="C141"/>
  <c r="F139"/>
  <c r="H139" s="1"/>
  <c r="F138"/>
  <c r="G135"/>
  <c r="E135"/>
  <c r="D135"/>
  <c r="C135"/>
  <c r="F134"/>
  <c r="H134" s="1"/>
  <c r="F133"/>
  <c r="H133" s="1"/>
  <c r="F132"/>
  <c r="H132" s="1"/>
  <c r="F130"/>
  <c r="H130" s="1"/>
  <c r="F129"/>
  <c r="H129" s="1"/>
  <c r="F128"/>
  <c r="H128" s="1"/>
  <c r="F127"/>
  <c r="F123"/>
  <c r="H123" s="1"/>
  <c r="F122"/>
  <c r="H122" s="1"/>
  <c r="F121"/>
  <c r="H121" s="1"/>
  <c r="G120"/>
  <c r="E120"/>
  <c r="F120" s="1"/>
  <c r="D120"/>
  <c r="C120"/>
  <c r="F119"/>
  <c r="H119" s="1"/>
  <c r="G118"/>
  <c r="E118"/>
  <c r="D118"/>
  <c r="C118"/>
  <c r="G117"/>
  <c r="E117"/>
  <c r="E125" s="1"/>
  <c r="D117"/>
  <c r="D125" s="1"/>
  <c r="C117"/>
  <c r="C125" s="1"/>
  <c r="F116"/>
  <c r="H116" s="1"/>
  <c r="F115"/>
  <c r="H115" s="1"/>
  <c r="F113"/>
  <c r="H113" s="1"/>
  <c r="F112"/>
  <c r="H112" s="1"/>
  <c r="F111"/>
  <c r="H111" s="1"/>
  <c r="G110"/>
  <c r="E110"/>
  <c r="D110"/>
  <c r="C110"/>
  <c r="F109"/>
  <c r="H109" s="1"/>
  <c r="G108"/>
  <c r="E108"/>
  <c r="D108"/>
  <c r="C108"/>
  <c r="G106"/>
  <c r="E106"/>
  <c r="F106" s="1"/>
  <c r="D106"/>
  <c r="C106"/>
  <c r="F105"/>
  <c r="H105" s="1"/>
  <c r="F103"/>
  <c r="H103" s="1"/>
  <c r="F101"/>
  <c r="F98"/>
  <c r="H98" s="1"/>
  <c r="F97"/>
  <c r="H97" s="1"/>
  <c r="F96"/>
  <c r="H96" s="1"/>
  <c r="F95"/>
  <c r="H95" s="1"/>
  <c r="F94"/>
  <c r="H94" s="1"/>
  <c r="F93"/>
  <c r="F91"/>
  <c r="H91" s="1"/>
  <c r="F90"/>
  <c r="H90" s="1"/>
  <c r="G89"/>
  <c r="E89"/>
  <c r="D89"/>
  <c r="C89"/>
  <c r="F88"/>
  <c r="H88" s="1"/>
  <c r="F87"/>
  <c r="H87" s="1"/>
  <c r="G86"/>
  <c r="E86"/>
  <c r="D86"/>
  <c r="C86"/>
  <c r="F85"/>
  <c r="H85" s="1"/>
  <c r="F84"/>
  <c r="H84" s="1"/>
  <c r="F83"/>
  <c r="H83" s="1"/>
  <c r="F82"/>
  <c r="H82" s="1"/>
  <c r="F81"/>
  <c r="H81" s="1"/>
  <c r="F80"/>
  <c r="H80" s="1"/>
  <c r="G79"/>
  <c r="E79"/>
  <c r="D79"/>
  <c r="C79"/>
  <c r="G77"/>
  <c r="E77"/>
  <c r="D77"/>
  <c r="C77"/>
  <c r="F76"/>
  <c r="H76" s="1"/>
  <c r="F75"/>
  <c r="H75" s="1"/>
  <c r="F74"/>
  <c r="H74" s="1"/>
  <c r="G73"/>
  <c r="G78" s="1"/>
  <c r="E73"/>
  <c r="E78" s="1"/>
  <c r="D73"/>
  <c r="C73"/>
  <c r="C78" s="1"/>
  <c r="F72"/>
  <c r="H72" s="1"/>
  <c r="F71"/>
  <c r="H71" s="1"/>
  <c r="F70"/>
  <c r="H70" s="1"/>
  <c r="F69"/>
  <c r="H69" s="1"/>
  <c r="F67"/>
  <c r="H67" s="1"/>
  <c r="F60"/>
  <c r="H60" s="1"/>
  <c r="G59"/>
  <c r="G62" s="1"/>
  <c r="E59"/>
  <c r="E62" s="1"/>
  <c r="D59"/>
  <c r="D62" s="1"/>
  <c r="C59"/>
  <c r="F58"/>
  <c r="H58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C48"/>
  <c r="F47"/>
  <c r="H47" s="1"/>
  <c r="F45"/>
  <c r="H45" s="1"/>
  <c r="G44"/>
  <c r="G46" s="1"/>
  <c r="E44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F33" s="1"/>
  <c r="C33"/>
  <c r="F31"/>
  <c r="H31" s="1"/>
  <c r="G30"/>
  <c r="E30"/>
  <c r="F30" s="1"/>
  <c r="H30" s="1"/>
  <c r="D30"/>
  <c r="C30"/>
  <c r="F29"/>
  <c r="H29" s="1"/>
  <c r="G28"/>
  <c r="G32" s="1"/>
  <c r="E28"/>
  <c r="D28"/>
  <c r="C28"/>
  <c r="F27"/>
  <c r="H27" s="1"/>
  <c r="G26"/>
  <c r="E26"/>
  <c r="D26"/>
  <c r="C26"/>
  <c r="G25"/>
  <c r="E25"/>
  <c r="D25"/>
  <c r="C25"/>
  <c r="F24"/>
  <c r="H24" s="1"/>
  <c r="F23"/>
  <c r="H23" s="1"/>
  <c r="G22"/>
  <c r="E22"/>
  <c r="F22" s="1"/>
  <c r="D22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F13" s="1"/>
  <c r="C13"/>
  <c r="G12"/>
  <c r="E12"/>
  <c r="E20" s="1"/>
  <c r="D12"/>
  <c r="C12"/>
  <c r="C20" s="1"/>
  <c r="F11"/>
  <c r="H11" s="1"/>
  <c r="F10"/>
  <c r="H10" s="1"/>
  <c r="F9"/>
  <c r="H9" s="1"/>
  <c r="F8"/>
  <c r="H8" s="1"/>
  <c r="F7"/>
  <c r="H7" s="1"/>
  <c r="F6"/>
  <c r="H6" s="1"/>
  <c r="G138" i="14"/>
  <c r="E138"/>
  <c r="E139" s="1"/>
  <c r="D138"/>
  <c r="D139" s="1"/>
  <c r="F139" s="1"/>
  <c r="C138"/>
  <c r="C139" s="1"/>
  <c r="F137"/>
  <c r="H137" s="1"/>
  <c r="F136"/>
  <c r="H136" s="1"/>
  <c r="G134"/>
  <c r="E134"/>
  <c r="D134"/>
  <c r="F134" s="1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C119"/>
  <c r="F118"/>
  <c r="H118" s="1"/>
  <c r="G117"/>
  <c r="E117"/>
  <c r="D117"/>
  <c r="C117"/>
  <c r="G116"/>
  <c r="G124" s="1"/>
  <c r="E116"/>
  <c r="D116"/>
  <c r="D124" s="1"/>
  <c r="C116"/>
  <c r="C124" s="1"/>
  <c r="F115"/>
  <c r="H115" s="1"/>
  <c r="F114"/>
  <c r="H114" s="1"/>
  <c r="F112"/>
  <c r="H112" s="1"/>
  <c r="F111"/>
  <c r="H111" s="1"/>
  <c r="F110"/>
  <c r="H110" s="1"/>
  <c r="G109"/>
  <c r="E109"/>
  <c r="D109"/>
  <c r="C109"/>
  <c r="F108"/>
  <c r="H108" s="1"/>
  <c r="G107"/>
  <c r="E107"/>
  <c r="D107"/>
  <c r="C107"/>
  <c r="G105"/>
  <c r="E105"/>
  <c r="D105"/>
  <c r="C105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F88" s="1"/>
  <c r="H88" s="1"/>
  <c r="C88"/>
  <c r="F87"/>
  <c r="H87" s="1"/>
  <c r="F86"/>
  <c r="H86" s="1"/>
  <c r="G85"/>
  <c r="G106" s="1"/>
  <c r="E85"/>
  <c r="E106" s="1"/>
  <c r="D85"/>
  <c r="C85"/>
  <c r="F84"/>
  <c r="H84" s="1"/>
  <c r="F83"/>
  <c r="H83" s="1"/>
  <c r="F82"/>
  <c r="H82" s="1"/>
  <c r="F81"/>
  <c r="H81" s="1"/>
  <c r="F80"/>
  <c r="H80" s="1"/>
  <c r="F79"/>
  <c r="H79" s="1"/>
  <c r="G78"/>
  <c r="E78"/>
  <c r="D78"/>
  <c r="C78"/>
  <c r="G76"/>
  <c r="E76"/>
  <c r="D76"/>
  <c r="C76"/>
  <c r="F75"/>
  <c r="H75" s="1"/>
  <c r="F74"/>
  <c r="H74" s="1"/>
  <c r="F73"/>
  <c r="H73" s="1"/>
  <c r="G72"/>
  <c r="G77" s="1"/>
  <c r="E72"/>
  <c r="D72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C51"/>
  <c r="C55" s="1"/>
  <c r="G48"/>
  <c r="E48"/>
  <c r="D48"/>
  <c r="F48" s="1"/>
  <c r="H48" s="1"/>
  <c r="C48"/>
  <c r="F47"/>
  <c r="H47" s="1"/>
  <c r="F45"/>
  <c r="H45" s="1"/>
  <c r="G44"/>
  <c r="G46" s="1"/>
  <c r="E44"/>
  <c r="E46" s="1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F33" s="1"/>
  <c r="H33" s="1"/>
  <c r="C33"/>
  <c r="F31"/>
  <c r="H31" s="1"/>
  <c r="G30"/>
  <c r="E30"/>
  <c r="F30" s="1"/>
  <c r="D30"/>
  <c r="C30"/>
  <c r="F29"/>
  <c r="H29" s="1"/>
  <c r="G28"/>
  <c r="E28"/>
  <c r="D28"/>
  <c r="C28"/>
  <c r="F27"/>
  <c r="H27" s="1"/>
  <c r="G26"/>
  <c r="E26"/>
  <c r="D26"/>
  <c r="C26"/>
  <c r="G25"/>
  <c r="E25"/>
  <c r="D25"/>
  <c r="C25"/>
  <c r="F24"/>
  <c r="H24" s="1"/>
  <c r="F23"/>
  <c r="H23" s="1"/>
  <c r="G22"/>
  <c r="E22"/>
  <c r="F22" s="1"/>
  <c r="H22" s="1"/>
  <c r="D22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F13" s="1"/>
  <c r="C13"/>
  <c r="G12"/>
  <c r="G20" s="1"/>
  <c r="E12"/>
  <c r="E20" s="1"/>
  <c r="D12"/>
  <c r="D20" s="1"/>
  <c r="F20" s="1"/>
  <c r="C12"/>
  <c r="F11"/>
  <c r="H11" s="1"/>
  <c r="F10"/>
  <c r="H10" s="1"/>
  <c r="F9"/>
  <c r="H9" s="1"/>
  <c r="F8"/>
  <c r="H8" s="1"/>
  <c r="F7"/>
  <c r="H7" s="1"/>
  <c r="F6"/>
  <c r="H6" s="1"/>
  <c r="G138" i="15"/>
  <c r="E138"/>
  <c r="D138"/>
  <c r="C138"/>
  <c r="F137"/>
  <c r="F136"/>
  <c r="G134"/>
  <c r="E134"/>
  <c r="D134"/>
  <c r="C134"/>
  <c r="F133"/>
  <c r="F132"/>
  <c r="F131"/>
  <c r="F129"/>
  <c r="F128"/>
  <c r="F127"/>
  <c r="F126"/>
  <c r="F122"/>
  <c r="F121"/>
  <c r="F120"/>
  <c r="G119"/>
  <c r="E119"/>
  <c r="D119"/>
  <c r="C119"/>
  <c r="F118"/>
  <c r="G117"/>
  <c r="E117"/>
  <c r="D117"/>
  <c r="C117"/>
  <c r="G116"/>
  <c r="G124" s="1"/>
  <c r="E116"/>
  <c r="D116"/>
  <c r="D124" s="1"/>
  <c r="C116"/>
  <c r="C124" s="1"/>
  <c r="F115"/>
  <c r="F114"/>
  <c r="F112"/>
  <c r="F111"/>
  <c r="F110"/>
  <c r="G109"/>
  <c r="E109"/>
  <c r="D109"/>
  <c r="C109"/>
  <c r="F108"/>
  <c r="G107"/>
  <c r="E107"/>
  <c r="D107"/>
  <c r="C107"/>
  <c r="G105"/>
  <c r="E105"/>
  <c r="D105"/>
  <c r="C105"/>
  <c r="F104"/>
  <c r="F102"/>
  <c r="F100"/>
  <c r="F101" s="1"/>
  <c r="F97"/>
  <c r="F96"/>
  <c r="F95"/>
  <c r="F94"/>
  <c r="F93"/>
  <c r="F92"/>
  <c r="H92" s="1"/>
  <c r="F90"/>
  <c r="F89"/>
  <c r="G88"/>
  <c r="E88"/>
  <c r="D88"/>
  <c r="C88"/>
  <c r="F87"/>
  <c r="H87" s="1"/>
  <c r="F86"/>
  <c r="G85"/>
  <c r="E85"/>
  <c r="D85"/>
  <c r="C85"/>
  <c r="F84"/>
  <c r="F83"/>
  <c r="F82"/>
  <c r="F81"/>
  <c r="F80"/>
  <c r="F79"/>
  <c r="H79" s="1"/>
  <c r="G78"/>
  <c r="E78"/>
  <c r="D78"/>
  <c r="C78"/>
  <c r="G76"/>
  <c r="E76"/>
  <c r="D76"/>
  <c r="C76"/>
  <c r="F75"/>
  <c r="F74"/>
  <c r="F73"/>
  <c r="G72"/>
  <c r="E72"/>
  <c r="D72"/>
  <c r="C72"/>
  <c r="F71"/>
  <c r="F70"/>
  <c r="F69"/>
  <c r="F68"/>
  <c r="F66"/>
  <c r="F59"/>
  <c r="H59" s="1"/>
  <c r="G58"/>
  <c r="G61" s="1"/>
  <c r="E58"/>
  <c r="D58"/>
  <c r="D61" s="1"/>
  <c r="C58"/>
  <c r="F57"/>
  <c r="H57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C48"/>
  <c r="F47"/>
  <c r="H47" s="1"/>
  <c r="F45"/>
  <c r="H45" s="1"/>
  <c r="G44"/>
  <c r="E44"/>
  <c r="E46" s="1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D33"/>
  <c r="C33"/>
  <c r="F31"/>
  <c r="H31" s="1"/>
  <c r="G30"/>
  <c r="E30"/>
  <c r="F30" s="1"/>
  <c r="D30"/>
  <c r="C30"/>
  <c r="F29"/>
  <c r="H29" s="1"/>
  <c r="G28"/>
  <c r="E28"/>
  <c r="D28"/>
  <c r="C28"/>
  <c r="C32" s="1"/>
  <c r="F27"/>
  <c r="H27" s="1"/>
  <c r="G26"/>
  <c r="E26"/>
  <c r="D26"/>
  <c r="C26"/>
  <c r="G25"/>
  <c r="E25"/>
  <c r="D25"/>
  <c r="C25"/>
  <c r="F24"/>
  <c r="H24" s="1"/>
  <c r="F23"/>
  <c r="H23" s="1"/>
  <c r="G22"/>
  <c r="E22"/>
  <c r="D22"/>
  <c r="C22"/>
  <c r="F21"/>
  <c r="H21" s="1"/>
  <c r="F19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D12"/>
  <c r="D20" s="1"/>
  <c r="C12"/>
  <c r="F11"/>
  <c r="F10"/>
  <c r="H10" s="1"/>
  <c r="F9"/>
  <c r="H9" s="1"/>
  <c r="F8"/>
  <c r="H8" s="1"/>
  <c r="F7"/>
  <c r="H7" s="1"/>
  <c r="F6"/>
  <c r="H6" s="1"/>
  <c r="F6" i="16"/>
  <c r="H6" s="1"/>
  <c r="F7"/>
  <c r="H7" s="1"/>
  <c r="F8"/>
  <c r="H8" s="1"/>
  <c r="F9"/>
  <c r="H9" s="1"/>
  <c r="F10"/>
  <c r="H10" s="1"/>
  <c r="F11"/>
  <c r="H11" s="1"/>
  <c r="C12"/>
  <c r="C20" s="1"/>
  <c r="D12"/>
  <c r="E12"/>
  <c r="G12"/>
  <c r="C13"/>
  <c r="D13"/>
  <c r="F13" s="1"/>
  <c r="E13"/>
  <c r="G13"/>
  <c r="F14"/>
  <c r="H14" s="1"/>
  <c r="F15"/>
  <c r="H15" s="1"/>
  <c r="F16"/>
  <c r="H16" s="1"/>
  <c r="F17"/>
  <c r="H17" s="1"/>
  <c r="F18"/>
  <c r="H18" s="1"/>
  <c r="F19"/>
  <c r="H19" s="1"/>
  <c r="E20"/>
  <c r="F21"/>
  <c r="H21" s="1"/>
  <c r="C22"/>
  <c r="D22"/>
  <c r="E22"/>
  <c r="G22"/>
  <c r="F23"/>
  <c r="H23" s="1"/>
  <c r="F24"/>
  <c r="H24" s="1"/>
  <c r="C25"/>
  <c r="D25"/>
  <c r="E25"/>
  <c r="G25"/>
  <c r="C26"/>
  <c r="D26"/>
  <c r="E26"/>
  <c r="G26"/>
  <c r="F27"/>
  <c r="H27" s="1"/>
  <c r="C28"/>
  <c r="D28"/>
  <c r="F28" s="1"/>
  <c r="E28"/>
  <c r="E32" s="1"/>
  <c r="G28"/>
  <c r="F29"/>
  <c r="H29" s="1"/>
  <c r="C30"/>
  <c r="D30"/>
  <c r="E30"/>
  <c r="G30"/>
  <c r="G32" s="1"/>
  <c r="G36" s="1"/>
  <c r="F31"/>
  <c r="H31" s="1"/>
  <c r="C33"/>
  <c r="D33"/>
  <c r="E33"/>
  <c r="G33"/>
  <c r="F34"/>
  <c r="H34" s="1"/>
  <c r="F35"/>
  <c r="H35" s="1"/>
  <c r="F37"/>
  <c r="H37" s="1"/>
  <c r="F38"/>
  <c r="H38" s="1"/>
  <c r="F39"/>
  <c r="H39" s="1"/>
  <c r="F40"/>
  <c r="H40" s="1"/>
  <c r="F41"/>
  <c r="H41" s="1"/>
  <c r="F42"/>
  <c r="H42" s="1"/>
  <c r="F43"/>
  <c r="H43" s="1"/>
  <c r="C44"/>
  <c r="C46" s="1"/>
  <c r="D44"/>
  <c r="E44"/>
  <c r="E46" s="1"/>
  <c r="G44"/>
  <c r="F45"/>
  <c r="H45" s="1"/>
  <c r="D46"/>
  <c r="G46"/>
  <c r="F47"/>
  <c r="H47" s="1"/>
  <c r="C48"/>
  <c r="D48"/>
  <c r="E48"/>
  <c r="G48"/>
  <c r="C51"/>
  <c r="C55" s="1"/>
  <c r="D51"/>
  <c r="D55" s="1"/>
  <c r="E51"/>
  <c r="G51"/>
  <c r="G55" s="1"/>
  <c r="F52"/>
  <c r="H52" s="1"/>
  <c r="F53"/>
  <c r="H53" s="1"/>
  <c r="F54"/>
  <c r="H54" s="1"/>
  <c r="F57"/>
  <c r="H57" s="1"/>
  <c r="C58"/>
  <c r="D58"/>
  <c r="D61" s="1"/>
  <c r="E58"/>
  <c r="G58"/>
  <c r="G61" s="1"/>
  <c r="F59"/>
  <c r="H59" s="1"/>
  <c r="F66"/>
  <c r="H66" s="1"/>
  <c r="F68"/>
  <c r="H68" s="1"/>
  <c r="F69"/>
  <c r="H69" s="1"/>
  <c r="F70"/>
  <c r="H70" s="1"/>
  <c r="F71"/>
  <c r="H71" s="1"/>
  <c r="C72"/>
  <c r="D72"/>
  <c r="E72"/>
  <c r="G72"/>
  <c r="F73"/>
  <c r="H73" s="1"/>
  <c r="F74"/>
  <c r="H74" s="1"/>
  <c r="F75"/>
  <c r="H75" s="1"/>
  <c r="C76"/>
  <c r="D76"/>
  <c r="F76" s="1"/>
  <c r="E76"/>
  <c r="E77" s="1"/>
  <c r="G76"/>
  <c r="C78"/>
  <c r="D78"/>
  <c r="E78"/>
  <c r="G78"/>
  <c r="F79"/>
  <c r="H79" s="1"/>
  <c r="F80"/>
  <c r="H80" s="1"/>
  <c r="F81"/>
  <c r="H81" s="1"/>
  <c r="F82"/>
  <c r="H82" s="1"/>
  <c r="F83"/>
  <c r="H83" s="1"/>
  <c r="F84"/>
  <c r="H84" s="1"/>
  <c r="C85"/>
  <c r="D85"/>
  <c r="E85"/>
  <c r="G85"/>
  <c r="F86"/>
  <c r="H86" s="1"/>
  <c r="F87"/>
  <c r="H87" s="1"/>
  <c r="C88"/>
  <c r="D88"/>
  <c r="E88"/>
  <c r="G88"/>
  <c r="F89"/>
  <c r="H89" s="1"/>
  <c r="F90"/>
  <c r="H90" s="1"/>
  <c r="F92"/>
  <c r="H92" s="1"/>
  <c r="F93"/>
  <c r="H93" s="1"/>
  <c r="F94"/>
  <c r="H94" s="1"/>
  <c r="F95"/>
  <c r="H95" s="1"/>
  <c r="F96"/>
  <c r="F97"/>
  <c r="H97" s="1"/>
  <c r="F100"/>
  <c r="F102"/>
  <c r="H102" s="1"/>
  <c r="F104"/>
  <c r="H104" s="1"/>
  <c r="C105"/>
  <c r="D105"/>
  <c r="D106" s="1"/>
  <c r="E105"/>
  <c r="G105"/>
  <c r="G106"/>
  <c r="C107"/>
  <c r="D107"/>
  <c r="E107"/>
  <c r="F107" s="1"/>
  <c r="G107"/>
  <c r="G113" s="1"/>
  <c r="F108"/>
  <c r="H108" s="1"/>
  <c r="C109"/>
  <c r="D109"/>
  <c r="E109"/>
  <c r="F109" s="1"/>
  <c r="G109"/>
  <c r="F110"/>
  <c r="H110" s="1"/>
  <c r="F111"/>
  <c r="H111" s="1"/>
  <c r="F112"/>
  <c r="H112" s="1"/>
  <c r="D113"/>
  <c r="F114"/>
  <c r="H114" s="1"/>
  <c r="F115"/>
  <c r="H115" s="1"/>
  <c r="C116"/>
  <c r="C124" s="1"/>
  <c r="D116"/>
  <c r="E116"/>
  <c r="G116"/>
  <c r="G124" s="1"/>
  <c r="C117"/>
  <c r="D117"/>
  <c r="E117"/>
  <c r="F117" s="1"/>
  <c r="G117"/>
  <c r="F118"/>
  <c r="H118" s="1"/>
  <c r="C119"/>
  <c r="D119"/>
  <c r="E119"/>
  <c r="F119" s="1"/>
  <c r="G119"/>
  <c r="F120"/>
  <c r="H120" s="1"/>
  <c r="F121"/>
  <c r="H121" s="1"/>
  <c r="F122"/>
  <c r="H122" s="1"/>
  <c r="F126"/>
  <c r="F127"/>
  <c r="H127" s="1"/>
  <c r="F128"/>
  <c r="H128" s="1"/>
  <c r="F129"/>
  <c r="H129" s="1"/>
  <c r="F131"/>
  <c r="H131" s="1"/>
  <c r="F132"/>
  <c r="H132" s="1"/>
  <c r="F133"/>
  <c r="H133" s="1"/>
  <c r="C134"/>
  <c r="D134"/>
  <c r="F134" s="1"/>
  <c r="H134" s="1"/>
  <c r="E134"/>
  <c r="G134"/>
  <c r="F136"/>
  <c r="H136" s="1"/>
  <c r="F137"/>
  <c r="H137" s="1"/>
  <c r="C138"/>
  <c r="D138"/>
  <c r="E138"/>
  <c r="E139" s="1"/>
  <c r="G138"/>
  <c r="G139" s="1"/>
  <c r="C139"/>
  <c r="G138" i="17"/>
  <c r="G139" s="1"/>
  <c r="E138"/>
  <c r="F138" s="1"/>
  <c r="D138"/>
  <c r="D139" s="1"/>
  <c r="C138"/>
  <c r="C139" s="1"/>
  <c r="F137"/>
  <c r="H137" s="1"/>
  <c r="F136"/>
  <c r="H136" s="1"/>
  <c r="G134"/>
  <c r="E134"/>
  <c r="D134"/>
  <c r="C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C119"/>
  <c r="F118"/>
  <c r="H118" s="1"/>
  <c r="G117"/>
  <c r="E117"/>
  <c r="D117"/>
  <c r="C117"/>
  <c r="G116"/>
  <c r="G124" s="1"/>
  <c r="E116"/>
  <c r="D116"/>
  <c r="D124" s="1"/>
  <c r="C116"/>
  <c r="C124" s="1"/>
  <c r="F115"/>
  <c r="H115" s="1"/>
  <c r="F114"/>
  <c r="H114" s="1"/>
  <c r="F112"/>
  <c r="H112" s="1"/>
  <c r="F111"/>
  <c r="H111" s="1"/>
  <c r="F110"/>
  <c r="H110" s="1"/>
  <c r="G109"/>
  <c r="E109"/>
  <c r="D109"/>
  <c r="F109" s="1"/>
  <c r="C109"/>
  <c r="F108"/>
  <c r="H108" s="1"/>
  <c r="G107"/>
  <c r="E107"/>
  <c r="E113" s="1"/>
  <c r="D107"/>
  <c r="C107"/>
  <c r="G105"/>
  <c r="E105"/>
  <c r="D105"/>
  <c r="C105"/>
  <c r="F104"/>
  <c r="H104" s="1"/>
  <c r="F102"/>
  <c r="H102" s="1"/>
  <c r="F100"/>
  <c r="F97"/>
  <c r="H97" s="1"/>
  <c r="F96"/>
  <c r="F95"/>
  <c r="H95" s="1"/>
  <c r="F94"/>
  <c r="H94" s="1"/>
  <c r="F93"/>
  <c r="H93" s="1"/>
  <c r="F92"/>
  <c r="H92" s="1"/>
  <c r="F90"/>
  <c r="H90" s="1"/>
  <c r="F89"/>
  <c r="H89" s="1"/>
  <c r="G88"/>
  <c r="E88"/>
  <c r="D88"/>
  <c r="F88" s="1"/>
  <c r="C88"/>
  <c r="F87"/>
  <c r="H87" s="1"/>
  <c r="F86"/>
  <c r="H86" s="1"/>
  <c r="G85"/>
  <c r="E85"/>
  <c r="D85"/>
  <c r="C85"/>
  <c r="F84"/>
  <c r="H84" s="1"/>
  <c r="F83"/>
  <c r="H83" s="1"/>
  <c r="F82"/>
  <c r="H82" s="1"/>
  <c r="F81"/>
  <c r="H81" s="1"/>
  <c r="F80"/>
  <c r="H80" s="1"/>
  <c r="F79"/>
  <c r="H79" s="1"/>
  <c r="G78"/>
  <c r="E78"/>
  <c r="D78"/>
  <c r="F78" s="1"/>
  <c r="C78"/>
  <c r="G76"/>
  <c r="E76"/>
  <c r="D76"/>
  <c r="F76" s="1"/>
  <c r="C76"/>
  <c r="F75"/>
  <c r="H75" s="1"/>
  <c r="F74"/>
  <c r="H74" s="1"/>
  <c r="F73"/>
  <c r="H73" s="1"/>
  <c r="G72"/>
  <c r="E72"/>
  <c r="D72"/>
  <c r="C72"/>
  <c r="F71"/>
  <c r="H71" s="1"/>
  <c r="F70"/>
  <c r="H70" s="1"/>
  <c r="F69"/>
  <c r="H69" s="1"/>
  <c r="F68"/>
  <c r="H68" s="1"/>
  <c r="F66"/>
  <c r="H66" s="1"/>
  <c r="F59"/>
  <c r="H59" s="1"/>
  <c r="G58"/>
  <c r="G61" s="1"/>
  <c r="E58"/>
  <c r="D58"/>
  <c r="D61" s="1"/>
  <c r="C58"/>
  <c r="C61" s="1"/>
  <c r="C62" s="1"/>
  <c r="F57"/>
  <c r="H57" s="1"/>
  <c r="F54"/>
  <c r="H54" s="1"/>
  <c r="F53"/>
  <c r="H53" s="1"/>
  <c r="F52"/>
  <c r="H52" s="1"/>
  <c r="G51"/>
  <c r="G55" s="1"/>
  <c r="E51"/>
  <c r="E55" s="1"/>
  <c r="D51"/>
  <c r="D55" s="1"/>
  <c r="C51"/>
  <c r="C55" s="1"/>
  <c r="G48"/>
  <c r="E48"/>
  <c r="D48"/>
  <c r="C48"/>
  <c r="F47"/>
  <c r="H47" s="1"/>
  <c r="F45"/>
  <c r="H45" s="1"/>
  <c r="G44"/>
  <c r="E44"/>
  <c r="E46" s="1"/>
  <c r="D44"/>
  <c r="D46" s="1"/>
  <c r="C44"/>
  <c r="C46" s="1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E33"/>
  <c r="F33" s="1"/>
  <c r="D33"/>
  <c r="C33"/>
  <c r="F31"/>
  <c r="H31" s="1"/>
  <c r="G30"/>
  <c r="E30"/>
  <c r="D30"/>
  <c r="C30"/>
  <c r="F29"/>
  <c r="H29" s="1"/>
  <c r="G28"/>
  <c r="E28"/>
  <c r="D28"/>
  <c r="C28"/>
  <c r="C32" s="1"/>
  <c r="F27"/>
  <c r="H27" s="1"/>
  <c r="G26"/>
  <c r="E26"/>
  <c r="D26"/>
  <c r="F26" s="1"/>
  <c r="H26" s="1"/>
  <c r="C26"/>
  <c r="G25"/>
  <c r="E25"/>
  <c r="D25"/>
  <c r="C25"/>
  <c r="F24"/>
  <c r="H24" s="1"/>
  <c r="F23"/>
  <c r="H23" s="1"/>
  <c r="G22"/>
  <c r="E22"/>
  <c r="D22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E12"/>
  <c r="E20" s="1"/>
  <c r="D12"/>
  <c r="C12"/>
  <c r="C20" s="1"/>
  <c r="F11"/>
  <c r="H11" s="1"/>
  <c r="F10"/>
  <c r="H10" s="1"/>
  <c r="F9"/>
  <c r="H9" s="1"/>
  <c r="F8"/>
  <c r="H8" s="1"/>
  <c r="F7"/>
  <c r="H7" s="1"/>
  <c r="H6"/>
  <c r="F6"/>
  <c r="C58" i="18"/>
  <c r="C28"/>
  <c r="C52" i="24"/>
  <c r="C56" s="1"/>
  <c r="C72" i="18"/>
  <c r="C77" s="1"/>
  <c r="C76"/>
  <c r="C78"/>
  <c r="C85"/>
  <c r="C88"/>
  <c r="C105"/>
  <c r="C107"/>
  <c r="C109"/>
  <c r="C116"/>
  <c r="C117"/>
  <c r="C119"/>
  <c r="C134"/>
  <c r="C138"/>
  <c r="C139" s="1"/>
  <c r="C12"/>
  <c r="C13"/>
  <c r="C22"/>
  <c r="C25"/>
  <c r="C26"/>
  <c r="C30"/>
  <c r="C33"/>
  <c r="C44"/>
  <c r="C46" s="1"/>
  <c r="C48"/>
  <c r="C51"/>
  <c r="C55" s="1"/>
  <c r="G138"/>
  <c r="G139" s="1"/>
  <c r="E138"/>
  <c r="E139" s="1"/>
  <c r="D138"/>
  <c r="F138" s="1"/>
  <c r="F137"/>
  <c r="H137" s="1"/>
  <c r="F136"/>
  <c r="H136" s="1"/>
  <c r="G134"/>
  <c r="E134"/>
  <c r="D134"/>
  <c r="F133"/>
  <c r="H133" s="1"/>
  <c r="F132"/>
  <c r="H132" s="1"/>
  <c r="F131"/>
  <c r="H131" s="1"/>
  <c r="F129"/>
  <c r="H129" s="1"/>
  <c r="F128"/>
  <c r="H128" s="1"/>
  <c r="F127"/>
  <c r="H127" s="1"/>
  <c r="F126"/>
  <c r="F122"/>
  <c r="H122" s="1"/>
  <c r="F121"/>
  <c r="H121" s="1"/>
  <c r="F120"/>
  <c r="H120" s="1"/>
  <c r="G119"/>
  <c r="E119"/>
  <c r="D119"/>
  <c r="F119" s="1"/>
  <c r="F118"/>
  <c r="H118" s="1"/>
  <c r="G117"/>
  <c r="E117"/>
  <c r="D117"/>
  <c r="F117" s="1"/>
  <c r="H117" s="1"/>
  <c r="G116"/>
  <c r="G124" s="1"/>
  <c r="E116"/>
  <c r="E124" s="1"/>
  <c r="D116"/>
  <c r="D124" s="1"/>
  <c r="F115"/>
  <c r="H115" s="1"/>
  <c r="F114"/>
  <c r="H114" s="1"/>
  <c r="F112"/>
  <c r="H112" s="1"/>
  <c r="F111"/>
  <c r="H111" s="1"/>
  <c r="F110"/>
  <c r="H110" s="1"/>
  <c r="G109"/>
  <c r="E109"/>
  <c r="D109"/>
  <c r="F109" s="1"/>
  <c r="F108"/>
  <c r="H108" s="1"/>
  <c r="G107"/>
  <c r="G113" s="1"/>
  <c r="E107"/>
  <c r="D107"/>
  <c r="G105"/>
  <c r="E105"/>
  <c r="D105"/>
  <c r="F105" s="1"/>
  <c r="F104"/>
  <c r="H104" s="1"/>
  <c r="F102"/>
  <c r="H102" s="1"/>
  <c r="F100"/>
  <c r="F97"/>
  <c r="H97" s="1"/>
  <c r="F96"/>
  <c r="H96" s="1"/>
  <c r="F95"/>
  <c r="H95" s="1"/>
  <c r="F94"/>
  <c r="H94" s="1"/>
  <c r="F93"/>
  <c r="H93" s="1"/>
  <c r="F92"/>
  <c r="H92" s="1"/>
  <c r="F90"/>
  <c r="H90" s="1"/>
  <c r="F89"/>
  <c r="G88"/>
  <c r="E88"/>
  <c r="D88"/>
  <c r="F87"/>
  <c r="H87" s="1"/>
  <c r="F86"/>
  <c r="H86" s="1"/>
  <c r="G85"/>
  <c r="E85"/>
  <c r="D85"/>
  <c r="F84"/>
  <c r="H84" s="1"/>
  <c r="F83"/>
  <c r="H83" s="1"/>
  <c r="F82"/>
  <c r="H82" s="1"/>
  <c r="F81"/>
  <c r="H81" s="1"/>
  <c r="F80"/>
  <c r="H80" s="1"/>
  <c r="F79"/>
  <c r="H79" s="1"/>
  <c r="G78"/>
  <c r="E78"/>
  <c r="D78"/>
  <c r="F78" s="1"/>
  <c r="G76"/>
  <c r="E76"/>
  <c r="F76" s="1"/>
  <c r="D76"/>
  <c r="F75"/>
  <c r="H75" s="1"/>
  <c r="F74"/>
  <c r="H74" s="1"/>
  <c r="F73"/>
  <c r="H73" s="1"/>
  <c r="G72"/>
  <c r="E72"/>
  <c r="D72"/>
  <c r="F71"/>
  <c r="H71" s="1"/>
  <c r="F70"/>
  <c r="H70" s="1"/>
  <c r="F69"/>
  <c r="H69" s="1"/>
  <c r="F68"/>
  <c r="H68" s="1"/>
  <c r="F66"/>
  <c r="H66" s="1"/>
  <c r="E62"/>
  <c r="F59"/>
  <c r="H59" s="1"/>
  <c r="G58"/>
  <c r="G61" s="1"/>
  <c r="G62" s="1"/>
  <c r="E58"/>
  <c r="E61" s="1"/>
  <c r="D58"/>
  <c r="F57"/>
  <c r="H57" s="1"/>
  <c r="F54"/>
  <c r="H54" s="1"/>
  <c r="F53"/>
  <c r="H53" s="1"/>
  <c r="F52"/>
  <c r="H52" s="1"/>
  <c r="G51"/>
  <c r="G55" s="1"/>
  <c r="E51"/>
  <c r="E55" s="1"/>
  <c r="D51"/>
  <c r="G48"/>
  <c r="E48"/>
  <c r="D48"/>
  <c r="F48" s="1"/>
  <c r="H48" s="1"/>
  <c r="F47"/>
  <c r="H47" s="1"/>
  <c r="D46"/>
  <c r="F45"/>
  <c r="H45" s="1"/>
  <c r="G44"/>
  <c r="G46" s="1"/>
  <c r="E44"/>
  <c r="E46" s="1"/>
  <c r="D44"/>
  <c r="F43"/>
  <c r="H43" s="1"/>
  <c r="F42"/>
  <c r="H42" s="1"/>
  <c r="F41"/>
  <c r="H41" s="1"/>
  <c r="F40"/>
  <c r="H40" s="1"/>
  <c r="F39"/>
  <c r="H39" s="1"/>
  <c r="F38"/>
  <c r="H38" s="1"/>
  <c r="F37"/>
  <c r="H37" s="1"/>
  <c r="F35"/>
  <c r="H35" s="1"/>
  <c r="F34"/>
  <c r="H34" s="1"/>
  <c r="G33"/>
  <c r="F33"/>
  <c r="E33"/>
  <c r="D33"/>
  <c r="D32"/>
  <c r="F31"/>
  <c r="H31" s="1"/>
  <c r="G30"/>
  <c r="E30"/>
  <c r="F30" s="1"/>
  <c r="D30"/>
  <c r="F29"/>
  <c r="H29" s="1"/>
  <c r="G28"/>
  <c r="G32" s="1"/>
  <c r="E28"/>
  <c r="E32" s="1"/>
  <c r="D28"/>
  <c r="F27"/>
  <c r="H27" s="1"/>
  <c r="G26"/>
  <c r="E26"/>
  <c r="D26"/>
  <c r="G25"/>
  <c r="E25"/>
  <c r="D25"/>
  <c r="D36" s="1"/>
  <c r="F24"/>
  <c r="H24" s="1"/>
  <c r="F23"/>
  <c r="H23" s="1"/>
  <c r="G22"/>
  <c r="F22"/>
  <c r="E22"/>
  <c r="D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G12"/>
  <c r="E12"/>
  <c r="D12"/>
  <c r="F11"/>
  <c r="H11" s="1"/>
  <c r="F10"/>
  <c r="H10" s="1"/>
  <c r="F9"/>
  <c r="H9" s="1"/>
  <c r="F8"/>
  <c r="H8" s="1"/>
  <c r="F7"/>
  <c r="H7" s="1"/>
  <c r="F6"/>
  <c r="H6" s="1"/>
  <c r="G139" i="24"/>
  <c r="G140" s="1"/>
  <c r="E139"/>
  <c r="D139"/>
  <c r="D140" s="1"/>
  <c r="C139"/>
  <c r="C140" s="1"/>
  <c r="F138"/>
  <c r="H138" s="1"/>
  <c r="F137"/>
  <c r="H137" s="1"/>
  <c r="G135"/>
  <c r="E135"/>
  <c r="D135"/>
  <c r="C135"/>
  <c r="F134"/>
  <c r="H134" s="1"/>
  <c r="F133"/>
  <c r="H133" s="1"/>
  <c r="F132"/>
  <c r="H132" s="1"/>
  <c r="F130"/>
  <c r="H130" s="1"/>
  <c r="F129"/>
  <c r="H129" s="1"/>
  <c r="F128"/>
  <c r="H128" s="1"/>
  <c r="F127"/>
  <c r="F123"/>
  <c r="H123" s="1"/>
  <c r="F122"/>
  <c r="H122" s="1"/>
  <c r="F121"/>
  <c r="H121" s="1"/>
  <c r="G120"/>
  <c r="E120"/>
  <c r="D120"/>
  <c r="C120"/>
  <c r="F119"/>
  <c r="H119" s="1"/>
  <c r="G118"/>
  <c r="E118"/>
  <c r="D118"/>
  <c r="F118" s="1"/>
  <c r="C118"/>
  <c r="G117"/>
  <c r="E117"/>
  <c r="E125" s="1"/>
  <c r="D117"/>
  <c r="D125" s="1"/>
  <c r="C117"/>
  <c r="C125" s="1"/>
  <c r="F116"/>
  <c r="H116" s="1"/>
  <c r="F115"/>
  <c r="H115" s="1"/>
  <c r="F113"/>
  <c r="H113" s="1"/>
  <c r="F112"/>
  <c r="H112" s="1"/>
  <c r="F111"/>
  <c r="H111" s="1"/>
  <c r="G110"/>
  <c r="E110"/>
  <c r="D110"/>
  <c r="C110"/>
  <c r="F109"/>
  <c r="H109" s="1"/>
  <c r="G108"/>
  <c r="E108"/>
  <c r="D108"/>
  <c r="C108"/>
  <c r="G106"/>
  <c r="E106"/>
  <c r="D106"/>
  <c r="C106"/>
  <c r="F105"/>
  <c r="H105" s="1"/>
  <c r="F103"/>
  <c r="H103" s="1"/>
  <c r="F101"/>
  <c r="F98"/>
  <c r="H98" s="1"/>
  <c r="F97"/>
  <c r="H97" s="1"/>
  <c r="F96"/>
  <c r="H96" s="1"/>
  <c r="F95"/>
  <c r="H95" s="1"/>
  <c r="F94"/>
  <c r="H94" s="1"/>
  <c r="F93"/>
  <c r="H93" s="1"/>
  <c r="F91"/>
  <c r="H91" s="1"/>
  <c r="F90"/>
  <c r="G89"/>
  <c r="E89"/>
  <c r="D89"/>
  <c r="C89"/>
  <c r="F88"/>
  <c r="H88" s="1"/>
  <c r="F87"/>
  <c r="H87" s="1"/>
  <c r="G86"/>
  <c r="E86"/>
  <c r="D86"/>
  <c r="C86"/>
  <c r="F85"/>
  <c r="H85" s="1"/>
  <c r="F84"/>
  <c r="H84" s="1"/>
  <c r="F83"/>
  <c r="H83" s="1"/>
  <c r="F82"/>
  <c r="H82" s="1"/>
  <c r="F81"/>
  <c r="H81" s="1"/>
  <c r="F80"/>
  <c r="H80" s="1"/>
  <c r="G79"/>
  <c r="E79"/>
  <c r="D79"/>
  <c r="C79"/>
  <c r="G77"/>
  <c r="E77"/>
  <c r="D77"/>
  <c r="C77"/>
  <c r="F76"/>
  <c r="H76" s="1"/>
  <c r="F75"/>
  <c r="H75" s="1"/>
  <c r="F74"/>
  <c r="H74" s="1"/>
  <c r="G73"/>
  <c r="E73"/>
  <c r="E78" s="1"/>
  <c r="D73"/>
  <c r="C73"/>
  <c r="F72"/>
  <c r="H72" s="1"/>
  <c r="F71"/>
  <c r="H71" s="1"/>
  <c r="F70"/>
  <c r="H70" s="1"/>
  <c r="F69"/>
  <c r="H69" s="1"/>
  <c r="F67"/>
  <c r="H67" s="1"/>
  <c r="F60"/>
  <c r="H60" s="1"/>
  <c r="G59"/>
  <c r="G62" s="1"/>
  <c r="E59"/>
  <c r="E62" s="1"/>
  <c r="D59"/>
  <c r="D62" s="1"/>
  <c r="C59"/>
  <c r="F58"/>
  <c r="H58" s="1"/>
  <c r="F55"/>
  <c r="H55" s="1"/>
  <c r="F54"/>
  <c r="H54" s="1"/>
  <c r="F53"/>
  <c r="H53" s="1"/>
  <c r="G52"/>
  <c r="G56" s="1"/>
  <c r="E52"/>
  <c r="E56" s="1"/>
  <c r="D52"/>
  <c r="D56" s="1"/>
  <c r="G49"/>
  <c r="E49"/>
  <c r="D49"/>
  <c r="C49"/>
  <c r="F48"/>
  <c r="H48" s="1"/>
  <c r="F46"/>
  <c r="H46" s="1"/>
  <c r="G45"/>
  <c r="G47" s="1"/>
  <c r="E45"/>
  <c r="D45"/>
  <c r="D47" s="1"/>
  <c r="C45"/>
  <c r="C47" s="1"/>
  <c r="F44"/>
  <c r="H44" s="1"/>
  <c r="F43"/>
  <c r="H43" s="1"/>
  <c r="F42"/>
  <c r="H42" s="1"/>
  <c r="F41"/>
  <c r="H41" s="1"/>
  <c r="F40"/>
  <c r="H40" s="1"/>
  <c r="F39"/>
  <c r="H39" s="1"/>
  <c r="F38"/>
  <c r="H38" s="1"/>
  <c r="F36"/>
  <c r="H36" s="1"/>
  <c r="H35"/>
  <c r="G34"/>
  <c r="E34"/>
  <c r="D34"/>
  <c r="F31"/>
  <c r="H31" s="1"/>
  <c r="G30"/>
  <c r="G33" s="1"/>
  <c r="E30"/>
  <c r="D30"/>
  <c r="D33" s="1"/>
  <c r="C30"/>
  <c r="C33" s="1"/>
  <c r="F29"/>
  <c r="H29" s="1"/>
  <c r="G28"/>
  <c r="E28"/>
  <c r="D28"/>
  <c r="C28"/>
  <c r="F27"/>
  <c r="H27" s="1"/>
  <c r="G26"/>
  <c r="E26"/>
  <c r="C26"/>
  <c r="G25"/>
  <c r="E25"/>
  <c r="D25"/>
  <c r="C25"/>
  <c r="F24"/>
  <c r="H24" s="1"/>
  <c r="F23"/>
  <c r="H23" s="1"/>
  <c r="G22"/>
  <c r="E22"/>
  <c r="D22"/>
  <c r="C22"/>
  <c r="F21"/>
  <c r="H21" s="1"/>
  <c r="F19"/>
  <c r="H19" s="1"/>
  <c r="F18"/>
  <c r="H18" s="1"/>
  <c r="F17"/>
  <c r="H17" s="1"/>
  <c r="F16"/>
  <c r="H16" s="1"/>
  <c r="F15"/>
  <c r="H15" s="1"/>
  <c r="F14"/>
  <c r="H14" s="1"/>
  <c r="G13"/>
  <c r="E13"/>
  <c r="D13"/>
  <c r="C13"/>
  <c r="G12"/>
  <c r="G20" s="1"/>
  <c r="E12"/>
  <c r="D12"/>
  <c r="C12"/>
  <c r="C20" s="1"/>
  <c r="F11"/>
  <c r="H11" s="1"/>
  <c r="F10"/>
  <c r="H10" s="1"/>
  <c r="F9"/>
  <c r="H9" s="1"/>
  <c r="F8"/>
  <c r="H8" s="1"/>
  <c r="F7"/>
  <c r="H7" s="1"/>
  <c r="F6"/>
  <c r="H6" s="1"/>
  <c r="F6" i="19"/>
  <c r="H6" s="1"/>
  <c r="F7"/>
  <c r="F8"/>
  <c r="F9"/>
  <c r="H9" s="1"/>
  <c r="F10"/>
  <c r="F11"/>
  <c r="G12"/>
  <c r="G13"/>
  <c r="F14"/>
  <c r="F15"/>
  <c r="F16"/>
  <c r="F17"/>
  <c r="F18"/>
  <c r="F19"/>
  <c r="F21"/>
  <c r="G22"/>
  <c r="F23"/>
  <c r="F24"/>
  <c r="G25"/>
  <c r="G26"/>
  <c r="F27"/>
  <c r="G28"/>
  <c r="F29"/>
  <c r="G30"/>
  <c r="F31"/>
  <c r="G33"/>
  <c r="F34"/>
  <c r="F35"/>
  <c r="F37"/>
  <c r="F38"/>
  <c r="F39"/>
  <c r="H39" s="1"/>
  <c r="F40"/>
  <c r="H40" s="1"/>
  <c r="F41"/>
  <c r="F42"/>
  <c r="H42" s="1"/>
  <c r="F44"/>
  <c r="F45" s="1"/>
  <c r="F46"/>
  <c r="F48"/>
  <c r="G49"/>
  <c r="G50" i="26" s="1"/>
  <c r="G49" i="38" s="1"/>
  <c r="G52" i="19"/>
  <c r="F53"/>
  <c r="F54"/>
  <c r="F55"/>
  <c r="F59"/>
  <c r="G60"/>
  <c r="F61"/>
  <c r="F68"/>
  <c r="H68" s="1"/>
  <c r="F70"/>
  <c r="H70" s="1"/>
  <c r="F71"/>
  <c r="H71" s="1"/>
  <c r="F72"/>
  <c r="F73"/>
  <c r="H73" s="1"/>
  <c r="G74"/>
  <c r="F75"/>
  <c r="H75" s="1"/>
  <c r="F76"/>
  <c r="H76" s="1"/>
  <c r="F77"/>
  <c r="H77" s="1"/>
  <c r="G78"/>
  <c r="G79" i="26" s="1"/>
  <c r="G80" i="19"/>
  <c r="F81"/>
  <c r="H81" s="1"/>
  <c r="F82"/>
  <c r="H82" s="1"/>
  <c r="F83"/>
  <c r="F84"/>
  <c r="H84" s="1"/>
  <c r="F85"/>
  <c r="H85" s="1"/>
  <c r="F86"/>
  <c r="H86" s="1"/>
  <c r="F88"/>
  <c r="H88" s="1"/>
  <c r="F89"/>
  <c r="H89" s="1"/>
  <c r="G90"/>
  <c r="F91"/>
  <c r="F92"/>
  <c r="F94"/>
  <c r="H94" s="1"/>
  <c r="F95"/>
  <c r="H95" s="1"/>
  <c r="F96"/>
  <c r="F97"/>
  <c r="F98"/>
  <c r="H98" s="1"/>
  <c r="F99"/>
  <c r="F102"/>
  <c r="F103" s="1"/>
  <c r="F104"/>
  <c r="F107"/>
  <c r="G108"/>
  <c r="G110"/>
  <c r="F111"/>
  <c r="G112"/>
  <c r="F113"/>
  <c r="F114"/>
  <c r="F115"/>
  <c r="F117"/>
  <c r="F118"/>
  <c r="F121"/>
  <c r="G122"/>
  <c r="F123"/>
  <c r="F124"/>
  <c r="F125"/>
  <c r="F129"/>
  <c r="F130"/>
  <c r="F131"/>
  <c r="F132"/>
  <c r="G136" i="26"/>
  <c r="F134" i="19"/>
  <c r="F135"/>
  <c r="F136"/>
  <c r="G137"/>
  <c r="F140"/>
  <c r="F141"/>
  <c r="G143"/>
  <c r="E143"/>
  <c r="E137"/>
  <c r="E136" i="26"/>
  <c r="E120" i="19"/>
  <c r="E112"/>
  <c r="E110"/>
  <c r="E116" s="1"/>
  <c r="E108"/>
  <c r="E90"/>
  <c r="E87"/>
  <c r="E80"/>
  <c r="E78"/>
  <c r="E79" s="1"/>
  <c r="E74"/>
  <c r="E60"/>
  <c r="E52"/>
  <c r="E49"/>
  <c r="F49" s="1"/>
  <c r="E47"/>
  <c r="E33"/>
  <c r="E30"/>
  <c r="E28"/>
  <c r="E26"/>
  <c r="E25"/>
  <c r="E22"/>
  <c r="E13"/>
  <c r="E12"/>
  <c r="D52"/>
  <c r="D143"/>
  <c r="D137"/>
  <c r="F137" s="1"/>
  <c r="D122"/>
  <c r="F122" s="1"/>
  <c r="D120"/>
  <c r="F120" s="1"/>
  <c r="D119"/>
  <c r="D127" s="1"/>
  <c r="D112"/>
  <c r="F112" s="1"/>
  <c r="D110"/>
  <c r="F110" s="1"/>
  <c r="D108"/>
  <c r="D90"/>
  <c r="D87"/>
  <c r="D80"/>
  <c r="D78"/>
  <c r="D74"/>
  <c r="C143"/>
  <c r="C137"/>
  <c r="C122"/>
  <c r="C120"/>
  <c r="C119"/>
  <c r="C127" s="1"/>
  <c r="C110"/>
  <c r="C112"/>
  <c r="C116"/>
  <c r="C108"/>
  <c r="C90"/>
  <c r="C87"/>
  <c r="C109" s="1"/>
  <c r="C80"/>
  <c r="C78"/>
  <c r="C74"/>
  <c r="C79" s="1"/>
  <c r="D60"/>
  <c r="D49"/>
  <c r="D47"/>
  <c r="D33"/>
  <c r="F33" s="1"/>
  <c r="D30"/>
  <c r="F30" s="1"/>
  <c r="D28"/>
  <c r="F28" s="1"/>
  <c r="D26"/>
  <c r="F26" s="1"/>
  <c r="D25"/>
  <c r="D22"/>
  <c r="F22" s="1"/>
  <c r="D13"/>
  <c r="F13" s="1"/>
  <c r="D12"/>
  <c r="D20" s="1"/>
  <c r="C26"/>
  <c r="C60"/>
  <c r="C52"/>
  <c r="C56" s="1"/>
  <c r="C49"/>
  <c r="C47"/>
  <c r="C32"/>
  <c r="C33"/>
  <c r="C30"/>
  <c r="C28"/>
  <c r="C25"/>
  <c r="C22"/>
  <c r="C13"/>
  <c r="C12"/>
  <c r="F48" i="23" l="1"/>
  <c r="F51"/>
  <c r="F55" s="1"/>
  <c r="D55"/>
  <c r="E62"/>
  <c r="E61"/>
  <c r="F117"/>
  <c r="H117" s="1"/>
  <c r="H126"/>
  <c r="F130"/>
  <c r="C61"/>
  <c r="C62" s="1"/>
  <c r="G77" i="22"/>
  <c r="E106"/>
  <c r="F48"/>
  <c r="H48" s="1"/>
  <c r="E62"/>
  <c r="E61"/>
  <c r="C77"/>
  <c r="F76"/>
  <c r="H76" s="1"/>
  <c r="F78"/>
  <c r="H78" s="1"/>
  <c r="G106"/>
  <c r="G124"/>
  <c r="F139"/>
  <c r="H126"/>
  <c r="F130"/>
  <c r="H130" s="1"/>
  <c r="C61"/>
  <c r="C62" s="1"/>
  <c r="E77"/>
  <c r="C77" i="21"/>
  <c r="F78"/>
  <c r="H78" s="1"/>
  <c r="F88"/>
  <c r="H88" s="1"/>
  <c r="C124"/>
  <c r="D32"/>
  <c r="C61"/>
  <c r="C62" s="1"/>
  <c r="F85"/>
  <c r="H126"/>
  <c r="F130"/>
  <c r="F109" i="20"/>
  <c r="H109" s="1"/>
  <c r="E61"/>
  <c r="E62" s="1"/>
  <c r="E124"/>
  <c r="F119"/>
  <c r="H119" s="1"/>
  <c r="E106"/>
  <c r="C61"/>
  <c r="C62" s="1"/>
  <c r="H126"/>
  <c r="F130"/>
  <c r="H126" i="3"/>
  <c r="F130"/>
  <c r="H130" s="1"/>
  <c r="D124"/>
  <c r="F85"/>
  <c r="E77"/>
  <c r="F51"/>
  <c r="F55" s="1"/>
  <c r="D55"/>
  <c r="F48"/>
  <c r="H48" s="1"/>
  <c r="D32"/>
  <c r="F22"/>
  <c r="H22" s="1"/>
  <c r="F13"/>
  <c r="E81" i="26"/>
  <c r="F119" i="3"/>
  <c r="H119" s="1"/>
  <c r="F33"/>
  <c r="F25"/>
  <c r="H134"/>
  <c r="E124"/>
  <c r="E62"/>
  <c r="E61"/>
  <c r="C61" i="2"/>
  <c r="C62" s="1"/>
  <c r="F30"/>
  <c r="F48"/>
  <c r="H48" s="1"/>
  <c r="G77"/>
  <c r="C32"/>
  <c r="E61"/>
  <c r="E62" s="1"/>
  <c r="H126"/>
  <c r="F130"/>
  <c r="H130" s="1"/>
  <c r="F26"/>
  <c r="D124"/>
  <c r="F117"/>
  <c r="H117" s="1"/>
  <c r="F51" i="4"/>
  <c r="D55"/>
  <c r="F26"/>
  <c r="H26" s="1"/>
  <c r="F28"/>
  <c r="H28" s="1"/>
  <c r="C61"/>
  <c r="C62" s="1"/>
  <c r="E77"/>
  <c r="C113"/>
  <c r="C124"/>
  <c r="H126"/>
  <c r="F130"/>
  <c r="H130" s="1"/>
  <c r="C77"/>
  <c r="F76"/>
  <c r="H76" s="1"/>
  <c r="E63" i="28"/>
  <c r="F26" i="5"/>
  <c r="H126"/>
  <c r="F130"/>
  <c r="E32" i="6"/>
  <c r="F30"/>
  <c r="C61"/>
  <c r="C62" s="1"/>
  <c r="E124"/>
  <c r="E61"/>
  <c r="E62" s="1"/>
  <c r="D77"/>
  <c r="H127"/>
  <c r="F130"/>
  <c r="F46" i="7"/>
  <c r="D124"/>
  <c r="F117"/>
  <c r="H117" s="1"/>
  <c r="C62"/>
  <c r="C61"/>
  <c r="G77"/>
  <c r="F13"/>
  <c r="E62"/>
  <c r="E61"/>
  <c r="H78"/>
  <c r="G106"/>
  <c r="H88"/>
  <c r="H109"/>
  <c r="H126"/>
  <c r="F130"/>
  <c r="H117" i="9"/>
  <c r="C61"/>
  <c r="C62" s="1"/>
  <c r="F20"/>
  <c r="E61"/>
  <c r="E62" s="1"/>
  <c r="F88"/>
  <c r="G124"/>
  <c r="H126"/>
  <c r="F130"/>
  <c r="H130" s="1"/>
  <c r="F46" i="10"/>
  <c r="D77"/>
  <c r="F107"/>
  <c r="H107" s="1"/>
  <c r="F109"/>
  <c r="C124"/>
  <c r="F134"/>
  <c r="H134" s="1"/>
  <c r="E61"/>
  <c r="E62" s="1"/>
  <c r="G123" i="26"/>
  <c r="H28" i="10"/>
  <c r="C61"/>
  <c r="C62" s="1"/>
  <c r="H117"/>
  <c r="F22"/>
  <c r="H22" s="1"/>
  <c r="F30"/>
  <c r="F51"/>
  <c r="H51" s="1"/>
  <c r="D55"/>
  <c r="G77"/>
  <c r="E124"/>
  <c r="F119"/>
  <c r="H119" s="1"/>
  <c r="F139"/>
  <c r="F26" i="11"/>
  <c r="E61"/>
  <c r="E62" s="1"/>
  <c r="F76"/>
  <c r="E124"/>
  <c r="F119"/>
  <c r="H119" s="1"/>
  <c r="C61"/>
  <c r="C62" s="1"/>
  <c r="H126"/>
  <c r="F130"/>
  <c r="H25" i="12"/>
  <c r="F130"/>
  <c r="H130" s="1"/>
  <c r="D32"/>
  <c r="C61"/>
  <c r="C62" s="1"/>
  <c r="E77"/>
  <c r="F77" s="1"/>
  <c r="F116"/>
  <c r="D124"/>
  <c r="F117"/>
  <c r="H126"/>
  <c r="E61"/>
  <c r="E62" s="1"/>
  <c r="C77"/>
  <c r="F78"/>
  <c r="H78" s="1"/>
  <c r="D113"/>
  <c r="G125" i="13"/>
  <c r="H127"/>
  <c r="F131"/>
  <c r="D78"/>
  <c r="F77"/>
  <c r="D32"/>
  <c r="C62"/>
  <c r="C63" s="1"/>
  <c r="E32" i="14"/>
  <c r="C61"/>
  <c r="C62" s="1"/>
  <c r="E124"/>
  <c r="F119"/>
  <c r="H119" s="1"/>
  <c r="F51"/>
  <c r="D55"/>
  <c r="C77"/>
  <c r="F105"/>
  <c r="H105" s="1"/>
  <c r="E113"/>
  <c r="H126"/>
  <c r="F130"/>
  <c r="H130" s="1"/>
  <c r="F117"/>
  <c r="H117" s="1"/>
  <c r="H134"/>
  <c r="G88" i="26"/>
  <c r="F22" i="15"/>
  <c r="C61"/>
  <c r="C62" s="1"/>
  <c r="E124"/>
  <c r="E61"/>
  <c r="E62" s="1"/>
  <c r="F130"/>
  <c r="D32"/>
  <c r="H126" i="16"/>
  <c r="F130"/>
  <c r="F105"/>
  <c r="C32"/>
  <c r="F25"/>
  <c r="F12"/>
  <c r="E62"/>
  <c r="E61"/>
  <c r="F138"/>
  <c r="H138" s="1"/>
  <c r="E124"/>
  <c r="F116"/>
  <c r="D124"/>
  <c r="C61"/>
  <c r="C62" s="1"/>
  <c r="F33"/>
  <c r="D32"/>
  <c r="D36" s="1"/>
  <c r="F36" s="1"/>
  <c r="H36" s="1"/>
  <c r="C20" i="27"/>
  <c r="F28"/>
  <c r="F107"/>
  <c r="H107" s="1"/>
  <c r="G124"/>
  <c r="D20"/>
  <c r="D77"/>
  <c r="F134"/>
  <c r="H134" s="1"/>
  <c r="C62"/>
  <c r="C61"/>
  <c r="F12"/>
  <c r="C36"/>
  <c r="F51"/>
  <c r="D55"/>
  <c r="H126"/>
  <c r="F130"/>
  <c r="H130" s="1"/>
  <c r="E32" i="17"/>
  <c r="F30"/>
  <c r="G77"/>
  <c r="C113"/>
  <c r="F116"/>
  <c r="E124"/>
  <c r="F13"/>
  <c r="E62"/>
  <c r="E61"/>
  <c r="H126"/>
  <c r="F130"/>
  <c r="H126" i="18"/>
  <c r="F130"/>
  <c r="G109" i="26"/>
  <c r="G108" i="38" s="1"/>
  <c r="D20" i="18"/>
  <c r="F13"/>
  <c r="F25"/>
  <c r="F44"/>
  <c r="F72"/>
  <c r="H72" s="1"/>
  <c r="E106"/>
  <c r="D113"/>
  <c r="C20"/>
  <c r="C113"/>
  <c r="C32"/>
  <c r="C36" s="1"/>
  <c r="G115" i="26"/>
  <c r="G114" i="38" s="1"/>
  <c r="G36" i="18"/>
  <c r="F58"/>
  <c r="H58" s="1"/>
  <c r="D61"/>
  <c r="E77"/>
  <c r="H105"/>
  <c r="C62"/>
  <c r="C61"/>
  <c r="G20"/>
  <c r="F26"/>
  <c r="H26" s="1"/>
  <c r="F51"/>
  <c r="F55" s="1"/>
  <c r="D55"/>
  <c r="G77"/>
  <c r="F107"/>
  <c r="H107" s="1"/>
  <c r="E113"/>
  <c r="F134"/>
  <c r="H134" s="1"/>
  <c r="C124"/>
  <c r="F28" i="24"/>
  <c r="D78"/>
  <c r="F77"/>
  <c r="F79"/>
  <c r="F89"/>
  <c r="F135"/>
  <c r="H127"/>
  <c r="F131"/>
  <c r="E61" i="26"/>
  <c r="E60" i="38" s="1"/>
  <c r="D21" i="29" s="1"/>
  <c r="C62" i="24"/>
  <c r="C63" s="1"/>
  <c r="F12"/>
  <c r="F22"/>
  <c r="F45"/>
  <c r="D114"/>
  <c r="G125"/>
  <c r="F139"/>
  <c r="G30" i="26"/>
  <c r="G30" i="38" s="1"/>
  <c r="G34" i="26"/>
  <c r="G34" i="38" s="1"/>
  <c r="G13" i="26"/>
  <c r="G13" i="38" s="1"/>
  <c r="C13" i="26"/>
  <c r="C13" i="38" s="1"/>
  <c r="G25" i="26"/>
  <c r="G25" i="38" s="1"/>
  <c r="E28" i="26"/>
  <c r="E28" i="39" s="1"/>
  <c r="E28" i="38" s="1"/>
  <c r="C34" i="26"/>
  <c r="C34" i="38" s="1"/>
  <c r="D50" i="26"/>
  <c r="C79"/>
  <c r="C79" i="38" s="1"/>
  <c r="C81" i="26"/>
  <c r="C81" i="38" s="1"/>
  <c r="C91" i="26"/>
  <c r="C91" i="38" s="1"/>
  <c r="E111" i="26"/>
  <c r="C123"/>
  <c r="C122" i="38" s="1"/>
  <c r="C140" i="26"/>
  <c r="C139" i="38" s="1"/>
  <c r="F78" i="19"/>
  <c r="H78" s="1"/>
  <c r="D53" i="26"/>
  <c r="D52" i="38" s="1"/>
  <c r="D56" i="19"/>
  <c r="E26" i="26"/>
  <c r="E26" i="38" s="1"/>
  <c r="E75" i="26"/>
  <c r="D13"/>
  <c r="D13" i="38" s="1"/>
  <c r="C8" i="29" s="1"/>
  <c r="E22" i="26"/>
  <c r="E22" i="38" s="1"/>
  <c r="C25" i="26"/>
  <c r="C25" i="38" s="1"/>
  <c r="C26" i="26"/>
  <c r="C26" i="38" s="1"/>
  <c r="C75" i="26"/>
  <c r="C75" i="38" s="1"/>
  <c r="D91" i="26"/>
  <c r="D91" i="38" s="1"/>
  <c r="G111" i="26"/>
  <c r="E115"/>
  <c r="E109" i="39" s="1"/>
  <c r="F109" s="1"/>
  <c r="C125" i="26"/>
  <c r="C124" i="38" s="1"/>
  <c r="C61" i="26"/>
  <c r="C60" i="38" s="1"/>
  <c r="C63" i="19"/>
  <c r="D63"/>
  <c r="D64" s="1"/>
  <c r="D61" i="26"/>
  <c r="D60" i="38" s="1"/>
  <c r="C21" i="29" s="1"/>
  <c r="C20" s="1"/>
  <c r="C30" s="1"/>
  <c r="E53" i="26"/>
  <c r="E52" i="38" s="1"/>
  <c r="E56" i="19"/>
  <c r="D32"/>
  <c r="D36" s="1"/>
  <c r="E20"/>
  <c r="F133"/>
  <c r="F119"/>
  <c r="G20"/>
  <c r="G26" i="26"/>
  <c r="G26" i="38" s="1"/>
  <c r="G22" i="26"/>
  <c r="G22" i="38" s="1"/>
  <c r="D25" i="26"/>
  <c r="D25" i="39" s="1"/>
  <c r="D25" i="38" s="1"/>
  <c r="D26" i="26"/>
  <c r="D26" i="38" s="1"/>
  <c r="C88" i="26"/>
  <c r="C88" i="38" s="1"/>
  <c r="C109" i="26"/>
  <c r="C108" i="38" s="1"/>
  <c r="E123" i="26"/>
  <c r="E122" i="38" s="1"/>
  <c r="D125" i="26"/>
  <c r="D124" i="38" s="1"/>
  <c r="E32" i="19"/>
  <c r="E36" s="1"/>
  <c r="G53" i="26"/>
  <c r="G52" i="38" s="1"/>
  <c r="G56" i="19"/>
  <c r="G32"/>
  <c r="G28" i="26"/>
  <c r="G28" i="38" s="1"/>
  <c r="E34" i="26"/>
  <c r="F33" i="39" s="1"/>
  <c r="C22" i="26"/>
  <c r="C22" i="38" s="1"/>
  <c r="E25" i="26"/>
  <c r="E25" i="39" s="1"/>
  <c r="E25" i="38" s="1"/>
  <c r="C30" i="26"/>
  <c r="C30" i="38" s="1"/>
  <c r="C50" i="26"/>
  <c r="C49" i="38" s="1"/>
  <c r="C115" i="26"/>
  <c r="C114" i="38" s="1"/>
  <c r="G140" i="26"/>
  <c r="G139" i="38" s="1"/>
  <c r="F12" i="11"/>
  <c r="F72" i="4"/>
  <c r="H72" s="1"/>
  <c r="F12" i="3"/>
  <c r="F12" i="23"/>
  <c r="G63" i="19"/>
  <c r="G64" s="1"/>
  <c r="H12" i="3"/>
  <c r="G12" i="26"/>
  <c r="G12" i="38" s="1"/>
  <c r="E61" i="27"/>
  <c r="E62" s="1"/>
  <c r="D34" i="26"/>
  <c r="D34" i="38" s="1"/>
  <c r="H128" i="10"/>
  <c r="F130"/>
  <c r="F76"/>
  <c r="H76" s="1"/>
  <c r="E79" i="26"/>
  <c r="E79" i="38" s="1"/>
  <c r="H51" i="4"/>
  <c r="F55"/>
  <c r="F55" i="10"/>
  <c r="H138" i="13"/>
  <c r="F140"/>
  <c r="H51" i="14"/>
  <c r="F55"/>
  <c r="H51" i="27"/>
  <c r="F55"/>
  <c r="F142" i="19"/>
  <c r="E20" i="18"/>
  <c r="F20" s="1"/>
  <c r="H20" s="1"/>
  <c r="E13" i="26"/>
  <c r="E13" i="38" s="1"/>
  <c r="D8" i="29" s="1"/>
  <c r="F46" i="18"/>
  <c r="H46" s="1"/>
  <c r="E50" i="26"/>
  <c r="E113" i="22"/>
  <c r="E135" s="1"/>
  <c r="E140" s="1"/>
  <c r="F105" i="23"/>
  <c r="F12" i="22"/>
  <c r="H12" s="1"/>
  <c r="E61" i="21"/>
  <c r="E62" s="1"/>
  <c r="F109"/>
  <c r="H130"/>
  <c r="F12" i="2"/>
  <c r="F88"/>
  <c r="H88" s="1"/>
  <c r="F78"/>
  <c r="H78" s="1"/>
  <c r="F47" i="19"/>
  <c r="F46" i="4"/>
  <c r="H46" s="1"/>
  <c r="E61"/>
  <c r="E62" s="1"/>
  <c r="E106"/>
  <c r="E135" s="1"/>
  <c r="E140" s="1"/>
  <c r="F105"/>
  <c r="H105" s="1"/>
  <c r="F105" i="26"/>
  <c r="F105" i="38" s="1"/>
  <c r="F78" i="10"/>
  <c r="H78" s="1"/>
  <c r="F78" i="4"/>
  <c r="H78" s="1"/>
  <c r="E12" i="26"/>
  <c r="E12" i="38" s="1"/>
  <c r="D7" i="29" s="1"/>
  <c r="F20" i="19"/>
  <c r="H20" s="1"/>
  <c r="E106" i="9"/>
  <c r="F105" i="10"/>
  <c r="E107" i="13"/>
  <c r="E140" i="26"/>
  <c r="E61" i="14"/>
  <c r="E62" s="1"/>
  <c r="D32" i="5"/>
  <c r="D28" i="26"/>
  <c r="D28" i="38" s="1"/>
  <c r="E46" i="5"/>
  <c r="E46" i="26"/>
  <c r="E45" i="38" s="1"/>
  <c r="G61" i="5"/>
  <c r="G61" i="26"/>
  <c r="G60" i="38" s="1"/>
  <c r="D122" i="26"/>
  <c r="D121" i="38" s="1"/>
  <c r="D124" i="5"/>
  <c r="F117"/>
  <c r="H117" s="1"/>
  <c r="D123" i="26"/>
  <c r="D122" i="38" s="1"/>
  <c r="D136" i="26"/>
  <c r="D135" i="38" s="1"/>
  <c r="G7" i="30" s="1"/>
  <c r="C139" i="5"/>
  <c r="C145" i="26"/>
  <c r="C144" i="38" s="1"/>
  <c r="F22" i="5"/>
  <c r="D22" i="26"/>
  <c r="D22" i="38" s="1"/>
  <c r="F30" i="5"/>
  <c r="H30" s="1"/>
  <c r="D30" i="26"/>
  <c r="D30" i="38" s="1"/>
  <c r="C55" i="5"/>
  <c r="C57" i="26" s="1"/>
  <c r="C56" i="38" s="1"/>
  <c r="C53" i="26"/>
  <c r="C52" i="38" s="1"/>
  <c r="C62" i="5"/>
  <c r="C61"/>
  <c r="C64" i="26" s="1"/>
  <c r="C63" i="38" s="1"/>
  <c r="E77" i="5"/>
  <c r="C113"/>
  <c r="C111" i="26"/>
  <c r="C110" i="38" s="1"/>
  <c r="E122" i="26"/>
  <c r="E121" i="38" s="1"/>
  <c r="E124" i="5"/>
  <c r="E130" i="26" s="1"/>
  <c r="E129" i="38" s="1"/>
  <c r="H11" i="29" s="1"/>
  <c r="D139" i="5"/>
  <c r="D145" i="26"/>
  <c r="D144" i="38" s="1"/>
  <c r="D36" i="39"/>
  <c r="C146" i="26"/>
  <c r="C145" i="38" s="1"/>
  <c r="C46" i="5"/>
  <c r="C46" i="26"/>
  <c r="C45" i="38" s="1"/>
  <c r="D61" i="5"/>
  <c r="D64" i="26" s="1"/>
  <c r="D63" i="38" s="1"/>
  <c r="D113" i="5"/>
  <c r="D111" i="26"/>
  <c r="D110" i="38" s="1"/>
  <c r="G122" i="26"/>
  <c r="G121" i="38" s="1"/>
  <c r="G124" i="5"/>
  <c r="F119"/>
  <c r="E125" i="26"/>
  <c r="E124" i="38" s="1"/>
  <c r="E139" i="5"/>
  <c r="E145" i="26"/>
  <c r="E144" i="38" s="1"/>
  <c r="E114"/>
  <c r="F28" i="39"/>
  <c r="H28" s="1"/>
  <c r="C32" i="5"/>
  <c r="C28" i="26"/>
  <c r="C28" i="38" s="1"/>
  <c r="D46" i="5"/>
  <c r="D46" i="26"/>
  <c r="D45" i="38" s="1"/>
  <c r="F48" i="5"/>
  <c r="E61"/>
  <c r="E62" s="1"/>
  <c r="C122" i="26"/>
  <c r="C121" i="38" s="1"/>
  <c r="C124" i="5"/>
  <c r="C130" i="26" s="1"/>
  <c r="C129" i="38" s="1"/>
  <c r="E75"/>
  <c r="F72" i="14"/>
  <c r="H72" s="1"/>
  <c r="E55" i="16"/>
  <c r="E57" i="26" s="1"/>
  <c r="E63" i="19"/>
  <c r="E106" i="10"/>
  <c r="E88" i="26"/>
  <c r="E88" i="38" s="1"/>
  <c r="F34" i="24"/>
  <c r="E33"/>
  <c r="E30" i="26"/>
  <c r="E36" i="39" s="1"/>
  <c r="F26"/>
  <c r="H26" s="1"/>
  <c r="G139" i="14"/>
  <c r="G145" i="26"/>
  <c r="G144" i="38" s="1"/>
  <c r="E109" i="19"/>
  <c r="F108"/>
  <c r="H108" s="1"/>
  <c r="E109" i="26"/>
  <c r="E108" i="38" s="1"/>
  <c r="F90" i="19"/>
  <c r="H90" s="1"/>
  <c r="E91" i="26"/>
  <c r="E91" i="38" s="1"/>
  <c r="F80" i="19"/>
  <c r="H80" s="1"/>
  <c r="G106" i="5"/>
  <c r="E106" i="27"/>
  <c r="F88"/>
  <c r="H88" s="1"/>
  <c r="F85"/>
  <c r="H105"/>
  <c r="G91" i="26"/>
  <c r="G91" i="38" s="1"/>
  <c r="G106" i="27"/>
  <c r="G135" s="1"/>
  <c r="H85"/>
  <c r="F143" i="19"/>
  <c r="H33" i="39"/>
  <c r="G36"/>
  <c r="H105" i="23"/>
  <c r="G113" i="21"/>
  <c r="H109"/>
  <c r="G106" i="3"/>
  <c r="G106" i="2"/>
  <c r="G106" i="4"/>
  <c r="G81" i="26"/>
  <c r="G81" i="38" s="1"/>
  <c r="H85" i="7"/>
  <c r="G77" i="8"/>
  <c r="G106" i="10"/>
  <c r="H106" i="13"/>
  <c r="H13" i="14"/>
  <c r="H102" i="8"/>
  <c r="H104"/>
  <c r="H106" i="26" s="1"/>
  <c r="H100" i="11"/>
  <c r="F101"/>
  <c r="H100" i="12"/>
  <c r="F101"/>
  <c r="H101" i="13"/>
  <c r="F102"/>
  <c r="H100" i="14"/>
  <c r="F101"/>
  <c r="H100" i="16"/>
  <c r="F101"/>
  <c r="H101" s="1"/>
  <c r="H117"/>
  <c r="H107"/>
  <c r="H100" i="27"/>
  <c r="F101"/>
  <c r="H101" s="1"/>
  <c r="H100" i="17"/>
  <c r="F101"/>
  <c r="H100" i="18"/>
  <c r="F101"/>
  <c r="H101" i="24"/>
  <c r="F102"/>
  <c r="G57" i="26"/>
  <c r="G47" i="19"/>
  <c r="G46" i="26"/>
  <c r="G45" i="38" s="1"/>
  <c r="G135"/>
  <c r="G125" i="26"/>
  <c r="G124" i="38" s="1"/>
  <c r="G127" i="19"/>
  <c r="G130" i="26" s="1"/>
  <c r="G116" i="19"/>
  <c r="G113" i="39"/>
  <c r="G88" i="38"/>
  <c r="G109" i="19"/>
  <c r="G79" i="38"/>
  <c r="G79" i="19"/>
  <c r="G75" i="26"/>
  <c r="G75" i="38" s="1"/>
  <c r="H102" i="39"/>
  <c r="H11"/>
  <c r="H132"/>
  <c r="H110"/>
  <c r="H109"/>
  <c r="H34"/>
  <c r="H89"/>
  <c r="H17"/>
  <c r="H86"/>
  <c r="H94"/>
  <c r="H93"/>
  <c r="H73"/>
  <c r="H38"/>
  <c r="H83"/>
  <c r="H29"/>
  <c r="H67"/>
  <c r="H41"/>
  <c r="H16"/>
  <c r="H51"/>
  <c r="H91"/>
  <c r="H111"/>
  <c r="H81"/>
  <c r="H128"/>
  <c r="H135"/>
  <c r="H14"/>
  <c r="H55"/>
  <c r="H88"/>
  <c r="H78"/>
  <c r="F22"/>
  <c r="F48"/>
  <c r="H50"/>
  <c r="H72"/>
  <c r="C134"/>
  <c r="H52"/>
  <c r="H99"/>
  <c r="G110" i="38"/>
  <c r="F105" i="39"/>
  <c r="E110" i="38"/>
  <c r="F77" i="39"/>
  <c r="H77" s="1"/>
  <c r="E81" i="38"/>
  <c r="H8" i="29" s="1"/>
  <c r="F103" i="39"/>
  <c r="H103" s="1"/>
  <c r="E53"/>
  <c r="G59"/>
  <c r="H130"/>
  <c r="F113"/>
  <c r="H117"/>
  <c r="G122" i="38"/>
  <c r="H23" i="39"/>
  <c r="H47"/>
  <c r="F100"/>
  <c r="H100" s="1"/>
  <c r="E104" i="38"/>
  <c r="F44" i="39"/>
  <c r="H64"/>
  <c r="F75"/>
  <c r="H75" s="1"/>
  <c r="I24" i="29"/>
  <c r="I30" s="1"/>
  <c r="H30"/>
  <c r="H85" i="39"/>
  <c r="F97"/>
  <c r="E101" i="38"/>
  <c r="H21" i="39"/>
  <c r="F133"/>
  <c r="H133" s="1"/>
  <c r="E139" i="38"/>
  <c r="H9" i="30" s="1"/>
  <c r="F87" i="39"/>
  <c r="H82"/>
  <c r="H24"/>
  <c r="H101"/>
  <c r="H6"/>
  <c r="H37"/>
  <c r="F129"/>
  <c r="E135" i="38"/>
  <c r="H7" i="30" s="1"/>
  <c r="H43" i="39"/>
  <c r="H119"/>
  <c r="G53"/>
  <c r="H40"/>
  <c r="H96"/>
  <c r="H8"/>
  <c r="G104"/>
  <c r="H106"/>
  <c r="E46"/>
  <c r="D20"/>
  <c r="F12"/>
  <c r="E20"/>
  <c r="E76"/>
  <c r="F71"/>
  <c r="G138"/>
  <c r="F56"/>
  <c r="E59"/>
  <c r="G124"/>
  <c r="H116"/>
  <c r="G46"/>
  <c r="E138"/>
  <c r="F137"/>
  <c r="F13"/>
  <c r="D53"/>
  <c r="F49"/>
  <c r="F50" i="38" s="1"/>
  <c r="H50" s="1"/>
  <c r="E104" i="39"/>
  <c r="G20"/>
  <c r="G76"/>
  <c r="D88" i="26"/>
  <c r="D88" i="38" s="1"/>
  <c r="C48" i="26"/>
  <c r="C47" i="38" s="1"/>
  <c r="F109" i="22"/>
  <c r="H109" s="1"/>
  <c r="D115" i="26"/>
  <c r="D114" i="38" s="1"/>
  <c r="D20" i="3"/>
  <c r="F105" i="2"/>
  <c r="H105" s="1"/>
  <c r="H100" i="23"/>
  <c r="F101"/>
  <c r="H101" s="1"/>
  <c r="H100" i="22"/>
  <c r="F101"/>
  <c r="H100" i="21"/>
  <c r="H101" s="1"/>
  <c r="F101"/>
  <c r="H100" i="20"/>
  <c r="F101"/>
  <c r="H100" i="3"/>
  <c r="F101"/>
  <c r="H100" i="2"/>
  <c r="F101"/>
  <c r="H100" i="4"/>
  <c r="F101"/>
  <c r="H100" i="6"/>
  <c r="F101"/>
  <c r="H100" i="7"/>
  <c r="F101"/>
  <c r="H100" i="8"/>
  <c r="F101"/>
  <c r="H100" i="9"/>
  <c r="F101"/>
  <c r="H100" i="10"/>
  <c r="F101"/>
  <c r="H13" i="16"/>
  <c r="H13" i="18"/>
  <c r="C20" i="5"/>
  <c r="C12" i="26"/>
  <c r="C12" i="38" s="1"/>
  <c r="F135" i="28"/>
  <c r="H135" s="1"/>
  <c r="F134" i="5"/>
  <c r="H134" s="1"/>
  <c r="D140" i="26"/>
  <c r="D139" i="38" s="1"/>
  <c r="G9" i="30" s="1"/>
  <c r="F105" i="5"/>
  <c r="H105" s="1"/>
  <c r="D109" i="26"/>
  <c r="D108" i="38" s="1"/>
  <c r="H100" i="5"/>
  <c r="F103" i="26"/>
  <c r="H103" s="1"/>
  <c r="F101" i="5"/>
  <c r="H101" s="1"/>
  <c r="H89" i="23"/>
  <c r="F98"/>
  <c r="H89" i="22"/>
  <c r="F98"/>
  <c r="H98" s="1"/>
  <c r="H89" i="21"/>
  <c r="F98"/>
  <c r="H89" i="20"/>
  <c r="F98"/>
  <c r="H98" s="1"/>
  <c r="H89" i="3"/>
  <c r="F98"/>
  <c r="H89" i="2"/>
  <c r="F98"/>
  <c r="H98" s="1"/>
  <c r="H89" i="4"/>
  <c r="F98"/>
  <c r="H98" s="1"/>
  <c r="H89" i="6"/>
  <c r="F98"/>
  <c r="H89" i="14"/>
  <c r="F98"/>
  <c r="H98" s="1"/>
  <c r="F124" i="16"/>
  <c r="H89" i="27"/>
  <c r="F98"/>
  <c r="H98" s="1"/>
  <c r="H26"/>
  <c r="H51" i="18"/>
  <c r="H130"/>
  <c r="H89"/>
  <c r="F98"/>
  <c r="H98" s="1"/>
  <c r="H90" i="24"/>
  <c r="F99"/>
  <c r="H107" i="19"/>
  <c r="F108" i="26"/>
  <c r="F107" i="38" s="1"/>
  <c r="H91" i="19"/>
  <c r="F100"/>
  <c r="H100" s="1"/>
  <c r="H59"/>
  <c r="F60" i="26"/>
  <c r="F59" i="38" s="1"/>
  <c r="H41" i="19"/>
  <c r="F42" i="26"/>
  <c r="F42" i="38" s="1"/>
  <c r="H33" i="19"/>
  <c r="H30"/>
  <c r="H27"/>
  <c r="F27" i="26"/>
  <c r="F27" i="38" s="1"/>
  <c r="H21" i="19"/>
  <c r="F21" i="26"/>
  <c r="F21" i="38" s="1"/>
  <c r="H17" i="19"/>
  <c r="F17" i="26"/>
  <c r="F17" i="38" s="1"/>
  <c r="H112" i="19"/>
  <c r="H133"/>
  <c r="H141"/>
  <c r="F144" i="26"/>
  <c r="F143" i="38" s="1"/>
  <c r="H136" i="19"/>
  <c r="F139" i="26"/>
  <c r="F138" i="38" s="1"/>
  <c r="H132" i="19"/>
  <c r="F135" i="26"/>
  <c r="F134" i="38" s="1"/>
  <c r="H125" i="19"/>
  <c r="F128" i="26"/>
  <c r="F127" i="38" s="1"/>
  <c r="H121" i="19"/>
  <c r="F124" i="26"/>
  <c r="F123" i="38" s="1"/>
  <c r="H118" i="19"/>
  <c r="F121" i="26"/>
  <c r="F120" i="38" s="1"/>
  <c r="H114" i="19"/>
  <c r="F117" i="26"/>
  <c r="F116" i="38" s="1"/>
  <c r="H104" i="19"/>
  <c r="H99"/>
  <c r="F100" i="26"/>
  <c r="F100" i="38" s="1"/>
  <c r="H55" i="19"/>
  <c r="F56" i="26"/>
  <c r="F55" i="38" s="1"/>
  <c r="H35" i="19"/>
  <c r="F36" i="26"/>
  <c r="F36" i="38" s="1"/>
  <c r="H29" i="19"/>
  <c r="F29" i="26"/>
  <c r="F29" i="38" s="1"/>
  <c r="H23" i="19"/>
  <c r="F23" i="26"/>
  <c r="F23" i="38" s="1"/>
  <c r="H16" i="19"/>
  <c r="F16" i="26"/>
  <c r="F16" i="38" s="1"/>
  <c r="H13" i="19"/>
  <c r="H115"/>
  <c r="F118" i="26"/>
  <c r="F117" i="38" s="1"/>
  <c r="H135" i="19"/>
  <c r="F138" i="26"/>
  <c r="F137" i="38" s="1"/>
  <c r="H124" i="19"/>
  <c r="F127" i="26"/>
  <c r="F126" i="38" s="1"/>
  <c r="H110" i="19"/>
  <c r="H72"/>
  <c r="F73" i="26"/>
  <c r="F73" i="38" s="1"/>
  <c r="H61" i="19"/>
  <c r="F62" i="26"/>
  <c r="F61" i="38" s="1"/>
  <c r="H54" i="19"/>
  <c r="F55" i="26"/>
  <c r="F54" i="38" s="1"/>
  <c r="H49" i="19"/>
  <c r="H44"/>
  <c r="F45" i="26"/>
  <c r="F44" i="38" s="1"/>
  <c r="H34" i="19"/>
  <c r="F35" i="26"/>
  <c r="F35" i="38" s="1"/>
  <c r="H31" i="19"/>
  <c r="F31" i="26"/>
  <c r="F31" i="38" s="1"/>
  <c r="H26" i="19"/>
  <c r="H19"/>
  <c r="F19" i="26"/>
  <c r="F19" i="38" s="1"/>
  <c r="H15" i="19"/>
  <c r="F15" i="26"/>
  <c r="F15" i="38" s="1"/>
  <c r="H8" i="19"/>
  <c r="F8" i="26"/>
  <c r="F8" i="38" s="1"/>
  <c r="H122" i="19"/>
  <c r="H137"/>
  <c r="H129"/>
  <c r="F132" i="26"/>
  <c r="F131" i="38" s="1"/>
  <c r="H111" i="19"/>
  <c r="F112" i="26"/>
  <c r="F111" i="38" s="1"/>
  <c r="H96" i="19"/>
  <c r="F97" i="26"/>
  <c r="F97" i="38" s="1"/>
  <c r="H83" i="19"/>
  <c r="F84" i="26"/>
  <c r="F84" i="38" s="1"/>
  <c r="H46" i="19"/>
  <c r="F47" i="26"/>
  <c r="F46" i="38" s="1"/>
  <c r="H24" i="19"/>
  <c r="F24" i="26"/>
  <c r="F24" i="38" s="1"/>
  <c r="H140" i="19"/>
  <c r="F143" i="26"/>
  <c r="F142" i="38" s="1"/>
  <c r="H131" i="19"/>
  <c r="F134" i="26"/>
  <c r="F133" i="38" s="1"/>
  <c r="H117" i="19"/>
  <c r="F120" i="26"/>
  <c r="F119" i="38" s="1"/>
  <c r="H113" i="19"/>
  <c r="F116" i="26"/>
  <c r="F115" i="38" s="1"/>
  <c r="H120" i="19"/>
  <c r="H143"/>
  <c r="H134"/>
  <c r="F137" i="26"/>
  <c r="F136" i="38" s="1"/>
  <c r="H130" i="19"/>
  <c r="F133" i="26"/>
  <c r="F132" i="38" s="1"/>
  <c r="H123" i="19"/>
  <c r="F126" i="26"/>
  <c r="F125" i="38" s="1"/>
  <c r="H97" i="19"/>
  <c r="F98" i="26"/>
  <c r="F98" i="38" s="1"/>
  <c r="H92" i="19"/>
  <c r="F93" i="26"/>
  <c r="F93" i="38" s="1"/>
  <c r="H53" i="19"/>
  <c r="F54" i="26"/>
  <c r="F53" i="38" s="1"/>
  <c r="H48" i="19"/>
  <c r="F49" i="26"/>
  <c r="F48" i="38" s="1"/>
  <c r="H38" i="19"/>
  <c r="F39" i="26"/>
  <c r="F39" i="38" s="1"/>
  <c r="H28" i="19"/>
  <c r="H22"/>
  <c r="H18"/>
  <c r="F18" i="26"/>
  <c r="F18" i="38" s="1"/>
  <c r="H14" i="19"/>
  <c r="F14" i="26"/>
  <c r="F14" i="38" s="1"/>
  <c r="H11" i="19"/>
  <c r="F11" i="26"/>
  <c r="F11" i="38" s="1"/>
  <c r="H7" i="19"/>
  <c r="F7" i="26"/>
  <c r="F7" i="38" s="1"/>
  <c r="H102" i="19"/>
  <c r="H103" s="1"/>
  <c r="H37"/>
  <c r="F38" i="26"/>
  <c r="F38" i="38" s="1"/>
  <c r="H10" i="19"/>
  <c r="F10" i="26"/>
  <c r="F10" i="38" s="1"/>
  <c r="F99" i="26"/>
  <c r="F99" i="38" s="1"/>
  <c r="H93" i="5"/>
  <c r="F96" i="26"/>
  <c r="F96" i="38" s="1"/>
  <c r="H92" i="5"/>
  <c r="F95" i="26"/>
  <c r="F95" i="38" s="1"/>
  <c r="H89" i="5"/>
  <c r="F92" i="26"/>
  <c r="F92" i="38" s="1"/>
  <c r="F98" i="5"/>
  <c r="H98" s="1"/>
  <c r="H87"/>
  <c r="F90" i="26"/>
  <c r="F90" i="38" s="1"/>
  <c r="H86" i="5"/>
  <c r="F89" i="26"/>
  <c r="F89" i="38" s="1"/>
  <c r="H84" i="5"/>
  <c r="F87" i="26"/>
  <c r="F87" i="38" s="1"/>
  <c r="H83" i="5"/>
  <c r="F86" i="26"/>
  <c r="F86" i="38" s="1"/>
  <c r="H82" i="5"/>
  <c r="F85" i="26"/>
  <c r="F85" i="38" s="1"/>
  <c r="H80" i="5"/>
  <c r="F83" i="26"/>
  <c r="F83" i="38" s="1"/>
  <c r="F78" i="5"/>
  <c r="H78" s="1"/>
  <c r="D81" i="26"/>
  <c r="D81" i="38" s="1"/>
  <c r="G8" i="29" s="1"/>
  <c r="H79" i="5"/>
  <c r="F82" i="26"/>
  <c r="F82" i="38" s="1"/>
  <c r="H75" i="5"/>
  <c r="F78" i="26"/>
  <c r="F78" i="38" s="1"/>
  <c r="H74" i="5"/>
  <c r="F77" i="26"/>
  <c r="F77" i="38" s="1"/>
  <c r="H73" i="5"/>
  <c r="F76" i="26"/>
  <c r="F76" i="38" s="1"/>
  <c r="F76" i="5"/>
  <c r="H76" s="1"/>
  <c r="D79" i="26"/>
  <c r="D79" i="38" s="1"/>
  <c r="H71" i="5"/>
  <c r="F74" i="26"/>
  <c r="F74" i="38" s="1"/>
  <c r="H69" i="5"/>
  <c r="F72" i="26"/>
  <c r="F72" i="38" s="1"/>
  <c r="H68" i="5"/>
  <c r="F71" i="26"/>
  <c r="F71" i="38" s="1"/>
  <c r="D77" i="5"/>
  <c r="D75" i="26"/>
  <c r="D75" i="38" s="1"/>
  <c r="H66" i="5"/>
  <c r="F69" i="26"/>
  <c r="F68" i="38" s="1"/>
  <c r="H42" i="5"/>
  <c r="F43" i="26"/>
  <c r="F43" i="38" s="1"/>
  <c r="H40" i="5"/>
  <c r="F41" i="26"/>
  <c r="F41" i="38" s="1"/>
  <c r="F40" i="26"/>
  <c r="F40" i="38" s="1"/>
  <c r="H9" i="5"/>
  <c r="F9" i="26"/>
  <c r="F9" i="38" s="1"/>
  <c r="D20" i="5"/>
  <c r="D12" i="26"/>
  <c r="H6" i="5"/>
  <c r="F6" i="26"/>
  <c r="F6" i="38" s="1"/>
  <c r="H36" i="28"/>
  <c r="G56"/>
  <c r="D63"/>
  <c r="F63" s="1"/>
  <c r="F56"/>
  <c r="F85" i="6"/>
  <c r="H96" i="7"/>
  <c r="F98"/>
  <c r="H98" s="1"/>
  <c r="H89" i="8"/>
  <c r="F98"/>
  <c r="H98" s="1"/>
  <c r="F85"/>
  <c r="H85" s="1"/>
  <c r="F119" i="9"/>
  <c r="H119" s="1"/>
  <c r="D124"/>
  <c r="F105"/>
  <c r="H105" s="1"/>
  <c r="H89"/>
  <c r="F98"/>
  <c r="H98" s="1"/>
  <c r="H89" i="10"/>
  <c r="F98"/>
  <c r="H98" s="1"/>
  <c r="H92" i="11"/>
  <c r="F98"/>
  <c r="H98" s="1"/>
  <c r="H89" i="12"/>
  <c r="F98"/>
  <c r="H98" s="1"/>
  <c r="H93" i="13"/>
  <c r="F99"/>
  <c r="H99" s="1"/>
  <c r="F59"/>
  <c r="F98" i="15"/>
  <c r="H105" i="16"/>
  <c r="H96"/>
  <c r="F98"/>
  <c r="H98" s="1"/>
  <c r="F85"/>
  <c r="F51"/>
  <c r="D20"/>
  <c r="H12"/>
  <c r="F20"/>
  <c r="H96" i="17"/>
  <c r="F98"/>
  <c r="F124" i="3"/>
  <c r="H22" i="27"/>
  <c r="H12"/>
  <c r="H22" i="18"/>
  <c r="H44"/>
  <c r="H30"/>
  <c r="H33"/>
  <c r="H119" i="19"/>
  <c r="F127"/>
  <c r="D106" i="18"/>
  <c r="F106" s="1"/>
  <c r="F85"/>
  <c r="H85" s="1"/>
  <c r="H48" i="5"/>
  <c r="H33" i="16"/>
  <c r="H28" i="27"/>
  <c r="H44"/>
  <c r="H58"/>
  <c r="H48"/>
  <c r="H30"/>
  <c r="H118" i="24"/>
  <c r="D116" i="19"/>
  <c r="F116" s="1"/>
  <c r="D109"/>
  <c r="F87"/>
  <c r="H87" s="1"/>
  <c r="D79"/>
  <c r="F74"/>
  <c r="H74" s="1"/>
  <c r="F79"/>
  <c r="H79" s="1"/>
  <c r="F60"/>
  <c r="F63" s="1"/>
  <c r="F52"/>
  <c r="F56" s="1"/>
  <c r="H56" s="1"/>
  <c r="F25"/>
  <c r="F12"/>
  <c r="H12" s="1"/>
  <c r="F22" i="23"/>
  <c r="H22" s="1"/>
  <c r="F33"/>
  <c r="H33" s="1"/>
  <c r="F78"/>
  <c r="H78" s="1"/>
  <c r="F26"/>
  <c r="H26" s="1"/>
  <c r="F30"/>
  <c r="H30" s="1"/>
  <c r="F109"/>
  <c r="H109" s="1"/>
  <c r="C32" i="22"/>
  <c r="G32"/>
  <c r="G36" s="1"/>
  <c r="G56" s="1"/>
  <c r="F44"/>
  <c r="H44" s="1"/>
  <c r="H46"/>
  <c r="F51"/>
  <c r="H105"/>
  <c r="H30"/>
  <c r="H101"/>
  <c r="C113" i="21"/>
  <c r="C135" s="1"/>
  <c r="C140" s="1"/>
  <c r="H26"/>
  <c r="H48"/>
  <c r="D77"/>
  <c r="H22"/>
  <c r="E77"/>
  <c r="F77" s="1"/>
  <c r="H77" s="1"/>
  <c r="F12"/>
  <c r="H12" s="1"/>
  <c r="H85"/>
  <c r="E77" i="20"/>
  <c r="F117"/>
  <c r="H117" s="1"/>
  <c r="F105"/>
  <c r="H105" s="1"/>
  <c r="F12"/>
  <c r="H12" s="1"/>
  <c r="F107"/>
  <c r="H107" s="1"/>
  <c r="H116" i="3"/>
  <c r="F32"/>
  <c r="F105"/>
  <c r="H105" s="1"/>
  <c r="H101"/>
  <c r="H85"/>
  <c r="H51"/>
  <c r="F44"/>
  <c r="H44" s="1"/>
  <c r="H25"/>
  <c r="H13"/>
  <c r="C20"/>
  <c r="C56" s="1"/>
  <c r="C63" s="1"/>
  <c r="F109"/>
  <c r="H109" s="1"/>
  <c r="E113"/>
  <c r="E106"/>
  <c r="E135" s="1"/>
  <c r="E140" s="1"/>
  <c r="C77"/>
  <c r="H33"/>
  <c r="E36"/>
  <c r="G20"/>
  <c r="H28" i="2"/>
  <c r="F46"/>
  <c r="F76"/>
  <c r="H76" s="1"/>
  <c r="F109"/>
  <c r="H109" s="1"/>
  <c r="E77"/>
  <c r="F77" s="1"/>
  <c r="H77" s="1"/>
  <c r="F138"/>
  <c r="H138" s="1"/>
  <c r="C20"/>
  <c r="F44"/>
  <c r="H44" s="1"/>
  <c r="D113"/>
  <c r="F30" i="4"/>
  <c r="H30" s="1"/>
  <c r="F88"/>
  <c r="H88" s="1"/>
  <c r="F33"/>
  <c r="H33" s="1"/>
  <c r="F44"/>
  <c r="H44" s="1"/>
  <c r="F48"/>
  <c r="H48" s="1"/>
  <c r="H26" i="5"/>
  <c r="H22"/>
  <c r="E106"/>
  <c r="F109"/>
  <c r="H109" s="1"/>
  <c r="F12"/>
  <c r="H12" s="1"/>
  <c r="F46"/>
  <c r="H119"/>
  <c r="F88"/>
  <c r="F13" i="6"/>
  <c r="H13" s="1"/>
  <c r="C77"/>
  <c r="F25"/>
  <c r="H25" s="1"/>
  <c r="F28"/>
  <c r="H28" s="1"/>
  <c r="E113"/>
  <c r="F138"/>
  <c r="F26" i="7"/>
  <c r="H26" s="1"/>
  <c r="F33"/>
  <c r="H33" s="1"/>
  <c r="F48"/>
  <c r="H48" s="1"/>
  <c r="F51"/>
  <c r="F105"/>
  <c r="H105" s="1"/>
  <c r="D113"/>
  <c r="C77"/>
  <c r="F30"/>
  <c r="H30" s="1"/>
  <c r="F72"/>
  <c r="H72" s="1"/>
  <c r="H130"/>
  <c r="F105" i="8"/>
  <c r="H105" s="1"/>
  <c r="D113"/>
  <c r="D77"/>
  <c r="F134"/>
  <c r="H134" s="1"/>
  <c r="H30"/>
  <c r="F26" i="9"/>
  <c r="H26" s="1"/>
  <c r="F76"/>
  <c r="D113"/>
  <c r="F22"/>
  <c r="H22" s="1"/>
  <c r="C77"/>
  <c r="F109"/>
  <c r="H109" s="1"/>
  <c r="F48" i="10"/>
  <c r="H48" s="1"/>
  <c r="H30"/>
  <c r="F88"/>
  <c r="H88" s="1"/>
  <c r="H109"/>
  <c r="H26"/>
  <c r="C32"/>
  <c r="G32"/>
  <c r="G36" s="1"/>
  <c r="G56" s="1"/>
  <c r="F33"/>
  <c r="H33" s="1"/>
  <c r="F44"/>
  <c r="H44" s="1"/>
  <c r="H101"/>
  <c r="F30" i="11"/>
  <c r="H30" s="1"/>
  <c r="C113"/>
  <c r="C32"/>
  <c r="H76"/>
  <c r="E106"/>
  <c r="F107"/>
  <c r="H107" s="1"/>
  <c r="D20"/>
  <c r="E77"/>
  <c r="F88"/>
  <c r="H88" s="1"/>
  <c r="H105"/>
  <c r="F117"/>
  <c r="H117" s="1"/>
  <c r="F22" i="12"/>
  <c r="H22" s="1"/>
  <c r="F33"/>
  <c r="H33" s="1"/>
  <c r="C113"/>
  <c r="F48"/>
  <c r="H48" s="1"/>
  <c r="F13"/>
  <c r="H13" s="1"/>
  <c r="D106"/>
  <c r="D135" s="1"/>
  <c r="H101"/>
  <c r="H116"/>
  <c r="F108" i="13"/>
  <c r="H108" s="1"/>
  <c r="F44"/>
  <c r="H44" s="1"/>
  <c r="C114"/>
  <c r="F48"/>
  <c r="H48" s="1"/>
  <c r="H77"/>
  <c r="D113" i="14"/>
  <c r="F113" s="1"/>
  <c r="D77"/>
  <c r="F26"/>
  <c r="H26" s="1"/>
  <c r="F44"/>
  <c r="H44" s="1"/>
  <c r="F78"/>
  <c r="H78" s="1"/>
  <c r="F85"/>
  <c r="H85" s="1"/>
  <c r="F109"/>
  <c r="H109" s="1"/>
  <c r="F26" i="15"/>
  <c r="H26" s="1"/>
  <c r="H69"/>
  <c r="H80"/>
  <c r="H95"/>
  <c r="H100"/>
  <c r="F105"/>
  <c r="D113"/>
  <c r="H110"/>
  <c r="H115"/>
  <c r="H122"/>
  <c r="H129"/>
  <c r="H132"/>
  <c r="F134"/>
  <c r="H137"/>
  <c r="G139"/>
  <c r="H70"/>
  <c r="H75"/>
  <c r="H83"/>
  <c r="H102"/>
  <c r="H111"/>
  <c r="H118"/>
  <c r="H126"/>
  <c r="C139"/>
  <c r="H11"/>
  <c r="H19"/>
  <c r="E32"/>
  <c r="H66"/>
  <c r="E77"/>
  <c r="H73"/>
  <c r="H81"/>
  <c r="H84"/>
  <c r="G106"/>
  <c r="H89"/>
  <c r="H93"/>
  <c r="H96"/>
  <c r="H104"/>
  <c r="H107" i="26" s="1"/>
  <c r="G113" i="15"/>
  <c r="H112"/>
  <c r="H120"/>
  <c r="H127"/>
  <c r="H131"/>
  <c r="H133"/>
  <c r="D139"/>
  <c r="F48"/>
  <c r="H48" s="1"/>
  <c r="H68"/>
  <c r="H71"/>
  <c r="F72"/>
  <c r="H72" s="1"/>
  <c r="H74"/>
  <c r="D77"/>
  <c r="F77" s="1"/>
  <c r="F78"/>
  <c r="H78" s="1"/>
  <c r="H82"/>
  <c r="H86"/>
  <c r="F88"/>
  <c r="H88" s="1"/>
  <c r="H90"/>
  <c r="H94"/>
  <c r="H97"/>
  <c r="H108"/>
  <c r="H114"/>
  <c r="H121"/>
  <c r="H128"/>
  <c r="H136"/>
  <c r="E139"/>
  <c r="F139" s="1"/>
  <c r="C113" i="27"/>
  <c r="C135"/>
  <c r="C138" i="19"/>
  <c r="C106" i="3"/>
  <c r="C106" i="4"/>
  <c r="C135" s="1"/>
  <c r="C140" s="1"/>
  <c r="C77" i="8"/>
  <c r="C106" i="9"/>
  <c r="C106" i="10"/>
  <c r="C106" i="11"/>
  <c r="C107" i="13"/>
  <c r="C106" i="15"/>
  <c r="C135" s="1"/>
  <c r="C140" s="1"/>
  <c r="C113" i="16"/>
  <c r="C106"/>
  <c r="C135" s="1"/>
  <c r="C140" s="1"/>
  <c r="C77"/>
  <c r="C36"/>
  <c r="C56"/>
  <c r="C77" i="17"/>
  <c r="C106" i="18"/>
  <c r="C135" s="1"/>
  <c r="C140" s="1"/>
  <c r="C20" i="19"/>
  <c r="C20" i="21"/>
  <c r="F20" i="27"/>
  <c r="D36"/>
  <c r="F36" s="1"/>
  <c r="C56"/>
  <c r="C63" s="1"/>
  <c r="E135"/>
  <c r="E140" s="1"/>
  <c r="H139"/>
  <c r="E56"/>
  <c r="H113"/>
  <c r="D62"/>
  <c r="F61"/>
  <c r="D106"/>
  <c r="F106" s="1"/>
  <c r="G20"/>
  <c r="G32"/>
  <c r="H32" s="1"/>
  <c r="G46"/>
  <c r="H46" s="1"/>
  <c r="F25"/>
  <c r="H25" s="1"/>
  <c r="F77"/>
  <c r="H77" s="1"/>
  <c r="F116"/>
  <c r="F138"/>
  <c r="H138" s="1"/>
  <c r="C32" i="23"/>
  <c r="C36" s="1"/>
  <c r="C56" s="1"/>
  <c r="E106"/>
  <c r="E135" s="1"/>
  <c r="E140" s="1"/>
  <c r="F107"/>
  <c r="H107" s="1"/>
  <c r="F134"/>
  <c r="H134" s="1"/>
  <c r="H12"/>
  <c r="H48"/>
  <c r="H76"/>
  <c r="H88"/>
  <c r="D20"/>
  <c r="F20" s="1"/>
  <c r="E32"/>
  <c r="E36" s="1"/>
  <c r="E56" s="1"/>
  <c r="E63" s="1"/>
  <c r="F72"/>
  <c r="H72" s="1"/>
  <c r="C106"/>
  <c r="D113"/>
  <c r="F113" s="1"/>
  <c r="H113" s="1"/>
  <c r="H130"/>
  <c r="F138"/>
  <c r="H138" s="1"/>
  <c r="H13"/>
  <c r="F28"/>
  <c r="H28" s="1"/>
  <c r="F44"/>
  <c r="H44" s="1"/>
  <c r="H51"/>
  <c r="F58"/>
  <c r="H58" s="1"/>
  <c r="C77"/>
  <c r="H85"/>
  <c r="H98"/>
  <c r="F139"/>
  <c r="H139" s="1"/>
  <c r="D62"/>
  <c r="F62" s="1"/>
  <c r="F61"/>
  <c r="D36"/>
  <c r="G77"/>
  <c r="D106"/>
  <c r="G20"/>
  <c r="G32"/>
  <c r="G46"/>
  <c r="H46" s="1"/>
  <c r="F25"/>
  <c r="H25" s="1"/>
  <c r="F77"/>
  <c r="F116"/>
  <c r="D20" i="22"/>
  <c r="E32"/>
  <c r="E36" s="1"/>
  <c r="F72"/>
  <c r="H72" s="1"/>
  <c r="F85"/>
  <c r="H85" s="1"/>
  <c r="D113"/>
  <c r="F113" s="1"/>
  <c r="H113" s="1"/>
  <c r="F119"/>
  <c r="H119" s="1"/>
  <c r="F138"/>
  <c r="H138" s="1"/>
  <c r="E20"/>
  <c r="F13"/>
  <c r="H13" s="1"/>
  <c r="H22"/>
  <c r="H28"/>
  <c r="F33"/>
  <c r="H33" s="1"/>
  <c r="D32"/>
  <c r="F32" s="1"/>
  <c r="H32" s="1"/>
  <c r="F58"/>
  <c r="H58" s="1"/>
  <c r="C113"/>
  <c r="C135" s="1"/>
  <c r="C140" s="1"/>
  <c r="G113"/>
  <c r="G135" s="1"/>
  <c r="G62"/>
  <c r="D62"/>
  <c r="F62" s="1"/>
  <c r="F61"/>
  <c r="H61" s="1"/>
  <c r="H139"/>
  <c r="C36"/>
  <c r="C56" s="1"/>
  <c r="D106"/>
  <c r="F106" s="1"/>
  <c r="H106" s="1"/>
  <c r="F25"/>
  <c r="H25" s="1"/>
  <c r="F77"/>
  <c r="H77" s="1"/>
  <c r="F116"/>
  <c r="E20" i="21"/>
  <c r="F20" s="1"/>
  <c r="F13"/>
  <c r="H13" s="1"/>
  <c r="F28"/>
  <c r="H28" s="1"/>
  <c r="H30"/>
  <c r="F33"/>
  <c r="H33" s="1"/>
  <c r="F44"/>
  <c r="H44" s="1"/>
  <c r="F51"/>
  <c r="F58"/>
  <c r="H58" s="1"/>
  <c r="F76"/>
  <c r="H76" s="1"/>
  <c r="G106"/>
  <c r="F107"/>
  <c r="H107" s="1"/>
  <c r="F134"/>
  <c r="H134" s="1"/>
  <c r="H119"/>
  <c r="C36"/>
  <c r="C56" s="1"/>
  <c r="F138"/>
  <c r="H138" s="1"/>
  <c r="E32"/>
  <c r="F32" s="1"/>
  <c r="H98"/>
  <c r="E113"/>
  <c r="E135" s="1"/>
  <c r="E140" s="1"/>
  <c r="F139"/>
  <c r="H139" s="1"/>
  <c r="D62"/>
  <c r="F61"/>
  <c r="D36"/>
  <c r="D106"/>
  <c r="F106" s="1"/>
  <c r="G20"/>
  <c r="G32"/>
  <c r="G36" s="1"/>
  <c r="G46"/>
  <c r="H46" s="1"/>
  <c r="F25"/>
  <c r="H25" s="1"/>
  <c r="F116"/>
  <c r="C20" i="20"/>
  <c r="C56" s="1"/>
  <c r="H22"/>
  <c r="C36"/>
  <c r="H26"/>
  <c r="D32"/>
  <c r="F32" s="1"/>
  <c r="H48"/>
  <c r="H76"/>
  <c r="G106"/>
  <c r="H88"/>
  <c r="H101"/>
  <c r="C113"/>
  <c r="G113"/>
  <c r="D36"/>
  <c r="F72"/>
  <c r="H72" s="1"/>
  <c r="C106"/>
  <c r="H130"/>
  <c r="F138"/>
  <c r="H138" s="1"/>
  <c r="H78"/>
  <c r="E20"/>
  <c r="F20" s="1"/>
  <c r="F13"/>
  <c r="H13" s="1"/>
  <c r="F28"/>
  <c r="H28" s="1"/>
  <c r="H30"/>
  <c r="F33"/>
  <c r="H33" s="1"/>
  <c r="F44"/>
  <c r="H44" s="1"/>
  <c r="F51"/>
  <c r="F58"/>
  <c r="H58" s="1"/>
  <c r="F85"/>
  <c r="H85" s="1"/>
  <c r="E113"/>
  <c r="F113" s="1"/>
  <c r="F139"/>
  <c r="H139" s="1"/>
  <c r="F46"/>
  <c r="D62"/>
  <c r="F61"/>
  <c r="E36"/>
  <c r="G77"/>
  <c r="D106"/>
  <c r="F106" s="1"/>
  <c r="G20"/>
  <c r="G32"/>
  <c r="G46"/>
  <c r="F25"/>
  <c r="H25" s="1"/>
  <c r="F77"/>
  <c r="F116"/>
  <c r="D139" i="3"/>
  <c r="F139" s="1"/>
  <c r="H139" s="1"/>
  <c r="F117"/>
  <c r="H117" s="1"/>
  <c r="F107"/>
  <c r="H107" s="1"/>
  <c r="F76"/>
  <c r="H76" s="1"/>
  <c r="F58"/>
  <c r="H58" s="1"/>
  <c r="D46"/>
  <c r="D48" i="26" s="1"/>
  <c r="D47" i="38" s="1"/>
  <c r="C11" i="29" s="1"/>
  <c r="G32" i="3"/>
  <c r="F30"/>
  <c r="H30" s="1"/>
  <c r="F26"/>
  <c r="H26" s="1"/>
  <c r="D113"/>
  <c r="F113" s="1"/>
  <c r="H113" s="1"/>
  <c r="H98"/>
  <c r="F88"/>
  <c r="H88" s="1"/>
  <c r="D106"/>
  <c r="F106" s="1"/>
  <c r="H106" s="1"/>
  <c r="G77"/>
  <c r="F72"/>
  <c r="H72" s="1"/>
  <c r="D77"/>
  <c r="E56"/>
  <c r="E63" s="1"/>
  <c r="D36"/>
  <c r="F36" s="1"/>
  <c r="F61"/>
  <c r="D62"/>
  <c r="F62" s="1"/>
  <c r="F78"/>
  <c r="H78" s="1"/>
  <c r="F20"/>
  <c r="H20" s="1"/>
  <c r="D20" i="2"/>
  <c r="E32"/>
  <c r="E36" s="1"/>
  <c r="F72"/>
  <c r="H72" s="1"/>
  <c r="C106"/>
  <c r="H101"/>
  <c r="C113"/>
  <c r="G113"/>
  <c r="E20"/>
  <c r="F20" s="1"/>
  <c r="F13"/>
  <c r="H13" s="1"/>
  <c r="H30"/>
  <c r="F33"/>
  <c r="H33" s="1"/>
  <c r="F51"/>
  <c r="E106"/>
  <c r="E135" s="1"/>
  <c r="E140" s="1"/>
  <c r="E113"/>
  <c r="H12"/>
  <c r="H22"/>
  <c r="H26"/>
  <c r="D32"/>
  <c r="F58"/>
  <c r="H58" s="1"/>
  <c r="F107"/>
  <c r="H107" s="1"/>
  <c r="H134"/>
  <c r="D36"/>
  <c r="G62"/>
  <c r="F139"/>
  <c r="H139" s="1"/>
  <c r="D62"/>
  <c r="F61"/>
  <c r="H61" s="1"/>
  <c r="C36"/>
  <c r="C56" s="1"/>
  <c r="D106"/>
  <c r="G20"/>
  <c r="G32"/>
  <c r="G36"/>
  <c r="G46"/>
  <c r="F25"/>
  <c r="H25" s="1"/>
  <c r="F116"/>
  <c r="D20" i="4"/>
  <c r="F20" s="1"/>
  <c r="H20" s="1"/>
  <c r="E32"/>
  <c r="E36" s="1"/>
  <c r="E56" s="1"/>
  <c r="F85"/>
  <c r="H85" s="1"/>
  <c r="D113"/>
  <c r="F113" s="1"/>
  <c r="F119"/>
  <c r="H119" s="1"/>
  <c r="F138"/>
  <c r="H138" s="1"/>
  <c r="D77"/>
  <c r="F77" s="1"/>
  <c r="H77" s="1"/>
  <c r="F12"/>
  <c r="H12" s="1"/>
  <c r="C32"/>
  <c r="C36" s="1"/>
  <c r="C56" s="1"/>
  <c r="C63" s="1"/>
  <c r="G32"/>
  <c r="G36" s="1"/>
  <c r="G56" s="1"/>
  <c r="F107"/>
  <c r="H107" s="1"/>
  <c r="D32"/>
  <c r="D36" s="1"/>
  <c r="F58"/>
  <c r="H58" s="1"/>
  <c r="H101"/>
  <c r="G113"/>
  <c r="G135" s="1"/>
  <c r="G62"/>
  <c r="D62"/>
  <c r="F61"/>
  <c r="H61" s="1"/>
  <c r="F139"/>
  <c r="H139" s="1"/>
  <c r="D106"/>
  <c r="F106" s="1"/>
  <c r="H106" s="1"/>
  <c r="F25"/>
  <c r="H25" s="1"/>
  <c r="F116"/>
  <c r="E20" i="5"/>
  <c r="F13"/>
  <c r="H13" s="1"/>
  <c r="F28"/>
  <c r="H28" s="1"/>
  <c r="F33"/>
  <c r="H33" s="1"/>
  <c r="F44"/>
  <c r="H44" s="1"/>
  <c r="F51"/>
  <c r="F58"/>
  <c r="H58" s="1"/>
  <c r="C77"/>
  <c r="F85"/>
  <c r="E113"/>
  <c r="F107"/>
  <c r="H107" s="1"/>
  <c r="G113"/>
  <c r="D36"/>
  <c r="E32"/>
  <c r="F32" s="1"/>
  <c r="F72"/>
  <c r="C106"/>
  <c r="H130"/>
  <c r="E36"/>
  <c r="C36"/>
  <c r="C56" s="1"/>
  <c r="D62"/>
  <c r="F61"/>
  <c r="G77"/>
  <c r="D106"/>
  <c r="G20"/>
  <c r="G32"/>
  <c r="G36" s="1"/>
  <c r="G46"/>
  <c r="F25"/>
  <c r="H25" s="1"/>
  <c r="F116"/>
  <c r="F138"/>
  <c r="H138" s="1"/>
  <c r="F12" i="6"/>
  <c r="H12" s="1"/>
  <c r="F26"/>
  <c r="H26" s="1"/>
  <c r="C32"/>
  <c r="H30"/>
  <c r="F33"/>
  <c r="H33" s="1"/>
  <c r="D106"/>
  <c r="H101"/>
  <c r="C113"/>
  <c r="F116"/>
  <c r="F134"/>
  <c r="H134" s="1"/>
  <c r="F105"/>
  <c r="H105" s="1"/>
  <c r="D113"/>
  <c r="F113" s="1"/>
  <c r="E139"/>
  <c r="F139" s="1"/>
  <c r="H130"/>
  <c r="C36"/>
  <c r="C56" s="1"/>
  <c r="C106"/>
  <c r="H98"/>
  <c r="F22"/>
  <c r="H22" s="1"/>
  <c r="E77"/>
  <c r="F77" s="1"/>
  <c r="H77" s="1"/>
  <c r="F78"/>
  <c r="H78" s="1"/>
  <c r="H85"/>
  <c r="F88"/>
  <c r="H88" s="1"/>
  <c r="F117"/>
  <c r="H117" s="1"/>
  <c r="E20"/>
  <c r="F20" s="1"/>
  <c r="H20" s="1"/>
  <c r="G32"/>
  <c r="E36"/>
  <c r="F46"/>
  <c r="D62"/>
  <c r="F61"/>
  <c r="G139"/>
  <c r="H138"/>
  <c r="F48"/>
  <c r="H48" s="1"/>
  <c r="F76"/>
  <c r="H76" s="1"/>
  <c r="F109"/>
  <c r="H109" s="1"/>
  <c r="D32"/>
  <c r="F32" s="1"/>
  <c r="G46"/>
  <c r="F51"/>
  <c r="G106"/>
  <c r="F44"/>
  <c r="H44" s="1"/>
  <c r="F58"/>
  <c r="H58" s="1"/>
  <c r="F72"/>
  <c r="H72" s="1"/>
  <c r="F107"/>
  <c r="H107" s="1"/>
  <c r="F119"/>
  <c r="H119" s="1"/>
  <c r="E106"/>
  <c r="G113"/>
  <c r="E32" i="7"/>
  <c r="F32" s="1"/>
  <c r="E106"/>
  <c r="E135" s="1"/>
  <c r="E140" s="1"/>
  <c r="E113"/>
  <c r="H13"/>
  <c r="E36"/>
  <c r="E56" s="1"/>
  <c r="E63" s="1"/>
  <c r="F28"/>
  <c r="H28" s="1"/>
  <c r="F44"/>
  <c r="H44" s="1"/>
  <c r="F58"/>
  <c r="H58" s="1"/>
  <c r="F76"/>
  <c r="H76" s="1"/>
  <c r="F107"/>
  <c r="H107" s="1"/>
  <c r="H134"/>
  <c r="F12"/>
  <c r="H12" s="1"/>
  <c r="C32"/>
  <c r="C36" s="1"/>
  <c r="C56" s="1"/>
  <c r="C63" s="1"/>
  <c r="C106"/>
  <c r="H101"/>
  <c r="C113"/>
  <c r="G113"/>
  <c r="G135" s="1"/>
  <c r="H22"/>
  <c r="F113"/>
  <c r="F20"/>
  <c r="D36"/>
  <c r="H139"/>
  <c r="D62"/>
  <c r="F62" s="1"/>
  <c r="F61"/>
  <c r="D106"/>
  <c r="G20"/>
  <c r="G32"/>
  <c r="G46"/>
  <c r="H46" s="1"/>
  <c r="F25"/>
  <c r="H25" s="1"/>
  <c r="F77"/>
  <c r="H77" s="1"/>
  <c r="F116"/>
  <c r="F138"/>
  <c r="H138" s="1"/>
  <c r="C106" i="8"/>
  <c r="H26"/>
  <c r="F13"/>
  <c r="H13" s="1"/>
  <c r="C36"/>
  <c r="C56" s="1"/>
  <c r="C63" s="1"/>
  <c r="G32"/>
  <c r="G36" s="1"/>
  <c r="F51"/>
  <c r="F76"/>
  <c r="H76" s="1"/>
  <c r="D106"/>
  <c r="D135" s="1"/>
  <c r="H101"/>
  <c r="C113"/>
  <c r="F116"/>
  <c r="H130"/>
  <c r="E139"/>
  <c r="F139" s="1"/>
  <c r="F22"/>
  <c r="H22" s="1"/>
  <c r="E36"/>
  <c r="F28"/>
  <c r="H28" s="1"/>
  <c r="E113"/>
  <c r="F113" s="1"/>
  <c r="F109"/>
  <c r="H109" s="1"/>
  <c r="F20"/>
  <c r="F12"/>
  <c r="H12" s="1"/>
  <c r="F25"/>
  <c r="H25" s="1"/>
  <c r="F46"/>
  <c r="E56"/>
  <c r="E63" s="1"/>
  <c r="E77"/>
  <c r="F77" s="1"/>
  <c r="H77" s="1"/>
  <c r="F78"/>
  <c r="H78" s="1"/>
  <c r="F88"/>
  <c r="H88" s="1"/>
  <c r="F117"/>
  <c r="H117" s="1"/>
  <c r="G20"/>
  <c r="D32"/>
  <c r="H33"/>
  <c r="D62"/>
  <c r="F62" s="1"/>
  <c r="F61"/>
  <c r="G139"/>
  <c r="H138"/>
  <c r="G46"/>
  <c r="H48"/>
  <c r="G106"/>
  <c r="F44"/>
  <c r="H44" s="1"/>
  <c r="F58"/>
  <c r="H58" s="1"/>
  <c r="F72"/>
  <c r="H72" s="1"/>
  <c r="F107"/>
  <c r="H107" s="1"/>
  <c r="F119"/>
  <c r="H119" s="1"/>
  <c r="G113"/>
  <c r="C20" i="9"/>
  <c r="D32"/>
  <c r="D36" s="1"/>
  <c r="H48"/>
  <c r="H76"/>
  <c r="G106"/>
  <c r="H88"/>
  <c r="H101"/>
  <c r="C113"/>
  <c r="G113"/>
  <c r="D139"/>
  <c r="F139" s="1"/>
  <c r="H139" s="1"/>
  <c r="D77"/>
  <c r="F77" s="1"/>
  <c r="F13"/>
  <c r="H13" s="1"/>
  <c r="F28"/>
  <c r="H28" s="1"/>
  <c r="H30"/>
  <c r="F33"/>
  <c r="H33" s="1"/>
  <c r="F44"/>
  <c r="H44" s="1"/>
  <c r="F51"/>
  <c r="F58"/>
  <c r="H58" s="1"/>
  <c r="H72"/>
  <c r="F85"/>
  <c r="H85" s="1"/>
  <c r="E113"/>
  <c r="F113" s="1"/>
  <c r="F12"/>
  <c r="H12" s="1"/>
  <c r="H78"/>
  <c r="F107"/>
  <c r="H107" s="1"/>
  <c r="C36"/>
  <c r="C56" s="1"/>
  <c r="F46"/>
  <c r="D62"/>
  <c r="F61"/>
  <c r="E36"/>
  <c r="E56" s="1"/>
  <c r="G77"/>
  <c r="D106"/>
  <c r="F106" s="1"/>
  <c r="G20"/>
  <c r="H20" s="1"/>
  <c r="G32"/>
  <c r="G36" s="1"/>
  <c r="G46"/>
  <c r="F25"/>
  <c r="H25" s="1"/>
  <c r="F116"/>
  <c r="D20" i="10"/>
  <c r="F20" s="1"/>
  <c r="H20" s="1"/>
  <c r="E32"/>
  <c r="E36" s="1"/>
  <c r="E56" s="1"/>
  <c r="F72"/>
  <c r="H72" s="1"/>
  <c r="F85"/>
  <c r="H85" s="1"/>
  <c r="D113"/>
  <c r="F113" s="1"/>
  <c r="H113" s="1"/>
  <c r="H130"/>
  <c r="F138"/>
  <c r="H138" s="1"/>
  <c r="H105"/>
  <c r="F12"/>
  <c r="H12" s="1"/>
  <c r="C36"/>
  <c r="C56" s="1"/>
  <c r="D32"/>
  <c r="F58"/>
  <c r="H58" s="1"/>
  <c r="E77"/>
  <c r="C113"/>
  <c r="G113"/>
  <c r="D36"/>
  <c r="G62"/>
  <c r="D62"/>
  <c r="F61"/>
  <c r="H61" s="1"/>
  <c r="H139"/>
  <c r="H46"/>
  <c r="D106"/>
  <c r="F106" s="1"/>
  <c r="H106" s="1"/>
  <c r="F25"/>
  <c r="H25" s="1"/>
  <c r="F116"/>
  <c r="C20" i="11"/>
  <c r="C56" s="1"/>
  <c r="C63" s="1"/>
  <c r="H12"/>
  <c r="H22"/>
  <c r="C36"/>
  <c r="H26"/>
  <c r="D32"/>
  <c r="F32" s="1"/>
  <c r="F46"/>
  <c r="F58"/>
  <c r="H58" s="1"/>
  <c r="G106"/>
  <c r="F134"/>
  <c r="H134" s="1"/>
  <c r="F139"/>
  <c r="H139" s="1"/>
  <c r="F72"/>
  <c r="H72" s="1"/>
  <c r="H101"/>
  <c r="E20"/>
  <c r="F20" s="1"/>
  <c r="F13"/>
  <c r="H13" s="1"/>
  <c r="E36"/>
  <c r="F28"/>
  <c r="H28" s="1"/>
  <c r="F33"/>
  <c r="H33" s="1"/>
  <c r="F44"/>
  <c r="H44" s="1"/>
  <c r="F51"/>
  <c r="C77"/>
  <c r="G77"/>
  <c r="F85"/>
  <c r="H85" s="1"/>
  <c r="D113"/>
  <c r="F113" s="1"/>
  <c r="H113" s="1"/>
  <c r="H130"/>
  <c r="F138"/>
  <c r="H138" s="1"/>
  <c r="G62"/>
  <c r="D62"/>
  <c r="F61"/>
  <c r="H61" s="1"/>
  <c r="D106"/>
  <c r="F106" s="1"/>
  <c r="G20"/>
  <c r="G32"/>
  <c r="G46"/>
  <c r="F25"/>
  <c r="H25" s="1"/>
  <c r="F77"/>
  <c r="F116"/>
  <c r="G32" i="12"/>
  <c r="G36" s="1"/>
  <c r="F30"/>
  <c r="H30" s="1"/>
  <c r="G77"/>
  <c r="F76"/>
  <c r="H76" s="1"/>
  <c r="C106"/>
  <c r="C135" s="1"/>
  <c r="C140" s="1"/>
  <c r="G106"/>
  <c r="G135" s="1"/>
  <c r="G113"/>
  <c r="F109"/>
  <c r="H109" s="1"/>
  <c r="G20"/>
  <c r="E106"/>
  <c r="E135" s="1"/>
  <c r="E140" s="1"/>
  <c r="F88"/>
  <c r="H88" s="1"/>
  <c r="F105"/>
  <c r="H105" s="1"/>
  <c r="E32"/>
  <c r="E36" s="1"/>
  <c r="E56" s="1"/>
  <c r="F51"/>
  <c r="F85"/>
  <c r="H85" s="1"/>
  <c r="E113"/>
  <c r="H117"/>
  <c r="F20"/>
  <c r="D36"/>
  <c r="G62"/>
  <c r="F139"/>
  <c r="H139" s="1"/>
  <c r="D56"/>
  <c r="D62"/>
  <c r="F61"/>
  <c r="H61" s="1"/>
  <c r="F113"/>
  <c r="H113" s="1"/>
  <c r="C36"/>
  <c r="C56" s="1"/>
  <c r="H46"/>
  <c r="F12"/>
  <c r="H12" s="1"/>
  <c r="F26"/>
  <c r="H26" s="1"/>
  <c r="F28"/>
  <c r="H28" s="1"/>
  <c r="F44"/>
  <c r="H44" s="1"/>
  <c r="F58"/>
  <c r="H58" s="1"/>
  <c r="F72"/>
  <c r="H72" s="1"/>
  <c r="F107"/>
  <c r="H107" s="1"/>
  <c r="F119"/>
  <c r="H119" s="1"/>
  <c r="F51" i="13"/>
  <c r="G114"/>
  <c r="F110"/>
  <c r="H110" s="1"/>
  <c r="F135"/>
  <c r="H135" s="1"/>
  <c r="H13"/>
  <c r="C32"/>
  <c r="C36" s="1"/>
  <c r="C56" s="1"/>
  <c r="F79"/>
  <c r="H79" s="1"/>
  <c r="F86"/>
  <c r="H86" s="1"/>
  <c r="F89"/>
  <c r="H89" s="1"/>
  <c r="D114"/>
  <c r="F118"/>
  <c r="H118" s="1"/>
  <c r="F141"/>
  <c r="H141" s="1"/>
  <c r="F12"/>
  <c r="H12" s="1"/>
  <c r="G36"/>
  <c r="F28"/>
  <c r="H28" s="1"/>
  <c r="E32"/>
  <c r="F32" s="1"/>
  <c r="H32" s="1"/>
  <c r="G63"/>
  <c r="H120"/>
  <c r="H102"/>
  <c r="D20"/>
  <c r="F20" s="1"/>
  <c r="H22"/>
  <c r="D36"/>
  <c r="D63"/>
  <c r="F26"/>
  <c r="H26" s="1"/>
  <c r="H33"/>
  <c r="H131"/>
  <c r="E46"/>
  <c r="E63"/>
  <c r="G107"/>
  <c r="E114"/>
  <c r="F73"/>
  <c r="H73" s="1"/>
  <c r="D107"/>
  <c r="F107" s="1"/>
  <c r="G20"/>
  <c r="F25"/>
  <c r="H25" s="1"/>
  <c r="F78"/>
  <c r="H78" s="1"/>
  <c r="F117"/>
  <c r="H140"/>
  <c r="C20" i="14"/>
  <c r="D32"/>
  <c r="F32" s="1"/>
  <c r="F58"/>
  <c r="H58" s="1"/>
  <c r="E77"/>
  <c r="F76"/>
  <c r="H76" s="1"/>
  <c r="C106"/>
  <c r="H101"/>
  <c r="C113"/>
  <c r="G113"/>
  <c r="G135" s="1"/>
  <c r="H30"/>
  <c r="F28"/>
  <c r="H28" s="1"/>
  <c r="F12"/>
  <c r="H12" s="1"/>
  <c r="C32"/>
  <c r="G32"/>
  <c r="G36" s="1"/>
  <c r="F107"/>
  <c r="H107" s="1"/>
  <c r="H20"/>
  <c r="F46"/>
  <c r="H46" s="1"/>
  <c r="G62"/>
  <c r="H139"/>
  <c r="E36"/>
  <c r="E56" s="1"/>
  <c r="D62"/>
  <c r="F61"/>
  <c r="H61" s="1"/>
  <c r="D106"/>
  <c r="F106" s="1"/>
  <c r="H106" s="1"/>
  <c r="F25"/>
  <c r="H25" s="1"/>
  <c r="F116"/>
  <c r="F138"/>
  <c r="H138" s="1"/>
  <c r="E20" i="15"/>
  <c r="F20" s="1"/>
  <c r="F13"/>
  <c r="F28"/>
  <c r="H30"/>
  <c r="F33"/>
  <c r="F44"/>
  <c r="H44" s="1"/>
  <c r="F51"/>
  <c r="F55" s="1"/>
  <c r="F58"/>
  <c r="H58" s="1"/>
  <c r="C77"/>
  <c r="F85"/>
  <c r="E113"/>
  <c r="F117"/>
  <c r="F12"/>
  <c r="F76"/>
  <c r="E106"/>
  <c r="F107"/>
  <c r="C20"/>
  <c r="C56" s="1"/>
  <c r="C63" s="1"/>
  <c r="H22"/>
  <c r="C36"/>
  <c r="F32"/>
  <c r="F46"/>
  <c r="C113"/>
  <c r="F109"/>
  <c r="F119"/>
  <c r="F138"/>
  <c r="F113"/>
  <c r="E36"/>
  <c r="E56" s="1"/>
  <c r="D62"/>
  <c r="F61"/>
  <c r="D36"/>
  <c r="G77"/>
  <c r="D106"/>
  <c r="G20"/>
  <c r="G32"/>
  <c r="G46"/>
  <c r="F25"/>
  <c r="F116"/>
  <c r="D139" i="16"/>
  <c r="F139" s="1"/>
  <c r="H139" s="1"/>
  <c r="H130"/>
  <c r="H124"/>
  <c r="H116"/>
  <c r="F61"/>
  <c r="H61" s="1"/>
  <c r="F32"/>
  <c r="H32" s="1"/>
  <c r="H28"/>
  <c r="G20"/>
  <c r="H76"/>
  <c r="H109"/>
  <c r="G77"/>
  <c r="F72"/>
  <c r="H72" s="1"/>
  <c r="F58"/>
  <c r="H58" s="1"/>
  <c r="F48"/>
  <c r="H48" s="1"/>
  <c r="E36"/>
  <c r="F30"/>
  <c r="H30" s="1"/>
  <c r="H25"/>
  <c r="F22"/>
  <c r="H22" s="1"/>
  <c r="F46"/>
  <c r="H46" s="1"/>
  <c r="H119"/>
  <c r="E113"/>
  <c r="F113" s="1"/>
  <c r="H113" s="1"/>
  <c r="E106"/>
  <c r="F88"/>
  <c r="H88" s="1"/>
  <c r="H85"/>
  <c r="F78"/>
  <c r="H78" s="1"/>
  <c r="G62"/>
  <c r="F44"/>
  <c r="H44" s="1"/>
  <c r="F26"/>
  <c r="H26" s="1"/>
  <c r="D77"/>
  <c r="D62"/>
  <c r="G20" i="17"/>
  <c r="F25"/>
  <c r="H25" s="1"/>
  <c r="C106"/>
  <c r="C135" s="1"/>
  <c r="C140" s="1"/>
  <c r="F117"/>
  <c r="H117" s="1"/>
  <c r="F134"/>
  <c r="H13"/>
  <c r="H30"/>
  <c r="H78"/>
  <c r="D106"/>
  <c r="D135" s="1"/>
  <c r="H88"/>
  <c r="H98"/>
  <c r="H109"/>
  <c r="H134"/>
  <c r="E139"/>
  <c r="F139" s="1"/>
  <c r="H139" s="1"/>
  <c r="F12"/>
  <c r="H12" s="1"/>
  <c r="D77"/>
  <c r="F85"/>
  <c r="H85" s="1"/>
  <c r="H101"/>
  <c r="F105"/>
  <c r="H105" s="1"/>
  <c r="D113"/>
  <c r="F113" s="1"/>
  <c r="C36"/>
  <c r="C56" s="1"/>
  <c r="F28"/>
  <c r="H28" s="1"/>
  <c r="D32"/>
  <c r="F32" s="1"/>
  <c r="H33"/>
  <c r="F46"/>
  <c r="D62"/>
  <c r="F62" s="1"/>
  <c r="F61"/>
  <c r="D20"/>
  <c r="F20" s="1"/>
  <c r="F22"/>
  <c r="H22" s="1"/>
  <c r="F48"/>
  <c r="H48" s="1"/>
  <c r="G32"/>
  <c r="E36"/>
  <c r="G46"/>
  <c r="F51"/>
  <c r="H130"/>
  <c r="E77"/>
  <c r="F77" s="1"/>
  <c r="H77" s="1"/>
  <c r="H76"/>
  <c r="G106"/>
  <c r="F44"/>
  <c r="H44" s="1"/>
  <c r="F58"/>
  <c r="H58" s="1"/>
  <c r="F72"/>
  <c r="H72" s="1"/>
  <c r="F107"/>
  <c r="H107" s="1"/>
  <c r="H116"/>
  <c r="F119"/>
  <c r="F124" s="1"/>
  <c r="H138"/>
  <c r="E106"/>
  <c r="G113"/>
  <c r="C37" i="24"/>
  <c r="C56" i="18"/>
  <c r="C63" s="1"/>
  <c r="H78"/>
  <c r="E135"/>
  <c r="E140" s="1"/>
  <c r="H76"/>
  <c r="F113"/>
  <c r="H113" s="1"/>
  <c r="H109"/>
  <c r="F32"/>
  <c r="H32" s="1"/>
  <c r="H101"/>
  <c r="H119"/>
  <c r="F12"/>
  <c r="H12" s="1"/>
  <c r="H25"/>
  <c r="F116"/>
  <c r="D139"/>
  <c r="F139" s="1"/>
  <c r="H139" s="1"/>
  <c r="E36"/>
  <c r="F36" s="1"/>
  <c r="D77"/>
  <c r="G106"/>
  <c r="H106" s="1"/>
  <c r="F28"/>
  <c r="H28" s="1"/>
  <c r="D56"/>
  <c r="F88"/>
  <c r="H88" s="1"/>
  <c r="H138"/>
  <c r="E20" i="24"/>
  <c r="F26"/>
  <c r="H26" s="1"/>
  <c r="D37"/>
  <c r="F49"/>
  <c r="H49" s="1"/>
  <c r="F59"/>
  <c r="H59" s="1"/>
  <c r="C78"/>
  <c r="H79"/>
  <c r="F86"/>
  <c r="H86" s="1"/>
  <c r="H89"/>
  <c r="E107"/>
  <c r="C114"/>
  <c r="F120"/>
  <c r="H120" s="1"/>
  <c r="H131"/>
  <c r="D20"/>
  <c r="F30"/>
  <c r="F73"/>
  <c r="H73" s="1"/>
  <c r="H99"/>
  <c r="F106"/>
  <c r="H106" s="1"/>
  <c r="F108"/>
  <c r="H108" s="1"/>
  <c r="F110"/>
  <c r="H110" s="1"/>
  <c r="H28"/>
  <c r="E37"/>
  <c r="H22"/>
  <c r="H34"/>
  <c r="D63"/>
  <c r="F62"/>
  <c r="H77"/>
  <c r="G114"/>
  <c r="F13"/>
  <c r="H13" s="1"/>
  <c r="F25"/>
  <c r="H25" s="1"/>
  <c r="F52"/>
  <c r="G78"/>
  <c r="C107"/>
  <c r="H102"/>
  <c r="H135"/>
  <c r="H12"/>
  <c r="H45"/>
  <c r="H139"/>
  <c r="E47"/>
  <c r="E48" i="26" s="1"/>
  <c r="E63" i="24"/>
  <c r="G107"/>
  <c r="E114"/>
  <c r="E136" s="1"/>
  <c r="E140"/>
  <c r="F140" s="1"/>
  <c r="H140" s="1"/>
  <c r="D107"/>
  <c r="F78"/>
  <c r="F117"/>
  <c r="G36" i="19"/>
  <c r="G57" s="1"/>
  <c r="E57"/>
  <c r="E138"/>
  <c r="C63" i="23" l="1"/>
  <c r="G33" i="26"/>
  <c r="G33" i="38" s="1"/>
  <c r="C63" i="22"/>
  <c r="F20"/>
  <c r="H20" s="1"/>
  <c r="C63" i="21"/>
  <c r="G135"/>
  <c r="C63" i="20"/>
  <c r="F62"/>
  <c r="C135" i="3"/>
  <c r="C140" s="1"/>
  <c r="F62" i="2"/>
  <c r="C63"/>
  <c r="F113"/>
  <c r="G146" i="26"/>
  <c r="G145" i="38" s="1"/>
  <c r="F62" i="6"/>
  <c r="C135"/>
  <c r="C140" s="1"/>
  <c r="C63"/>
  <c r="F62" i="9"/>
  <c r="F36"/>
  <c r="E63"/>
  <c r="C63"/>
  <c r="D130" i="26"/>
  <c r="D129" i="38" s="1"/>
  <c r="G11" i="29" s="1"/>
  <c r="I11" s="1"/>
  <c r="F32" i="10"/>
  <c r="H32" s="1"/>
  <c r="F62"/>
  <c r="C63"/>
  <c r="E63"/>
  <c r="G135"/>
  <c r="F62" i="11"/>
  <c r="E56"/>
  <c r="E63" s="1"/>
  <c r="E63" i="12"/>
  <c r="C63"/>
  <c r="F62"/>
  <c r="F114" i="13"/>
  <c r="H114" s="1"/>
  <c r="G136"/>
  <c r="C64"/>
  <c r="C33" i="26"/>
  <c r="C33" i="38" s="1"/>
  <c r="H113" i="14"/>
  <c r="H32"/>
  <c r="F124" i="15"/>
  <c r="E113" i="39"/>
  <c r="E135" i="16"/>
  <c r="E140" s="1"/>
  <c r="D56"/>
  <c r="C63"/>
  <c r="E63" i="27"/>
  <c r="G36"/>
  <c r="F62"/>
  <c r="D33" i="26"/>
  <c r="D33" i="38" s="1"/>
  <c r="D119" i="26"/>
  <c r="D118" i="38" s="1"/>
  <c r="G10" i="29" s="1"/>
  <c r="H36" i="18"/>
  <c r="D146" i="26"/>
  <c r="D145" i="38" s="1"/>
  <c r="E34"/>
  <c r="C119" i="26"/>
  <c r="C118" i="38" s="1"/>
  <c r="F25" i="39"/>
  <c r="H25" s="1"/>
  <c r="E146" i="26"/>
  <c r="E145" i="38" s="1"/>
  <c r="F63" i="24"/>
  <c r="C80" i="26"/>
  <c r="C80" i="38" s="1"/>
  <c r="F36" i="19"/>
  <c r="D57"/>
  <c r="D49" i="38"/>
  <c r="C9" i="30" s="1"/>
  <c r="C20" i="26"/>
  <c r="C20" i="38" s="1"/>
  <c r="D54" i="39"/>
  <c r="D61" s="1"/>
  <c r="E49" i="38"/>
  <c r="D9" i="30" s="1"/>
  <c r="D18" s="1"/>
  <c r="E54" i="39"/>
  <c r="H36" i="19"/>
  <c r="F32"/>
  <c r="H32" s="1"/>
  <c r="E20" i="26"/>
  <c r="E20" i="38" s="1"/>
  <c r="F62" i="14"/>
  <c r="E63"/>
  <c r="G64" i="26"/>
  <c r="G63" i="38" s="1"/>
  <c r="E56" i="20"/>
  <c r="E63" s="1"/>
  <c r="G56" i="12"/>
  <c r="H51" i="8"/>
  <c r="F55"/>
  <c r="H55" s="1"/>
  <c r="H51" i="22"/>
  <c r="F55"/>
  <c r="H51" i="21"/>
  <c r="F55"/>
  <c r="H51" i="20"/>
  <c r="F55"/>
  <c r="H51" i="2"/>
  <c r="F55"/>
  <c r="H51" i="6"/>
  <c r="F55"/>
  <c r="H55" s="1"/>
  <c r="H51" i="7"/>
  <c r="F55"/>
  <c r="H51" i="9"/>
  <c r="F55"/>
  <c r="H51" i="11"/>
  <c r="F55"/>
  <c r="H51" i="12"/>
  <c r="F55"/>
  <c r="H55" s="1"/>
  <c r="F36" i="39"/>
  <c r="H36" s="1"/>
  <c r="G18" i="30"/>
  <c r="H51" i="17"/>
  <c r="F55"/>
  <c r="H55" s="1"/>
  <c r="H59" i="13"/>
  <c r="F62"/>
  <c r="H51"/>
  <c r="F53" i="26"/>
  <c r="F52" i="38" s="1"/>
  <c r="F55" i="13"/>
  <c r="E56" i="38"/>
  <c r="D12" i="29" s="1"/>
  <c r="F62" i="21"/>
  <c r="E56" i="2"/>
  <c r="E63" s="1"/>
  <c r="E63" i="4"/>
  <c r="F62"/>
  <c r="E56" i="5"/>
  <c r="E63" s="1"/>
  <c r="F62"/>
  <c r="E33" i="26"/>
  <c r="F32" i="39" s="1"/>
  <c r="H32" s="1"/>
  <c r="F20" i="5"/>
  <c r="F113"/>
  <c r="H113" s="1"/>
  <c r="E119" i="26"/>
  <c r="H51" i="5"/>
  <c r="F55"/>
  <c r="H55" s="1"/>
  <c r="F139"/>
  <c r="H139" s="1"/>
  <c r="F77" i="14"/>
  <c r="H77" s="1"/>
  <c r="E80" i="26"/>
  <c r="E80" i="38" s="1"/>
  <c r="H7" i="29" s="1"/>
  <c r="H51" i="16"/>
  <c r="F55"/>
  <c r="D20" i="29"/>
  <c r="D30" s="1"/>
  <c r="E21"/>
  <c r="E20" s="1"/>
  <c r="E30" s="1"/>
  <c r="E64" i="26"/>
  <c r="E63" i="38" s="1"/>
  <c r="E64" i="19"/>
  <c r="F64" s="1"/>
  <c r="H64" s="1"/>
  <c r="F109"/>
  <c r="H109" s="1"/>
  <c r="E30" i="38"/>
  <c r="F30" i="39"/>
  <c r="H30" s="1"/>
  <c r="H30" i="24"/>
  <c r="F33"/>
  <c r="G48" i="26"/>
  <c r="G47" i="38" s="1"/>
  <c r="H106" i="27"/>
  <c r="E8" i="29"/>
  <c r="D12" i="38"/>
  <c r="C7" i="29" s="1"/>
  <c r="E7" s="1"/>
  <c r="C57" i="24"/>
  <c r="C64" s="1"/>
  <c r="H52"/>
  <c r="F56"/>
  <c r="G119" i="26"/>
  <c r="G118" i="38" s="1"/>
  <c r="G80" i="26"/>
  <c r="G80" i="38" s="1"/>
  <c r="G20" i="26"/>
  <c r="G20" i="38" s="1"/>
  <c r="H105" i="26"/>
  <c r="H46" i="2"/>
  <c r="F104" i="26"/>
  <c r="F104" i="38" s="1"/>
  <c r="H104" s="1"/>
  <c r="H119" i="17"/>
  <c r="G56" i="38"/>
  <c r="I8" i="29"/>
  <c r="I9" i="30"/>
  <c r="F103" i="38"/>
  <c r="H103" s="1"/>
  <c r="H47" i="19"/>
  <c r="G65"/>
  <c r="G138"/>
  <c r="G144" s="1"/>
  <c r="H127"/>
  <c r="H97" i="39"/>
  <c r="H44"/>
  <c r="H87"/>
  <c r="G60"/>
  <c r="H129"/>
  <c r="H49"/>
  <c r="H137"/>
  <c r="H138" s="1"/>
  <c r="H56"/>
  <c r="H22"/>
  <c r="F46"/>
  <c r="E47" i="38"/>
  <c r="D11" i="29" s="1"/>
  <c r="H105" i="39"/>
  <c r="F138"/>
  <c r="H124"/>
  <c r="G129" i="38"/>
  <c r="F104" i="39"/>
  <c r="H13"/>
  <c r="H48"/>
  <c r="H71"/>
  <c r="H18" i="30"/>
  <c r="H32" s="1"/>
  <c r="I7"/>
  <c r="F53" i="39"/>
  <c r="H84"/>
  <c r="H12"/>
  <c r="H113"/>
  <c r="C139"/>
  <c r="G54"/>
  <c r="G134"/>
  <c r="H43" i="26"/>
  <c r="H43" i="38"/>
  <c r="H72" i="26"/>
  <c r="H72" i="38"/>
  <c r="H77" i="26"/>
  <c r="H77" i="38"/>
  <c r="H83" i="26"/>
  <c r="H83" i="38"/>
  <c r="H86" i="26"/>
  <c r="H86" i="38"/>
  <c r="H10" i="26"/>
  <c r="H10" i="38"/>
  <c r="H18" i="26"/>
  <c r="H18" i="38"/>
  <c r="H24" i="26"/>
  <c r="H24" i="38"/>
  <c r="H92" i="26"/>
  <c r="H92" i="38"/>
  <c r="H96" i="26"/>
  <c r="H96" i="38"/>
  <c r="H120" i="26"/>
  <c r="H119" i="38"/>
  <c r="H143" i="26"/>
  <c r="H142" i="38"/>
  <c r="H31" i="26"/>
  <c r="H31" i="38"/>
  <c r="H45" i="26"/>
  <c r="H44" i="38"/>
  <c r="H138" i="26"/>
  <c r="H137" i="38"/>
  <c r="H36" i="26"/>
  <c r="H36" i="38"/>
  <c r="H100" i="26"/>
  <c r="H100" i="38"/>
  <c r="H117" i="26"/>
  <c r="H116" i="38"/>
  <c r="H124" i="26"/>
  <c r="H123" i="38"/>
  <c r="H135" i="26"/>
  <c r="H134" i="38"/>
  <c r="H144" i="26"/>
  <c r="H143" i="38"/>
  <c r="F59" i="39"/>
  <c r="E60"/>
  <c r="E61" s="1"/>
  <c r="H9" i="26"/>
  <c r="H9" i="38"/>
  <c r="H69" i="26"/>
  <c r="H68" i="38"/>
  <c r="H74" i="26"/>
  <c r="H74" i="38"/>
  <c r="H78" i="26"/>
  <c r="H78" i="38"/>
  <c r="H85" i="26"/>
  <c r="H85" i="38"/>
  <c r="H90" i="26"/>
  <c r="H90" i="38"/>
  <c r="H38" i="26"/>
  <c r="H38" i="38"/>
  <c r="H7" i="26"/>
  <c r="H7" i="38"/>
  <c r="H14" i="26"/>
  <c r="H14" i="38"/>
  <c r="H93" i="26"/>
  <c r="H93" i="38"/>
  <c r="H126" i="26"/>
  <c r="H125" i="38"/>
  <c r="H137" i="26"/>
  <c r="H136" i="38"/>
  <c r="H47" i="26"/>
  <c r="H46" i="38"/>
  <c r="H97" i="26"/>
  <c r="H97" i="38"/>
  <c r="H132" i="26"/>
  <c r="H131" i="38"/>
  <c r="H8" i="26"/>
  <c r="H8" i="38"/>
  <c r="H19" i="26"/>
  <c r="H19" i="38"/>
  <c r="H62" i="26"/>
  <c r="H61" i="38"/>
  <c r="H16" i="26"/>
  <c r="H16" i="38"/>
  <c r="H29" i="26"/>
  <c r="H29" i="38"/>
  <c r="H17" i="26"/>
  <c r="H17" i="38"/>
  <c r="H27" i="26"/>
  <c r="H27" i="38"/>
  <c r="H42" i="26"/>
  <c r="H42" i="38"/>
  <c r="H6" i="26"/>
  <c r="H6" i="38"/>
  <c r="H41" i="26"/>
  <c r="H41" i="38"/>
  <c r="H71" i="26"/>
  <c r="H71" i="38"/>
  <c r="H76" i="26"/>
  <c r="H76" i="38"/>
  <c r="H87" i="26"/>
  <c r="H87" i="38"/>
  <c r="H49" i="26"/>
  <c r="H48" i="38"/>
  <c r="H95" i="26"/>
  <c r="H95" i="38"/>
  <c r="H99" i="26"/>
  <c r="H99" i="38"/>
  <c r="H116" i="26"/>
  <c r="H115" i="38"/>
  <c r="H134" i="26"/>
  <c r="H133" i="38"/>
  <c r="H35" i="26"/>
  <c r="H35" i="38"/>
  <c r="H127" i="26"/>
  <c r="H126" i="38"/>
  <c r="H118" i="26"/>
  <c r="H117" i="38"/>
  <c r="H56" i="26"/>
  <c r="H55" i="38"/>
  <c r="H105"/>
  <c r="H121" i="26"/>
  <c r="H120" i="38"/>
  <c r="H128" i="26"/>
  <c r="H127" i="38"/>
  <c r="H139" i="26"/>
  <c r="H138" i="38"/>
  <c r="F76" i="39"/>
  <c r="E134"/>
  <c r="H40" i="26"/>
  <c r="H40" i="38"/>
  <c r="H82" i="26"/>
  <c r="H82" i="38"/>
  <c r="H89" i="26"/>
  <c r="H89" i="38"/>
  <c r="H11" i="26"/>
  <c r="H11" i="38"/>
  <c r="H39" i="26"/>
  <c r="H39" i="38"/>
  <c r="H54" i="26"/>
  <c r="H53" i="38"/>
  <c r="H98" i="26"/>
  <c r="H98" i="38"/>
  <c r="H133" i="26"/>
  <c r="H132" i="38"/>
  <c r="H84" i="26"/>
  <c r="H84" i="38"/>
  <c r="H112" i="26"/>
  <c r="H111" i="38"/>
  <c r="H15" i="26"/>
  <c r="H15" i="38"/>
  <c r="H55" i="26"/>
  <c r="H54" i="38"/>
  <c r="H73" i="26"/>
  <c r="H73" i="38"/>
  <c r="H23" i="26"/>
  <c r="H23" i="38"/>
  <c r="H21" i="26"/>
  <c r="H21" i="38"/>
  <c r="H60" i="26"/>
  <c r="H59" i="38"/>
  <c r="H108" i="26"/>
  <c r="H107" i="38"/>
  <c r="F20" i="39"/>
  <c r="H62" i="4"/>
  <c r="D57" i="26"/>
  <c r="D56" i="38" s="1"/>
  <c r="C12" i="29" s="1"/>
  <c r="D80" i="26"/>
  <c r="D80" i="38" s="1"/>
  <c r="G7" i="29" s="1"/>
  <c r="D20" i="26"/>
  <c r="D20" i="38" s="1"/>
  <c r="C63" i="5"/>
  <c r="C135" i="9"/>
  <c r="C140" s="1"/>
  <c r="E110" i="26"/>
  <c r="E109" i="38" s="1"/>
  <c r="H9" i="29" s="1"/>
  <c r="C110" i="26"/>
  <c r="C109" i="38" s="1"/>
  <c r="G110" i="26"/>
  <c r="G109" i="38" s="1"/>
  <c r="E144" i="19"/>
  <c r="C144"/>
  <c r="F140" i="26"/>
  <c r="F139" i="38" s="1"/>
  <c r="F34" i="26"/>
  <c r="F34" i="38" s="1"/>
  <c r="H32" i="7"/>
  <c r="F79" i="26"/>
  <c r="F79" i="38" s="1"/>
  <c r="H20" i="15"/>
  <c r="F101" i="26"/>
  <c r="F101" i="38" s="1"/>
  <c r="F81" i="26"/>
  <c r="F81" i="38" s="1"/>
  <c r="F122" i="26"/>
  <c r="F22"/>
  <c r="F22" i="38" s="1"/>
  <c r="F50" i="26"/>
  <c r="F49" i="38" s="1"/>
  <c r="F123" i="26"/>
  <c r="F122" i="38" s="1"/>
  <c r="F146" i="26"/>
  <c r="F91"/>
  <c r="F91" i="38" s="1"/>
  <c r="F28" i="26"/>
  <c r="F28" i="38" s="1"/>
  <c r="F12" i="26"/>
  <c r="F12" i="38" s="1"/>
  <c r="F125" i="26"/>
  <c r="F124" i="38" s="1"/>
  <c r="F26" i="26"/>
  <c r="F26" i="38" s="1"/>
  <c r="F111" i="26"/>
  <c r="F110" i="38" s="1"/>
  <c r="F13" i="26"/>
  <c r="F13" i="38" s="1"/>
  <c r="F136" i="26"/>
  <c r="F135" i="38" s="1"/>
  <c r="F30" i="26"/>
  <c r="F109"/>
  <c r="F108" i="38" s="1"/>
  <c r="F115" i="26"/>
  <c r="F114" i="38" s="1"/>
  <c r="H45" i="19"/>
  <c r="F46" i="26"/>
  <c r="F45" i="38" s="1"/>
  <c r="H142" i="19"/>
  <c r="F145" i="26"/>
  <c r="F144" i="38" s="1"/>
  <c r="H52" i="19"/>
  <c r="H25"/>
  <c r="F25" i="26"/>
  <c r="F25" i="38" s="1"/>
  <c r="H60" i="19"/>
  <c r="F61" i="26"/>
  <c r="F60" i="38" s="1"/>
  <c r="H63" i="19"/>
  <c r="H116"/>
  <c r="H88" i="5"/>
  <c r="F106"/>
  <c r="D110" i="26"/>
  <c r="D109" i="38" s="1"/>
  <c r="G9" i="29" s="1"/>
  <c r="H85" i="5"/>
  <c r="F88" i="26"/>
  <c r="F88" i="38" s="1"/>
  <c r="F77" i="5"/>
  <c r="H72"/>
  <c r="F75" i="26"/>
  <c r="F75" i="38" s="1"/>
  <c r="H46" i="5"/>
  <c r="H56" i="28"/>
  <c r="G63"/>
  <c r="H63" s="1"/>
  <c r="F106" i="8"/>
  <c r="H106" s="1"/>
  <c r="H20" i="12"/>
  <c r="H20" i="16"/>
  <c r="G135" i="11"/>
  <c r="G140" s="1"/>
  <c r="E135"/>
  <c r="E140" s="1"/>
  <c r="F106" i="16"/>
  <c r="H106" s="1"/>
  <c r="D135" i="27"/>
  <c r="G135" i="18"/>
  <c r="G140" s="1"/>
  <c r="F107" i="24"/>
  <c r="H107" s="1"/>
  <c r="H116" i="23"/>
  <c r="F124"/>
  <c r="H124" s="1"/>
  <c r="H116" i="22"/>
  <c r="F124"/>
  <c r="H124" s="1"/>
  <c r="H116" i="21"/>
  <c r="F124"/>
  <c r="H124" s="1"/>
  <c r="H116" i="20"/>
  <c r="F124"/>
  <c r="H124" s="1"/>
  <c r="H116" i="2"/>
  <c r="F124"/>
  <c r="H124" s="1"/>
  <c r="H116" i="4"/>
  <c r="F124"/>
  <c r="H124" s="1"/>
  <c r="H116" i="5"/>
  <c r="F124"/>
  <c r="H124" s="1"/>
  <c r="H116" i="6"/>
  <c r="F124"/>
  <c r="H124" s="1"/>
  <c r="H116" i="7"/>
  <c r="F124"/>
  <c r="H124" s="1"/>
  <c r="H116" i="8"/>
  <c r="F124"/>
  <c r="H116" i="9"/>
  <c r="F124"/>
  <c r="H124" s="1"/>
  <c r="H116" i="10"/>
  <c r="F124"/>
  <c r="H124" s="1"/>
  <c r="H116" i="11"/>
  <c r="F124"/>
  <c r="H124" s="1"/>
  <c r="F124" i="12"/>
  <c r="H124" s="1"/>
  <c r="H117" i="13"/>
  <c r="F125"/>
  <c r="H125" s="1"/>
  <c r="H116" i="14"/>
  <c r="F124"/>
  <c r="H124" s="1"/>
  <c r="H116" i="27"/>
  <c r="F124"/>
  <c r="H124" s="1"/>
  <c r="H20"/>
  <c r="H116" i="18"/>
  <c r="F124"/>
  <c r="H124" s="1"/>
  <c r="H117" i="24"/>
  <c r="F125"/>
  <c r="H125" s="1"/>
  <c r="F106" i="17"/>
  <c r="H106" s="1"/>
  <c r="H33" i="24"/>
  <c r="H46" i="6"/>
  <c r="H20" i="7"/>
  <c r="H62" i="10"/>
  <c r="H32" i="15"/>
  <c r="H113" i="17"/>
  <c r="D138" i="19"/>
  <c r="D65"/>
  <c r="F57"/>
  <c r="H57" s="1"/>
  <c r="F32" i="23"/>
  <c r="H32" s="1"/>
  <c r="C135"/>
  <c r="C140" s="1"/>
  <c r="E56" i="22"/>
  <c r="E63" s="1"/>
  <c r="F113" i="21"/>
  <c r="H113" s="1"/>
  <c r="D135"/>
  <c r="D140" s="1"/>
  <c r="F140" s="1"/>
  <c r="E36"/>
  <c r="E56" s="1"/>
  <c r="E63" s="1"/>
  <c r="H106" i="20"/>
  <c r="H46"/>
  <c r="H113"/>
  <c r="H113" i="2"/>
  <c r="H113" i="4"/>
  <c r="F36" i="5"/>
  <c r="H36" s="1"/>
  <c r="E135"/>
  <c r="E140" s="1"/>
  <c r="H32"/>
  <c r="D135" i="6"/>
  <c r="D140" s="1"/>
  <c r="H113" i="7"/>
  <c r="C135"/>
  <c r="C140" s="1"/>
  <c r="F106"/>
  <c r="H106" s="1"/>
  <c r="H46" i="8"/>
  <c r="H20"/>
  <c r="H113" i="9"/>
  <c r="H106"/>
  <c r="F32"/>
  <c r="H32" s="1"/>
  <c r="E135" i="10"/>
  <c r="E140" s="1"/>
  <c r="C135"/>
  <c r="C140" s="1"/>
  <c r="H77" i="11"/>
  <c r="H106"/>
  <c r="D36"/>
  <c r="F36" s="1"/>
  <c r="H77" i="12"/>
  <c r="E36" i="13"/>
  <c r="E37" i="26" s="1"/>
  <c r="E37" i="38" s="1"/>
  <c r="D10" i="29" s="1"/>
  <c r="C136" i="13"/>
  <c r="C142" s="1"/>
  <c r="C135" i="14"/>
  <c r="C140" s="1"/>
  <c r="C36"/>
  <c r="C56" s="1"/>
  <c r="C63" s="1"/>
  <c r="D36"/>
  <c r="F36" s="1"/>
  <c r="H36" s="1"/>
  <c r="E63" i="15"/>
  <c r="H116"/>
  <c r="F36"/>
  <c r="H139"/>
  <c r="H109"/>
  <c r="G36"/>
  <c r="E135"/>
  <c r="H113"/>
  <c r="H76"/>
  <c r="H12"/>
  <c r="H33"/>
  <c r="H134"/>
  <c r="H25"/>
  <c r="F62"/>
  <c r="H138"/>
  <c r="H98"/>
  <c r="H105"/>
  <c r="H119"/>
  <c r="H101"/>
  <c r="H107"/>
  <c r="H117"/>
  <c r="H85"/>
  <c r="H51"/>
  <c r="H28"/>
  <c r="H130"/>
  <c r="H46"/>
  <c r="H13"/>
  <c r="C140" i="27"/>
  <c r="C135" i="20"/>
  <c r="C140" s="1"/>
  <c r="C135" i="2"/>
  <c r="C140" s="1"/>
  <c r="C135" i="5"/>
  <c r="C140" s="1"/>
  <c r="C135" i="8"/>
  <c r="C140" s="1"/>
  <c r="C64" i="19"/>
  <c r="C65" i="26" s="1"/>
  <c r="C64" i="38" s="1"/>
  <c r="C63" i="17"/>
  <c r="H36" i="27"/>
  <c r="D56"/>
  <c r="H55"/>
  <c r="G140"/>
  <c r="G56"/>
  <c r="H61"/>
  <c r="G62"/>
  <c r="H62" s="1"/>
  <c r="D140"/>
  <c r="F140" s="1"/>
  <c r="F135"/>
  <c r="H135" s="1"/>
  <c r="H20" i="23"/>
  <c r="F106"/>
  <c r="H106" s="1"/>
  <c r="G36"/>
  <c r="G56" s="1"/>
  <c r="H61"/>
  <c r="G62"/>
  <c r="H62" s="1"/>
  <c r="D135"/>
  <c r="D56"/>
  <c r="H55"/>
  <c r="F36"/>
  <c r="G135"/>
  <c r="H77"/>
  <c r="D36" i="22"/>
  <c r="F36" s="1"/>
  <c r="H36" s="1"/>
  <c r="G63"/>
  <c r="D135"/>
  <c r="G140"/>
  <c r="D56"/>
  <c r="H55"/>
  <c r="H62"/>
  <c r="H20" i="21"/>
  <c r="H106"/>
  <c r="H32"/>
  <c r="H61"/>
  <c r="G62"/>
  <c r="F36"/>
  <c r="H36" s="1"/>
  <c r="G140"/>
  <c r="G56"/>
  <c r="D56"/>
  <c r="H55"/>
  <c r="H20" i="20"/>
  <c r="E135"/>
  <c r="E140" s="1"/>
  <c r="H32"/>
  <c r="G36"/>
  <c r="D56"/>
  <c r="H55"/>
  <c r="G135"/>
  <c r="H77"/>
  <c r="D135"/>
  <c r="H61"/>
  <c r="G62"/>
  <c r="H62" s="1"/>
  <c r="G56"/>
  <c r="F36"/>
  <c r="H32" i="3"/>
  <c r="G36"/>
  <c r="H36" s="1"/>
  <c r="H61"/>
  <c r="G62"/>
  <c r="H62" s="1"/>
  <c r="F77"/>
  <c r="H77" s="1"/>
  <c r="D135"/>
  <c r="F46"/>
  <c r="H46" s="1"/>
  <c r="D56"/>
  <c r="H55"/>
  <c r="G56"/>
  <c r="H124"/>
  <c r="G135"/>
  <c r="F106" i="2"/>
  <c r="H106" s="1"/>
  <c r="G135"/>
  <c r="G140" s="1"/>
  <c r="F32"/>
  <c r="H32" s="1"/>
  <c r="H62"/>
  <c r="F36"/>
  <c r="H36" s="1"/>
  <c r="H20"/>
  <c r="D135"/>
  <c r="G56"/>
  <c r="D56"/>
  <c r="H55"/>
  <c r="F36" i="4"/>
  <c r="H36" s="1"/>
  <c r="F32"/>
  <c r="H32" s="1"/>
  <c r="D135"/>
  <c r="G63"/>
  <c r="G140"/>
  <c r="D56"/>
  <c r="H55"/>
  <c r="H20" i="5"/>
  <c r="H61"/>
  <c r="G62"/>
  <c r="D135"/>
  <c r="G56"/>
  <c r="D56"/>
  <c r="G135"/>
  <c r="H113" i="6"/>
  <c r="F106"/>
  <c r="H139"/>
  <c r="H61"/>
  <c r="G62"/>
  <c r="H62" s="1"/>
  <c r="H106"/>
  <c r="E56"/>
  <c r="E63" s="1"/>
  <c r="D36"/>
  <c r="G135"/>
  <c r="H32"/>
  <c r="E135"/>
  <c r="E140" s="1"/>
  <c r="G36"/>
  <c r="G36" i="7"/>
  <c r="F36"/>
  <c r="D56"/>
  <c r="H55"/>
  <c r="H61"/>
  <c r="G62"/>
  <c r="H62" s="1"/>
  <c r="D135"/>
  <c r="G140"/>
  <c r="G56"/>
  <c r="H139" i="8"/>
  <c r="G135"/>
  <c r="G140" s="1"/>
  <c r="H61"/>
  <c r="G62"/>
  <c r="H62" s="1"/>
  <c r="D140"/>
  <c r="H113"/>
  <c r="G56"/>
  <c r="F32"/>
  <c r="H32" s="1"/>
  <c r="D36"/>
  <c r="E135"/>
  <c r="E140" s="1"/>
  <c r="E135" i="9"/>
  <c r="E140" s="1"/>
  <c r="H36"/>
  <c r="D135"/>
  <c r="D140" s="1"/>
  <c r="D56"/>
  <c r="H55"/>
  <c r="G135"/>
  <c r="H77"/>
  <c r="H61"/>
  <c r="G62"/>
  <c r="H62" s="1"/>
  <c r="H46"/>
  <c r="G56"/>
  <c r="F77" i="10"/>
  <c r="H77" s="1"/>
  <c r="F36"/>
  <c r="H36" s="1"/>
  <c r="D56"/>
  <c r="H55"/>
  <c r="G140"/>
  <c r="G63"/>
  <c r="D135"/>
  <c r="H20" i="11"/>
  <c r="C135"/>
  <c r="C140" s="1"/>
  <c r="H46"/>
  <c r="H32"/>
  <c r="H62"/>
  <c r="D135"/>
  <c r="G36"/>
  <c r="D56"/>
  <c r="H55"/>
  <c r="F32" i="12"/>
  <c r="H32" s="1"/>
  <c r="F106"/>
  <c r="H106" s="1"/>
  <c r="F36"/>
  <c r="H36" s="1"/>
  <c r="D63"/>
  <c r="F63" s="1"/>
  <c r="F56"/>
  <c r="H56" s="1"/>
  <c r="G140"/>
  <c r="G63"/>
  <c r="H62"/>
  <c r="D140"/>
  <c r="F140" s="1"/>
  <c r="F135"/>
  <c r="H135" s="1"/>
  <c r="E136" i="13"/>
  <c r="E142" s="1"/>
  <c r="E56"/>
  <c r="E64" s="1"/>
  <c r="F36"/>
  <c r="H36" s="1"/>
  <c r="H62"/>
  <c r="G56"/>
  <c r="H20"/>
  <c r="D136"/>
  <c r="F46"/>
  <c r="H46" s="1"/>
  <c r="G142"/>
  <c r="H107"/>
  <c r="D56"/>
  <c r="H55"/>
  <c r="F63"/>
  <c r="H63" s="1"/>
  <c r="G56" i="14"/>
  <c r="G63" s="1"/>
  <c r="E135"/>
  <c r="E140" s="1"/>
  <c r="D135"/>
  <c r="D140" s="1"/>
  <c r="D56"/>
  <c r="H55"/>
  <c r="G140"/>
  <c r="H62"/>
  <c r="F106" i="15"/>
  <c r="D56"/>
  <c r="G135"/>
  <c r="H77"/>
  <c r="G56"/>
  <c r="H61"/>
  <c r="G62"/>
  <c r="D135"/>
  <c r="F77" i="16"/>
  <c r="H77" s="1"/>
  <c r="D135"/>
  <c r="G135"/>
  <c r="H55"/>
  <c r="E56"/>
  <c r="F62"/>
  <c r="H62" s="1"/>
  <c r="D63"/>
  <c r="G56"/>
  <c r="H20" i="17"/>
  <c r="H124"/>
  <c r="H46"/>
  <c r="E56"/>
  <c r="E63" s="1"/>
  <c r="D140"/>
  <c r="H61"/>
  <c r="G62"/>
  <c r="H62" s="1"/>
  <c r="E135"/>
  <c r="E140" s="1"/>
  <c r="G135"/>
  <c r="D36"/>
  <c r="D37" i="26" s="1"/>
  <c r="D37" i="38" s="1"/>
  <c r="C10" i="29" s="1"/>
  <c r="G36" i="17"/>
  <c r="G56" s="1"/>
  <c r="H32"/>
  <c r="C136" i="24"/>
  <c r="C141" s="1"/>
  <c r="F77" i="18"/>
  <c r="H77" s="1"/>
  <c r="D135"/>
  <c r="E56"/>
  <c r="E63" s="1"/>
  <c r="F61"/>
  <c r="H61" s="1"/>
  <c r="D62"/>
  <c r="F62" s="1"/>
  <c r="H62" s="1"/>
  <c r="G56"/>
  <c r="H55"/>
  <c r="E141" i="24"/>
  <c r="F20"/>
  <c r="H20" s="1"/>
  <c r="E57"/>
  <c r="E64" s="1"/>
  <c r="H62"/>
  <c r="G63"/>
  <c r="G37"/>
  <c r="D136"/>
  <c r="F114"/>
  <c r="H114" s="1"/>
  <c r="D57"/>
  <c r="G136"/>
  <c r="H78"/>
  <c r="F47"/>
  <c r="H47" s="1"/>
  <c r="F37"/>
  <c r="E118" i="38" l="1"/>
  <c r="H10" i="29" s="1"/>
  <c r="I10" s="1"/>
  <c r="E10"/>
  <c r="C18" i="30"/>
  <c r="C32" s="1"/>
  <c r="E9"/>
  <c r="E18" s="1"/>
  <c r="E32" s="1"/>
  <c r="G61" i="39"/>
  <c r="F54"/>
  <c r="F135" i="21"/>
  <c r="H135" s="1"/>
  <c r="H124" i="8"/>
  <c r="H131" i="26"/>
  <c r="H62" i="5"/>
  <c r="G32" i="30"/>
  <c r="F30" i="38"/>
  <c r="H30" s="1"/>
  <c r="F56" i="18"/>
  <c r="E65" i="26"/>
  <c r="E64" i="38" s="1"/>
  <c r="H62" i="21"/>
  <c r="E65" i="19"/>
  <c r="F65" s="1"/>
  <c r="H65" s="1"/>
  <c r="E33" i="38"/>
  <c r="G57" i="24"/>
  <c r="G37" i="26"/>
  <c r="G37" i="38" s="1"/>
  <c r="E58" i="26"/>
  <c r="E57" i="38" s="1"/>
  <c r="H104" i="26"/>
  <c r="I18" i="30"/>
  <c r="I32" s="1"/>
  <c r="I9" i="29"/>
  <c r="F121" i="38"/>
  <c r="H121" s="1"/>
  <c r="F145"/>
  <c r="H145" s="1"/>
  <c r="G19" i="29"/>
  <c r="G31" s="1"/>
  <c r="I7"/>
  <c r="H104" i="39"/>
  <c r="F60"/>
  <c r="H46"/>
  <c r="E12" i="29"/>
  <c r="C19"/>
  <c r="H20" i="39"/>
  <c r="H76"/>
  <c r="H59"/>
  <c r="H53"/>
  <c r="D33" i="30"/>
  <c r="H33"/>
  <c r="D32"/>
  <c r="E11" i="29"/>
  <c r="D19"/>
  <c r="G139" i="39"/>
  <c r="H25" i="26"/>
  <c r="H25" i="38"/>
  <c r="H115" i="26"/>
  <c r="H114" i="38"/>
  <c r="H125" i="26"/>
  <c r="H124" i="38"/>
  <c r="H109" i="26"/>
  <c r="H108" i="38"/>
  <c r="H13" i="26"/>
  <c r="H13" i="38"/>
  <c r="H12" i="26"/>
  <c r="H12" i="38"/>
  <c r="H123" i="26"/>
  <c r="H122" i="38"/>
  <c r="H81" i="26"/>
  <c r="H81" i="38"/>
  <c r="H61" i="26"/>
  <c r="H60" i="38"/>
  <c r="H53" i="26"/>
  <c r="H52" i="38"/>
  <c r="H46" i="26"/>
  <c r="H45" i="38"/>
  <c r="H111" i="26"/>
  <c r="H110" i="38"/>
  <c r="H28" i="26"/>
  <c r="H28" i="38"/>
  <c r="H50" i="26"/>
  <c r="H49" i="38"/>
  <c r="H101" i="26"/>
  <c r="H101" i="38"/>
  <c r="H34" i="26"/>
  <c r="H34" i="38"/>
  <c r="H88" i="26"/>
  <c r="H88" i="38"/>
  <c r="H30" i="26"/>
  <c r="H26"/>
  <c r="H26" i="38"/>
  <c r="H91" i="26"/>
  <c r="H91" i="38"/>
  <c r="H22" i="26"/>
  <c r="H22" i="38"/>
  <c r="H140" i="26"/>
  <c r="H139" i="38"/>
  <c r="H75" i="26"/>
  <c r="H75" i="38"/>
  <c r="H145" i="26"/>
  <c r="H144" i="38"/>
  <c r="H136" i="26"/>
  <c r="H135" i="38"/>
  <c r="H79" i="26"/>
  <c r="H79" i="38"/>
  <c r="E139" i="39"/>
  <c r="F134"/>
  <c r="D65" i="26"/>
  <c r="D64" i="38" s="1"/>
  <c r="H63" i="24"/>
  <c r="G65" i="26"/>
  <c r="G64" i="38" s="1"/>
  <c r="F140" i="9"/>
  <c r="G141" i="26"/>
  <c r="G140" i="38" s="1"/>
  <c r="E141" i="26"/>
  <c r="E140" i="38" s="1"/>
  <c r="D141" i="26"/>
  <c r="D140" i="38" s="1"/>
  <c r="C141" i="26"/>
  <c r="C140" i="38" s="1"/>
  <c r="C147" i="26"/>
  <c r="C146" i="38" s="1"/>
  <c r="F119" i="26"/>
  <c r="F118" i="38" s="1"/>
  <c r="H36" i="11"/>
  <c r="F33" i="26"/>
  <c r="F33" i="38" s="1"/>
  <c r="F64" i="26"/>
  <c r="F63" i="38" s="1"/>
  <c r="F80" i="26"/>
  <c r="F80" i="38" s="1"/>
  <c r="F65" i="26"/>
  <c r="F20"/>
  <c r="F20" i="38" s="1"/>
  <c r="H56" i="24"/>
  <c r="F57" i="26"/>
  <c r="F56" i="38" s="1"/>
  <c r="F130" i="26"/>
  <c r="F129" i="38" s="1"/>
  <c r="F48" i="26"/>
  <c r="F47" i="38" s="1"/>
  <c r="H106" i="5"/>
  <c r="F110" i="26"/>
  <c r="F109" i="38" s="1"/>
  <c r="H77" i="5"/>
  <c r="F140" i="6"/>
  <c r="F135" i="9"/>
  <c r="H135" s="1"/>
  <c r="H36" i="23"/>
  <c r="H122" i="26"/>
  <c r="H63" i="12"/>
  <c r="D144" i="19"/>
  <c r="F144" s="1"/>
  <c r="H144" s="1"/>
  <c r="F138"/>
  <c r="H138" s="1"/>
  <c r="H146" i="26"/>
  <c r="E140" i="15"/>
  <c r="E147" i="26" s="1"/>
  <c r="H36" i="15"/>
  <c r="H106"/>
  <c r="H62"/>
  <c r="H55"/>
  <c r="H124"/>
  <c r="G63" i="27"/>
  <c r="H140"/>
  <c r="D63"/>
  <c r="F63" s="1"/>
  <c r="F56"/>
  <c r="H56" s="1"/>
  <c r="D140" i="23"/>
  <c r="F140" s="1"/>
  <c r="F135"/>
  <c r="H135" s="1"/>
  <c r="D63"/>
  <c r="F63" s="1"/>
  <c r="F56"/>
  <c r="H56" s="1"/>
  <c r="G140"/>
  <c r="G63"/>
  <c r="D63" i="22"/>
  <c r="F63" s="1"/>
  <c r="H63" s="1"/>
  <c r="F56"/>
  <c r="H56" s="1"/>
  <c r="D140"/>
  <c r="F140" s="1"/>
  <c r="H140" s="1"/>
  <c r="F135"/>
  <c r="H135" s="1"/>
  <c r="G63" i="21"/>
  <c r="H140"/>
  <c r="D63"/>
  <c r="F63" s="1"/>
  <c r="F56"/>
  <c r="H56" s="1"/>
  <c r="D140" i="20"/>
  <c r="F140" s="1"/>
  <c r="F135"/>
  <c r="H135" s="1"/>
  <c r="D63"/>
  <c r="F63" s="1"/>
  <c r="F56"/>
  <c r="H56" s="1"/>
  <c r="G63"/>
  <c r="G140"/>
  <c r="H36"/>
  <c r="F56" i="3"/>
  <c r="H56" s="1"/>
  <c r="D63"/>
  <c r="F63" s="1"/>
  <c r="G63"/>
  <c r="F135"/>
  <c r="H135" s="1"/>
  <c r="D140"/>
  <c r="F140" s="1"/>
  <c r="G140"/>
  <c r="G63" i="2"/>
  <c r="D140"/>
  <c r="F140" s="1"/>
  <c r="H140" s="1"/>
  <c r="F135"/>
  <c r="H135" s="1"/>
  <c r="D63"/>
  <c r="F63" s="1"/>
  <c r="F56"/>
  <c r="H56" s="1"/>
  <c r="D140" i="4"/>
  <c r="F140" s="1"/>
  <c r="H140" s="1"/>
  <c r="F135"/>
  <c r="H135" s="1"/>
  <c r="D63"/>
  <c r="F63" s="1"/>
  <c r="H63" s="1"/>
  <c r="F56"/>
  <c r="H56" s="1"/>
  <c r="G63" i="5"/>
  <c r="G140"/>
  <c r="D140"/>
  <c r="F135"/>
  <c r="D63"/>
  <c r="F56"/>
  <c r="F135" i="6"/>
  <c r="H135" s="1"/>
  <c r="G140"/>
  <c r="F36"/>
  <c r="H36" s="1"/>
  <c r="D56"/>
  <c r="G56"/>
  <c r="H36" i="7"/>
  <c r="D140"/>
  <c r="F140" s="1"/>
  <c r="H140" s="1"/>
  <c r="F135"/>
  <c r="H135" s="1"/>
  <c r="D63"/>
  <c r="F63" s="1"/>
  <c r="F56"/>
  <c r="H56" s="1"/>
  <c r="G63"/>
  <c r="F36" i="8"/>
  <c r="H36" s="1"/>
  <c r="D56"/>
  <c r="F135"/>
  <c r="H135" s="1"/>
  <c r="F140"/>
  <c r="H140" s="1"/>
  <c r="G63"/>
  <c r="G140" i="9"/>
  <c r="G63"/>
  <c r="D63"/>
  <c r="F63" s="1"/>
  <c r="F56"/>
  <c r="H56" s="1"/>
  <c r="D140" i="10"/>
  <c r="F140" s="1"/>
  <c r="H140" s="1"/>
  <c r="F135"/>
  <c r="H135" s="1"/>
  <c r="D63"/>
  <c r="F63" s="1"/>
  <c r="H63" s="1"/>
  <c r="F56"/>
  <c r="H56" s="1"/>
  <c r="D140" i="11"/>
  <c r="F140" s="1"/>
  <c r="H140" s="1"/>
  <c r="F135"/>
  <c r="H135" s="1"/>
  <c r="G56"/>
  <c r="G58" i="26" s="1"/>
  <c r="G57" i="38" s="1"/>
  <c r="D63" i="11"/>
  <c r="F63" s="1"/>
  <c r="F56"/>
  <c r="H140" i="12"/>
  <c r="D142" i="13"/>
  <c r="F142" s="1"/>
  <c r="H142" s="1"/>
  <c r="F136"/>
  <c r="H136" s="1"/>
  <c r="G64"/>
  <c r="D64"/>
  <c r="F64" s="1"/>
  <c r="F56"/>
  <c r="H56" s="1"/>
  <c r="F140" i="14"/>
  <c r="H140" s="1"/>
  <c r="F135"/>
  <c r="H135" s="1"/>
  <c r="D63"/>
  <c r="F63" s="1"/>
  <c r="H63" s="1"/>
  <c r="F56"/>
  <c r="H56" s="1"/>
  <c r="G140" i="15"/>
  <c r="G63"/>
  <c r="D63"/>
  <c r="F56"/>
  <c r="D140"/>
  <c r="F135"/>
  <c r="H135" s="1"/>
  <c r="E63" i="16"/>
  <c r="F56"/>
  <c r="H56" s="1"/>
  <c r="F135"/>
  <c r="H135" s="1"/>
  <c r="D140"/>
  <c r="F140" s="1"/>
  <c r="G63"/>
  <c r="G140"/>
  <c r="G63" i="17"/>
  <c r="G140"/>
  <c r="F135"/>
  <c r="H135" s="1"/>
  <c r="F140"/>
  <c r="F36"/>
  <c r="H36" s="1"/>
  <c r="D56"/>
  <c r="D58" i="26" s="1"/>
  <c r="D57" i="38" s="1"/>
  <c r="H56" i="18"/>
  <c r="G63"/>
  <c r="D63"/>
  <c r="F63" s="1"/>
  <c r="D140"/>
  <c r="F140" s="1"/>
  <c r="H140" s="1"/>
  <c r="F135"/>
  <c r="H135" s="1"/>
  <c r="G64" i="24"/>
  <c r="G141"/>
  <c r="D141"/>
  <c r="F141" s="1"/>
  <c r="F136"/>
  <c r="H136" s="1"/>
  <c r="D64"/>
  <c r="F64" s="1"/>
  <c r="F57"/>
  <c r="H57" s="1"/>
  <c r="H37"/>
  <c r="F61" i="39" l="1"/>
  <c r="H19" i="29"/>
  <c r="H31" s="1"/>
  <c r="E146" i="38"/>
  <c r="G34" i="30"/>
  <c r="C33"/>
  <c r="G33"/>
  <c r="C34"/>
  <c r="I33"/>
  <c r="E66" i="26"/>
  <c r="E65" i="38" s="1"/>
  <c r="H140" i="9"/>
  <c r="E19" i="29"/>
  <c r="E31" s="1"/>
  <c r="E33" i="30"/>
  <c r="I19" i="29"/>
  <c r="I31" s="1"/>
  <c r="I34" i="30"/>
  <c r="E34"/>
  <c r="F139" i="39"/>
  <c r="H139" s="1"/>
  <c r="H34" i="30"/>
  <c r="D34"/>
  <c r="H134" i="39"/>
  <c r="H54"/>
  <c r="D31" i="29"/>
  <c r="G32"/>
  <c r="C31"/>
  <c r="C32"/>
  <c r="H60" i="39"/>
  <c r="F64" i="38"/>
  <c r="H64" s="1"/>
  <c r="H57" i="26"/>
  <c r="H56" i="38"/>
  <c r="H48" i="26"/>
  <c r="H47" i="38"/>
  <c r="H20" i="26"/>
  <c r="H20" i="38"/>
  <c r="H33" i="26"/>
  <c r="H33" i="38"/>
  <c r="H130" i="26"/>
  <c r="H129" i="38"/>
  <c r="H110" i="26"/>
  <c r="H109" i="38"/>
  <c r="H119" i="26"/>
  <c r="H118" i="38"/>
  <c r="H80" i="26"/>
  <c r="H80" i="38"/>
  <c r="H64" i="26"/>
  <c r="H63" i="38"/>
  <c r="F63" i="16"/>
  <c r="H63" s="1"/>
  <c r="G147" i="26"/>
  <c r="G146" i="38" s="1"/>
  <c r="H140" i="6"/>
  <c r="F37" i="26"/>
  <c r="F37" i="38" s="1"/>
  <c r="H135" i="5"/>
  <c r="F141" i="26"/>
  <c r="F140" i="38" s="1"/>
  <c r="F140" i="5"/>
  <c r="D147" i="26"/>
  <c r="D146" i="38" s="1"/>
  <c r="F63" i="5"/>
  <c r="H56"/>
  <c r="H63" i="2"/>
  <c r="H140" i="16"/>
  <c r="H63" i="18"/>
  <c r="H63" i="27"/>
  <c r="H140" i="3"/>
  <c r="H65" i="26"/>
  <c r="H64" i="13"/>
  <c r="F63" i="15"/>
  <c r="F140"/>
  <c r="H140" s="1"/>
  <c r="H56"/>
  <c r="H140" i="23"/>
  <c r="H63"/>
  <c r="H63" i="21"/>
  <c r="H63" i="20"/>
  <c r="H140"/>
  <c r="H63" i="3"/>
  <c r="G63" i="6"/>
  <c r="D63"/>
  <c r="F63" s="1"/>
  <c r="F56"/>
  <c r="H56" s="1"/>
  <c r="H63" i="7"/>
  <c r="D63" i="8"/>
  <c r="F63" s="1"/>
  <c r="H63" s="1"/>
  <c r="F56"/>
  <c r="H56" s="1"/>
  <c r="H63" i="9"/>
  <c r="H56" i="11"/>
  <c r="G63"/>
  <c r="H63" s="1"/>
  <c r="D63" i="17"/>
  <c r="F63" s="1"/>
  <c r="H63" s="1"/>
  <c r="F56"/>
  <c r="H56" s="1"/>
  <c r="H140"/>
  <c r="H64" i="24"/>
  <c r="H141"/>
  <c r="H32" i="29" l="1"/>
  <c r="D32"/>
  <c r="G66" i="26"/>
  <c r="G65" i="38" s="1"/>
  <c r="I32" i="29"/>
  <c r="E32"/>
  <c r="H61" i="39"/>
  <c r="H33" i="29"/>
  <c r="C33"/>
  <c r="G33"/>
  <c r="E33"/>
  <c r="I33"/>
  <c r="H141" i="26"/>
  <c r="H140" i="38"/>
  <c r="H37" i="26"/>
  <c r="H37" i="38"/>
  <c r="D66" i="26"/>
  <c r="D65" i="38" s="1"/>
  <c r="F147" i="26"/>
  <c r="F146" i="38" s="1"/>
  <c r="F66" i="26"/>
  <c r="F65" i="38" s="1"/>
  <c r="F58" i="26"/>
  <c r="F57" i="38" s="1"/>
  <c r="H140" i="5"/>
  <c r="H63"/>
  <c r="H63" i="15"/>
  <c r="H63" i="6"/>
  <c r="H65" i="38" l="1"/>
  <c r="H58" i="26"/>
  <c r="H57" i="38"/>
  <c r="H147" i="26"/>
  <c r="H146" i="38"/>
  <c r="H66" i="26"/>
  <c r="C36" i="19" l="1"/>
  <c r="C57" l="1"/>
  <c r="C37" i="26"/>
  <c r="C37" i="38" s="1"/>
  <c r="C58" i="26" l="1"/>
  <c r="C57" i="38" s="1"/>
  <c r="C65" i="19"/>
  <c r="C66" i="26" s="1"/>
  <c r="C65" i="38" s="1"/>
</calcChain>
</file>

<file path=xl/sharedStrings.xml><?xml version="1.0" encoding="utf-8"?>
<sst xmlns="http://schemas.openxmlformats.org/spreadsheetml/2006/main" count="9589" uniqueCount="482">
  <si>
    <t>#</t>
  </si>
  <si>
    <t>Megnevezés</t>
  </si>
  <si>
    <t>Összesen</t>
  </si>
  <si>
    <t>011130 Önkormányzatok és önkormányzati hivatalok jogalkotó és általános igazgatási tevékenysége</t>
  </si>
  <si>
    <t>011220 Adó-, vám- és jövedéki igazgatás</t>
  </si>
  <si>
    <t>013320 Köztemető-fenntartás és -működtetés</t>
  </si>
  <si>
    <t>013350 Az önkormányzati vagyonnal való gazdálkodással kapcsolatos feladatok</t>
  </si>
  <si>
    <t>016080 Kiemelt állami és önkormányzati rendezvények</t>
  </si>
  <si>
    <t>018010 Önkormányzatok elszámolásai a központi költségvetéssel</t>
  </si>
  <si>
    <t>018030 Támogatási célú finanszírozási műveletek</t>
  </si>
  <si>
    <t>031030 Közterület rendjének fenntartása</t>
  </si>
  <si>
    <t>041233 Hosszabb időtartamú közfoglalkoztatás</t>
  </si>
  <si>
    <t>045160 Közutak, hidak, alagutak üzemeltetése, fenntartása</t>
  </si>
  <si>
    <t>064010 Közvilágítás</t>
  </si>
  <si>
    <t>066010 Zöldterület-kezelés</t>
  </si>
  <si>
    <t>066020 Város-, községgazdálkodási egyéb szolgáltatások</t>
  </si>
  <si>
    <t>072111 Háziorvosi alapellátás</t>
  </si>
  <si>
    <t>074031 Család és nővédelmi egészségügyi gondozás</t>
  </si>
  <si>
    <t>081030 Sportlétesítmények, edzőtáborok működtetése és fejlesztése</t>
  </si>
  <si>
    <t>082044 Könyvtári szolgáltatások</t>
  </si>
  <si>
    <t>082092 Közművelődés - hagyományos közösségi kulturális értékek gondozása</t>
  </si>
  <si>
    <t>091140 Óvodai nevelés, ellátás működtetési feladatai</t>
  </si>
  <si>
    <t>091220 Köznevelési intézmény 1-4. évfolyamán tanulók nevelésével, oktatásával összefüggő működtetési feladatok</t>
  </si>
  <si>
    <t>092120 Köznevelési intézmény 5-8. évfolyamán tanulók nevelésével, oktatásával összefüggő működtetési feladatok</t>
  </si>
  <si>
    <t>096015 Gyermekétkeztetés köznevelési intézményben</t>
  </si>
  <si>
    <t>104042 Család és gyermekjóléti szolgáltatások</t>
  </si>
  <si>
    <t>104051 Gyermekvédelmi pénzbeli és természetbeni ellátások</t>
  </si>
  <si>
    <t>104052 Családtámogatások</t>
  </si>
  <si>
    <t>107060 Egyéb szociális pénzbeli és természetbeni ellátások, támogatások</t>
  </si>
  <si>
    <t>900010 Központi költségvetés funkcióra nem sorolható bevételei államháztartáson kívülről</t>
  </si>
  <si>
    <t>900020 Önkormányzatok funkcióra nem sorolható bevételei államháztartáson kívülről</t>
  </si>
  <si>
    <t>01</t>
  </si>
  <si>
    <t>Törvény szerinti illetmények, munkabérek (K1101)</t>
  </si>
  <si>
    <t>07</t>
  </si>
  <si>
    <t>Béren kívüli juttatások (K1107)</t>
  </si>
  <si>
    <t>09</t>
  </si>
  <si>
    <t>Közlekedési költségtérítés (K1109)</t>
  </si>
  <si>
    <t>10</t>
  </si>
  <si>
    <t>Egyéb költségtérítések (K1110)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</si>
  <si>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</si>
  <si>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</si>
  <si>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</si>
  <si>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</si>
  <si>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</si>
  <si>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</si>
  <si>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</si>
  <si>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</si>
  <si>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</si>
  <si>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</si>
  <si>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</si>
  <si>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</si>
  <si>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</si>
  <si>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</si>
  <si>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</si>
  <si>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</si>
  <si>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</si>
  <si>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</si>
  <si>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</si>
  <si>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</si>
  <si>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</si>
  <si>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</si>
  <si>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</si>
  <si>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</si>
  <si>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</si>
  <si>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</si>
  <si>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</si>
  <si>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</si>
  <si>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</si>
  <si>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</si>
  <si>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</si>
  <si>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</si>
  <si>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</si>
  <si>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</si>
  <si>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</si>
  <si>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</si>
  <si>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</si>
  <si>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</si>
  <si>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</si>
  <si>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</si>
  <si>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40</t>
  </si>
  <si>
    <t>Karbantartási, kisjavítási szolgáltatások (K334)</t>
  </si>
  <si>
    <t>41</t>
  </si>
  <si>
    <t>Közvetített szolgáltatások  (&gt;=42) (K335)</t>
  </si>
  <si>
    <t>42</t>
  </si>
  <si>
    <t>ebből: államháztartáson belül (K335)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</si>
  <si>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</si>
  <si>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</si>
  <si>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</si>
  <si>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</si>
  <si>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</si>
  <si>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</si>
  <si>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</si>
  <si>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</si>
  <si>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</si>
  <si>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</si>
  <si>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</si>
  <si>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</si>
  <si>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</si>
  <si>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</si>
  <si>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</si>
  <si>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</si>
  <si>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</si>
  <si>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</si>
  <si>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</si>
  <si>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</si>
  <si>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</si>
  <si>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</si>
  <si>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</si>
  <si>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</si>
  <si>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</si>
  <si>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</si>
  <si>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116</t>
  </si>
  <si>
    <t>ebből: egyéb, az önkormányzat rendeletében megállapított juttatás (K48)</t>
  </si>
  <si>
    <t>118</t>
  </si>
  <si>
    <t>ebből: települési támogatás [Szoctv. 45. §],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</si>
  <si>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</si>
  <si>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</si>
  <si>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</si>
  <si>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</si>
  <si>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</si>
  <si>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</si>
  <si>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125</t>
  </si>
  <si>
    <t>A helyi önkormányzatok törvényi előíráson alapuló befizetései (K5022)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</si>
  <si>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</si>
  <si>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</si>
  <si>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</si>
  <si>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</si>
  <si>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159</t>
  </si>
  <si>
    <t>ebből: társulások és költségvetési szerveik (K506)</t>
  </si>
  <si>
    <t>179</t>
  </si>
  <si>
    <t>Egyéb működési célú támogatások államháztartáson kívülre (=180+…+189) (K512)</t>
  </si>
  <si>
    <t>181</t>
  </si>
  <si>
    <t>ebből: nonprofit gazdasági társaságok (K512)</t>
  </si>
  <si>
    <t>183</t>
  </si>
  <si>
    <t>ebből: háztartások (K512)</t>
  </si>
  <si>
    <t>187</t>
  </si>
  <si>
    <t>ebből: egyéb vállalkozások (K512)</t>
  </si>
  <si>
    <t>191</t>
  </si>
  <si>
    <t>Egyéb működési célú kiadások (=122+127+128+129+140+151+162+164+176+177+178+179+190) (K5)</t>
  </si>
  <si>
    <t>193</t>
  </si>
  <si>
    <t>Ingatlanok beszerzése, létesítése (&gt;=194) (K62)</t>
  </si>
  <si>
    <t>195</t>
  </si>
  <si>
    <t>Informatikai eszközök beszerzése, létesítése (K63)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</si>
  <si>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</si>
  <si>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</si>
  <si>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</si>
  <si>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</si>
  <si>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</si>
  <si>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</si>
  <si>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</si>
  <si>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</si>
  <si>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</si>
  <si>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</si>
  <si>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</si>
  <si>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</si>
  <si>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</si>
  <si>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Felújítások (=201+...+204) (K7)</t>
  </si>
  <si>
    <t>268</t>
  </si>
  <si>
    <t>Költségvetési kiadások (=20+21+61+121+191+200+205+267) (K1-K8)</t>
  </si>
  <si>
    <t>289</t>
  </si>
  <si>
    <t>Államháztartáson belüli megelőlegezések visszafizetése (K914)</t>
  </si>
  <si>
    <t>290</t>
  </si>
  <si>
    <t>Központi, irányító szervi támogatások folyósítása (K915)</t>
  </si>
  <si>
    <t>297</t>
  </si>
  <si>
    <t>Belföldi finanszírozás kiadásai (=274+287+…+293+296) (K91)</t>
  </si>
  <si>
    <t>308</t>
  </si>
  <si>
    <t>Finanszírozási kiadások (=297+305+306+307) (K9)</t>
  </si>
  <si>
    <t>309</t>
  </si>
  <si>
    <t>Kiadások összesen (=268+308) (K1-K9)</t>
  </si>
  <si>
    <t>310</t>
  </si>
  <si>
    <t>Kapacitásmutató 1. [68/2013. (XII.29.)NGM r. 6. § (2) bek.]</t>
  </si>
  <si>
    <t>311</t>
  </si>
  <si>
    <t>Kapacitásmutató 2. [68/2013. (XII.29.)NGM r. 6. § (2) bek.]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</si>
  <si>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</si>
  <si>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</si>
  <si>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</si>
  <si>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</si>
  <si>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</si>
  <si>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</si>
  <si>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</si>
  <si>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</si>
  <si>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</si>
  <si>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</si>
  <si>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</si>
  <si>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</si>
  <si>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</si>
  <si>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központi költségvetési szervek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</si>
  <si>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</si>
  <si>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</si>
  <si>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</si>
  <si>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38</t>
  </si>
  <si>
    <t>ebből: elkülönített állami pénzalapok (B16)</t>
  </si>
  <si>
    <t>ebből: nemzetiségi önkormányzatok és költségvetési szerveik (B16)</t>
  </si>
  <si>
    <t>Működési célú támogatások államháztartáson belülről (=07+...+10+21+32) (B1)</t>
  </si>
  <si>
    <t>Felhalmozási célú önkormányzati támogatások (B21)</t>
  </si>
  <si>
    <t>79</t>
  </si>
  <si>
    <t>Felhalmozási célú támogatások államháztartáson belülről (=44+45+46+57+68) (B2)</t>
  </si>
  <si>
    <t>80</t>
  </si>
  <si>
    <t>Magánszemélyek jövedelemadói (=81+82+83) (B311)</t>
  </si>
  <si>
    <t>83</t>
  </si>
  <si>
    <t>ebből: termőföld bérbeadásából származó jövedelem utáni személyi jövedelemadó (B311)</t>
  </si>
  <si>
    <t>93</t>
  </si>
  <si>
    <t>Jövedelemadók (=80+84) (B31)</t>
  </si>
  <si>
    <t>109</t>
  </si>
  <si>
    <t>Vagyoni tipusú adók (=110+…+116) (B34)</t>
  </si>
  <si>
    <t>112</t>
  </si>
  <si>
    <t>ebből: magánszemélyek kommunális adója (B34)</t>
  </si>
  <si>
    <t>117</t>
  </si>
  <si>
    <t>Értékesítési és forgalmi adók (=118+…+139) (B351)</t>
  </si>
  <si>
    <t>ebből: állandó jeleggel végzett iparűzési tevékenység után fizetett helyi iparűzési adó (B351)</t>
  </si>
  <si>
    <t>145</t>
  </si>
  <si>
    <t>Gépjárműadók (=146+…+149) (B354)</t>
  </si>
  <si>
    <t>147</t>
  </si>
  <si>
    <t>ebből: belföldi gépjárművek adójának a helyi önkormányzatot megillető része (B354)</t>
  </si>
  <si>
    <t>168</t>
  </si>
  <si>
    <t>Termékek és szolgáltatások adói (=117+140+144+145+150)  (B35)</t>
  </si>
  <si>
    <t>169</t>
  </si>
  <si>
    <t>Egyéb közhatalmi bevételek (&gt;=170+…+184) (B36)</t>
  </si>
  <si>
    <t>ebből: egyéb bírság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</si>
  <si>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</si>
  <si>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</si>
  <si>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</si>
  <si>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</si>
  <si>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</si>
  <si>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(B401)</t>
  </si>
  <si>
    <t>Szolgáltatások ellenértéke (&gt;=188+189) (B402)</t>
  </si>
  <si>
    <t>190</t>
  </si>
  <si>
    <t>Közvetített szolgáltatások ellenértéke  (&gt;=191) (B403)</t>
  </si>
  <si>
    <t>192</t>
  </si>
  <si>
    <t>Tulajdonosi bevételek (&gt;=193+…+198) (B404)</t>
  </si>
  <si>
    <t>Ellátási díjak (B405)</t>
  </si>
  <si>
    <t>Kiszámlázott általános forgalmi adó (B406)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</si>
  <si>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</si>
  <si>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</si>
  <si>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</si>
  <si>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</si>
  <si>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</si>
  <si>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221</t>
  </si>
  <si>
    <t>Működési bevételek (=186+187+190+192+199+…+201+208+216+217+218) (B4)</t>
  </si>
  <si>
    <t>224</t>
  </si>
  <si>
    <t>Ingatlanok értékesítése (&gt;=225) (B52)</t>
  </si>
  <si>
    <t>230</t>
  </si>
  <si>
    <t>Felhalmozási bevételek (=222+224+226+227+229) (B5)</t>
  </si>
  <si>
    <t>244</t>
  </si>
  <si>
    <t>Egyéb működési célú átvett pénzeszközök (=244+…+255) (B65)</t>
  </si>
  <si>
    <t>248</t>
  </si>
  <si>
    <t>ebből: háztartások (B65)</t>
  </si>
  <si>
    <t>249</t>
  </si>
  <si>
    <t>ebből: pénzügyi vállalkozások (B65)</t>
  </si>
  <si>
    <t>252</t>
  </si>
  <si>
    <t>ebből: egyéb vállalkozások (B65)</t>
  </si>
  <si>
    <t>256</t>
  </si>
  <si>
    <t>Működési célú átvett pénzeszközök (=231+...+234+244) (B6)</t>
  </si>
  <si>
    <t>283</t>
  </si>
  <si>
    <t>Költségvetési bevételek (=43+79+185+221+230+256+282) (B1-B7)</t>
  </si>
  <si>
    <t>295</t>
  </si>
  <si>
    <t>Előző év költségvetési maradványának igénybevétele (B8131)</t>
  </si>
  <si>
    <t>Maradvány igénybevétele (=295+296) (B813)</t>
  </si>
  <si>
    <t>298</t>
  </si>
  <si>
    <t>Államháztartáson belüli megelőlegezések (B814)</t>
  </si>
  <si>
    <t>306</t>
  </si>
  <si>
    <t>Belföldi finanszírozás bevételei (=287+294+297+…+302+305) (B81)</t>
  </si>
  <si>
    <t>315</t>
  </si>
  <si>
    <t>Finanszírozási bevételek (=306+312+313+314) (B8)</t>
  </si>
  <si>
    <t>316</t>
  </si>
  <si>
    <t>Bevételek összesen (283+315) (B1-B8)</t>
  </si>
  <si>
    <t>1.sz. melléklet</t>
  </si>
  <si>
    <t>Hajmáskér Község Önkormányzata 2017. évi költségvetés</t>
  </si>
  <si>
    <t>011130   Önkormányzatok és önkormányzati hivatalok jogalkotó és általános igazgatási tevékenysége</t>
  </si>
  <si>
    <t>2016. tényadat</t>
  </si>
  <si>
    <t>2017. évi eredeti előirányzat</t>
  </si>
  <si>
    <t>2017. évi módosítás</t>
  </si>
  <si>
    <t>2017. módosított előirányzat</t>
  </si>
  <si>
    <t>2017. tényadat (2017.06.30.)</t>
  </si>
  <si>
    <t>Teljesítés aránya</t>
  </si>
  <si>
    <t>Tartalékok (K513)</t>
  </si>
  <si>
    <t>38.</t>
  </si>
  <si>
    <t>Bérleti és lízing díjak (K333)</t>
  </si>
  <si>
    <t>082092 Közművelődés - hagyományos közösségi kulturális értékek gondozása - KÖZÖSSÉGI HÁZ</t>
  </si>
  <si>
    <t>082092 Közművelődés - hagyományos közösségi kulturális értékek gondozása - MŰVELŐDÉSI HÁZ</t>
  </si>
  <si>
    <t>47.</t>
  </si>
  <si>
    <t>Kiküldetések kiadásai (K341)</t>
  </si>
  <si>
    <t>Készenléti, ügyeleti, helyett.díj, túlóra, túlszolg.(K1104)</t>
  </si>
  <si>
    <t>Sor-
szám</t>
  </si>
  <si>
    <t>Bevételek</t>
  </si>
  <si>
    <t>Kiadások</t>
  </si>
  <si>
    <t>Módosítás</t>
  </si>
  <si>
    <t>2017.06.30. Módosított előirányzat</t>
  </si>
  <si>
    <t>A</t>
  </si>
  <si>
    <t>B</t>
  </si>
  <si>
    <t>C</t>
  </si>
  <si>
    <t>D</t>
  </si>
  <si>
    <t>E=C±D</t>
  </si>
  <si>
    <t xml:space="preserve">F </t>
  </si>
  <si>
    <t>G</t>
  </si>
  <si>
    <t>H</t>
  </si>
  <si>
    <t>I=G±H</t>
  </si>
  <si>
    <t>1.</t>
  </si>
  <si>
    <t>Önkormányzatok működési támogatásai</t>
  </si>
  <si>
    <t>Személyi juttatások</t>
  </si>
  <si>
    <t>2.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</si>
  <si>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</si>
  <si>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</si>
  <si>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</si>
  <si>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</si>
  <si>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</si>
  <si>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</si>
  <si>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</si>
  <si>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</si>
  <si>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</si>
  <si>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</si>
  <si>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</si>
  <si>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</si>
  <si>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</si>
  <si>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</si>
  <si>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</si>
  <si>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</si>
  <si>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</si>
  <si>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</si>
  <si>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</si>
  <si>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</si>
  <si>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</si>
  <si>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</si>
  <si>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</si>
  <si>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</si>
  <si>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</si>
  <si>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</si>
  <si>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</si>
  <si>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</si>
  <si>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</si>
  <si>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</si>
  <si>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>Rövid lejáratú hitelek törlesztése</t>
  </si>
  <si>
    <t>17.</t>
  </si>
  <si>
    <t>Hosszú lejáratú hitelek törlesztése</t>
  </si>
  <si>
    <t>18.</t>
  </si>
  <si>
    <t>Intézményfinanszírozás</t>
  </si>
  <si>
    <t>Kölcsön törlesztése</t>
  </si>
  <si>
    <t>19.</t>
  </si>
  <si>
    <t xml:space="preserve">Hiány külső finanszírozásának bevételei (20.+…+21.) 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</si>
  <si>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</si>
  <si>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</si>
  <si>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</si>
  <si>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</si>
  <si>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</si>
  <si>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</si>
  <si>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</si>
  <si>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 xml:space="preserve">   Váltóbevételek</t>
  </si>
  <si>
    <t>Váltókiadások</t>
  </si>
  <si>
    <t>23.</t>
  </si>
  <si>
    <t>Adóssághoz nem kapcsolódó származékos ügyletek bevételei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</si>
  <si>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</si>
  <si>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</si>
  <si>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</si>
  <si>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</si>
  <si>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</si>
  <si>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</si>
  <si>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</si>
  <si>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</si>
  <si>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</si>
  <si>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</si>
  <si>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</si>
  <si>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</si>
  <si>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</si>
  <si>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</si>
  <si>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</si>
  <si>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</si>
  <si>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</si>
  <si>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</si>
  <si>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</si>
  <si>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</si>
  <si>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</si>
  <si>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</si>
  <si>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</si>
  <si>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</si>
  <si>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</si>
  <si>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</si>
  <si>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</si>
  <si>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</si>
  <si>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</si>
  <si>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</si>
  <si>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</si>
  <si>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</si>
  <si>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</si>
  <si>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</si>
  <si>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</si>
  <si>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</si>
  <si>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</si>
  <si>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</si>
  <si>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</si>
  <si>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</si>
  <si>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</si>
  <si>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</si>
  <si>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</si>
  <si>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</si>
  <si>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</si>
  <si>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</si>
  <si>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10.sz. melléklet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</si>
  <si>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</si>
  <si>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</si>
  <si>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</si>
  <si>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</si>
  <si>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E</t>
  </si>
  <si>
    <t>F</t>
  </si>
  <si>
    <t>G=(D+F)</t>
  </si>
  <si>
    <t>ÖSSZESEN:</t>
  </si>
  <si>
    <t>I. Működési célú bevételek és kiadások mérlege
Hajmáskér Község Önkormányzata</t>
  </si>
  <si>
    <t>II. Felhalmozási célú bevételek és kiadások mérlege
Hajmáskér Község Önkormányzata</t>
  </si>
  <si>
    <t>05/A - Teljesített kiadások kormányzati funkciónként</t>
  </si>
  <si>
    <t>011110 Államhatalmi szervek tevékenysége</t>
  </si>
  <si>
    <t>091110 Óvodai nevelés, ellátás szakmai feladatai</t>
  </si>
  <si>
    <t>06/A - Teljesített bevételek kormányzati funkciónként</t>
  </si>
  <si>
    <t>300</t>
  </si>
  <si>
    <t>Központi, irányító szervi támogatás (B816)</t>
  </si>
  <si>
    <t>Lurkó Óvoda 2017. évi költségvetés</t>
  </si>
  <si>
    <t>ÖSSZESEN</t>
  </si>
  <si>
    <t>Hajmáskér Község Önkormányzata</t>
  </si>
  <si>
    <t>ÖSSZES ÖSSZESEN</t>
  </si>
  <si>
    <t>Hajmáskéri Közös Önkormányzati Hivatal</t>
  </si>
  <si>
    <t>Összesen - ezt a táblázatot kézzel töltöm fel a Hivatal összesen táblázatából, hogy az összes összesent tudjam képletezni.</t>
  </si>
  <si>
    <t>Lakhatással kapcsolatos ellátások (=94+…+97) (K46)</t>
  </si>
  <si>
    <t>ebből: lakásfenntartási támogatás (Szoctv. 38.§ (1) bek.a) és b) pontos ) (K46)</t>
  </si>
  <si>
    <t>Egyéb működési célú támogatások államháztartáson belülről</t>
  </si>
  <si>
    <t>Államháztartási megelőlegezések bevétele</t>
  </si>
  <si>
    <t>Államháztartási megelőlegezések visszafizetése</t>
  </si>
  <si>
    <t>Központi, irányító szervi támogatások folyósítása</t>
  </si>
  <si>
    <t>2.sz. melléklet</t>
  </si>
  <si>
    <t>3.sz. melléklet</t>
  </si>
  <si>
    <t>4.sz. melléklet</t>
  </si>
  <si>
    <t>5.sz. melléklet</t>
  </si>
  <si>
    <t>013350 Az önkormányzati vagyonnal való gazdálkodással kapcsolatos feladatok - MÚZEUM</t>
  </si>
  <si>
    <t>6.sz. melléklet</t>
  </si>
  <si>
    <t>7.sz. melléklet</t>
  </si>
  <si>
    <t>8.sz. melléklet</t>
  </si>
  <si>
    <t>9.sz. melléklet</t>
  </si>
  <si>
    <t>11.sz. melléklet</t>
  </si>
  <si>
    <t>12.sz. melléklet</t>
  </si>
  <si>
    <t>13.sz. melléklet</t>
  </si>
  <si>
    <t>14.sz. melléklet</t>
  </si>
  <si>
    <t>15.sz. melléklet</t>
  </si>
  <si>
    <t>16.sz. melléklet</t>
  </si>
  <si>
    <t>17.sz. melléklet</t>
  </si>
  <si>
    <t>18.sz. melléklet</t>
  </si>
  <si>
    <t>19.sz. melléklet</t>
  </si>
  <si>
    <t>20.sz. melléklet</t>
  </si>
  <si>
    <t>21.sz. melléklet</t>
  </si>
  <si>
    <t>22.sz. melléklet</t>
  </si>
  <si>
    <t>23.sz. melléklet</t>
  </si>
  <si>
    <t>24.sz. melléklet</t>
  </si>
  <si>
    <t>25.sz. melléklet</t>
  </si>
  <si>
    <t>26.sz. melléklet</t>
  </si>
  <si>
    <t>27.sz. melléklet</t>
  </si>
  <si>
    <t>28. sz. melléklet</t>
  </si>
  <si>
    <t>29.sz. melléklet</t>
  </si>
  <si>
    <t>30.sz. melléklet</t>
  </si>
  <si>
    <t>31. számú melléklet</t>
  </si>
  <si>
    <t>32. számú melléklet</t>
  </si>
  <si>
    <t>33.sz. melléklet</t>
  </si>
  <si>
    <t>2017.06.30. módosított előirányzat</t>
  </si>
  <si>
    <t>Kamatkiadások (K353)</t>
  </si>
  <si>
    <t>ebből: háztartásoktól működési célú visszatérítendő támogatások, kölcsönök visszatérülése (B64)</t>
  </si>
  <si>
    <t>Működési célú visszatérítendő támogatások, kölcsönök visszatérülése (B64)</t>
  </si>
  <si>
    <t>Talajterhelési díj (B355)</t>
  </si>
  <si>
    <t>Egyéb pénzügyi műveletek kiadásai (K354)</t>
  </si>
  <si>
    <t>Befektetési célú belföldi értékpapírok vásárlása (K912)</t>
  </si>
  <si>
    <t>Befektetett pénzügyi eszközökből származó bevétel (B4081)</t>
  </si>
  <si>
    <t>Befektetési célú belföldi értékpapírok beváltása, értékesítése (B812)</t>
  </si>
  <si>
    <t>Immateriális javak beszerzése, létesítése (K61)</t>
  </si>
  <si>
    <t>Céljuttatás, projektprémium (K1103)</t>
  </si>
  <si>
    <t>Lurkó Óvoda</t>
  </si>
  <si>
    <t>Parkettázás</t>
  </si>
  <si>
    <t>porszívó/Zanussi ZAN2406DBE</t>
  </si>
  <si>
    <t>Informatikai eszközös beszerzése (ASP)</t>
  </si>
  <si>
    <t>Csőszivattyú</t>
  </si>
  <si>
    <t>Tornaterem felújítása</t>
  </si>
  <si>
    <t>2017</t>
  </si>
  <si>
    <t>Egyéb tárgyi eszköz beszerzése</t>
  </si>
  <si>
    <t>Utak felújítása</t>
  </si>
  <si>
    <t>Műhely bővítése</t>
  </si>
  <si>
    <t>Traktor pályázati önerő</t>
  </si>
  <si>
    <t>Sportpálya felújítása</t>
  </si>
  <si>
    <t>Művelődési ház kapcsolószekrényének cseréje</t>
  </si>
  <si>
    <t>Befektetési célú belföldi értékpapírok beváltása, ért.</t>
  </si>
</sst>
</file>

<file path=xl/styles.xml><?xml version="1.0" encoding="utf-8"?>
<styleSheet xmlns="http://schemas.openxmlformats.org/spreadsheetml/2006/main">
  <numFmts count="1">
    <numFmt numFmtId="164" formatCode="#,###"/>
  </numFmts>
  <fonts count="27">
    <font>
      <sz val="12"/>
      <color theme="1"/>
      <name val="Arial"/>
      <family val="2"/>
      <charset val="238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  <font>
      <b/>
      <sz val="12"/>
      <name val="Times New Roman CE"/>
      <charset val="238"/>
    </font>
    <font>
      <b/>
      <sz val="8"/>
      <name val="Times New Roman CE"/>
      <family val="1"/>
      <charset val="238"/>
    </font>
    <font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8"/>
      <name val="Times New Roman CE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lightHorizontal"/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4" fillId="0" borderId="0" applyFont="0" applyFill="0" applyBorder="0" applyAlignment="0" applyProtection="0"/>
    <xf numFmtId="0" fontId="26" fillId="0" borderId="0"/>
  </cellStyleXfs>
  <cellXfs count="150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Alignment="1"/>
    <xf numFmtId="0" fontId="5" fillId="0" borderId="0" xfId="0" applyFont="1" applyAlignment="1">
      <alignment wrapText="1"/>
    </xf>
    <xf numFmtId="0" fontId="4" fillId="0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center" vertical="top" wrapText="1"/>
    </xf>
    <xf numFmtId="164" fontId="0" fillId="0" borderId="0" xfId="0" applyNumberFormat="1" applyFill="1" applyAlignment="1" applyProtection="1">
      <alignment vertical="center" wrapText="1"/>
    </xf>
    <xf numFmtId="164" fontId="8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right" vertical="center"/>
    </xf>
    <xf numFmtId="164" fontId="12" fillId="0" borderId="3" xfId="0" applyNumberFormat="1" applyFont="1" applyFill="1" applyBorder="1" applyAlignment="1" applyProtection="1">
      <alignment horizontal="centerContinuous" vertical="center" wrapText="1"/>
    </xf>
    <xf numFmtId="164" fontId="12" fillId="0" borderId="4" xfId="0" applyNumberFormat="1" applyFont="1" applyFill="1" applyBorder="1" applyAlignment="1" applyProtection="1">
      <alignment horizontal="centerContinuous" vertical="center" wrapText="1"/>
    </xf>
    <xf numFmtId="164" fontId="12" fillId="0" borderId="5" xfId="0" applyNumberFormat="1" applyFont="1" applyFill="1" applyBorder="1" applyAlignment="1" applyProtection="1">
      <alignment horizontal="centerContinuous" vertical="center" wrapText="1"/>
    </xf>
    <xf numFmtId="164" fontId="12" fillId="0" borderId="6" xfId="0" applyNumberFormat="1" applyFont="1" applyFill="1" applyBorder="1" applyAlignment="1" applyProtection="1">
      <alignment horizontal="centerContinuous" vertical="center" wrapText="1"/>
    </xf>
    <xf numFmtId="164" fontId="12" fillId="0" borderId="7" xfId="0" applyNumberFormat="1" applyFont="1" applyFill="1" applyBorder="1" applyAlignment="1" applyProtection="1">
      <alignment horizontal="centerContinuous" vertical="center" wrapText="1"/>
    </xf>
    <xf numFmtId="164" fontId="12" fillId="0" borderId="8" xfId="0" applyNumberFormat="1" applyFont="1" applyFill="1" applyBorder="1" applyAlignment="1" applyProtection="1">
      <alignment horizontal="centerContinuous" vertical="center" wrapText="1"/>
    </xf>
    <xf numFmtId="164" fontId="12" fillId="0" borderId="3" xfId="0" applyNumberFormat="1" applyFont="1" applyFill="1" applyBorder="1" applyAlignment="1" applyProtection="1">
      <alignment horizontal="center" vertical="center" wrapText="1"/>
    </xf>
    <xf numFmtId="164" fontId="12" fillId="0" borderId="4" xfId="0" applyNumberFormat="1" applyFont="1" applyFill="1" applyBorder="1" applyAlignment="1" applyProtection="1">
      <alignment horizontal="center" vertical="center" wrapText="1"/>
    </xf>
    <xf numFmtId="164" fontId="12" fillId="0" borderId="5" xfId="0" applyNumberFormat="1" applyFont="1" applyFill="1" applyBorder="1" applyAlignment="1" applyProtection="1">
      <alignment horizontal="center" vertical="center" wrapText="1"/>
    </xf>
    <xf numFmtId="164" fontId="12" fillId="0" borderId="1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4" fillId="0" borderId="11" xfId="0" applyNumberFormat="1" applyFont="1" applyFill="1" applyBorder="1" applyAlignment="1" applyProtection="1">
      <alignment horizontal="center" vertical="center" wrapText="1"/>
    </xf>
    <xf numFmtId="164" fontId="14" fillId="0" borderId="3" xfId="0" applyNumberFormat="1" applyFont="1" applyFill="1" applyBorder="1" applyAlignment="1" applyProtection="1">
      <alignment horizontal="center" vertical="center" wrapText="1"/>
    </xf>
    <xf numFmtId="164" fontId="14" fillId="0" borderId="4" xfId="0" applyNumberFormat="1" applyFont="1" applyFill="1" applyBorder="1" applyAlignment="1" applyProtection="1">
      <alignment horizontal="center" vertical="center" wrapText="1"/>
    </xf>
    <xf numFmtId="164" fontId="14" fillId="0" borderId="5" xfId="0" applyNumberFormat="1" applyFont="1" applyFill="1" applyBorder="1" applyAlignment="1" applyProtection="1">
      <alignment horizontal="center" vertical="center" wrapText="1"/>
    </xf>
    <xf numFmtId="164" fontId="14" fillId="0" borderId="6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vertical="center" wrapText="1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15" fillId="0" borderId="13" xfId="0" applyNumberFormat="1" applyFont="1" applyFill="1" applyBorder="1" applyAlignment="1" applyProtection="1">
      <alignment horizontal="left" vertical="center" wrapText="1" indent="1"/>
    </xf>
    <xf numFmtId="164" fontId="1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0" applyNumberFormat="1" applyFont="1" applyFill="1" applyBorder="1" applyAlignment="1" applyProtection="1">
      <alignment horizontal="right" vertical="center" wrapText="1" indent="1"/>
    </xf>
    <xf numFmtId="164" fontId="15" fillId="0" borderId="15" xfId="0" applyNumberFormat="1" applyFont="1" applyFill="1" applyBorder="1" applyAlignment="1" applyProtection="1">
      <alignment horizontal="right" vertical="center" wrapText="1" indent="1"/>
    </xf>
    <xf numFmtId="164" fontId="0" fillId="0" borderId="16" xfId="0" applyNumberFormat="1" applyFill="1" applyBorder="1" applyAlignment="1" applyProtection="1">
      <alignment horizontal="left" vertical="center" wrapText="1" indent="1"/>
    </xf>
    <xf numFmtId="164" fontId="15" fillId="0" borderId="17" xfId="0" applyNumberFormat="1" applyFont="1" applyFill="1" applyBorder="1" applyAlignment="1" applyProtection="1">
      <alignment horizontal="left" vertical="center" wrapText="1" indent="1"/>
    </xf>
    <xf numFmtId="164" fontId="1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0" applyNumberFormat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</xf>
    <xf numFmtId="164" fontId="17" fillId="0" borderId="11" xfId="0" applyNumberFormat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left" vertical="center" wrapText="1" indent="1"/>
    </xf>
    <xf numFmtId="164" fontId="14" fillId="0" borderId="4" xfId="0" applyNumberFormat="1" applyFont="1" applyFill="1" applyBorder="1" applyAlignment="1" applyProtection="1">
      <alignment horizontal="right" vertical="center" wrapText="1" indent="1"/>
    </xf>
    <xf numFmtId="164" fontId="14" fillId="0" borderId="10" xfId="0" applyNumberFormat="1" applyFont="1" applyFill="1" applyBorder="1" applyAlignment="1" applyProtection="1">
      <alignment horizontal="right" vertical="center" wrapText="1" indent="1"/>
    </xf>
    <xf numFmtId="164" fontId="18" fillId="0" borderId="22" xfId="0" applyNumberFormat="1" applyFont="1" applyFill="1" applyBorder="1" applyAlignment="1" applyProtection="1">
      <alignment horizontal="left" vertical="center" wrapText="1" indent="1"/>
    </xf>
    <xf numFmtId="164" fontId="16" fillId="0" borderId="23" xfId="0" applyNumberFormat="1" applyFont="1" applyFill="1" applyBorder="1" applyAlignment="1" applyProtection="1">
      <alignment horizontal="left" vertical="center" wrapText="1" indent="1"/>
    </xf>
    <xf numFmtId="164" fontId="19" fillId="0" borderId="24" xfId="0" applyNumberFormat="1" applyFont="1" applyFill="1" applyBorder="1" applyAlignment="1" applyProtection="1">
      <alignment horizontal="right" vertical="center" wrapText="1" indent="1"/>
    </xf>
    <xf numFmtId="164" fontId="16" fillId="0" borderId="17" xfId="0" applyNumberFormat="1" applyFont="1" applyFill="1" applyBorder="1" applyAlignment="1" applyProtection="1">
      <alignment horizontal="left" vertical="center" wrapText="1" indent="1"/>
    </xf>
    <xf numFmtId="164" fontId="1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16" xfId="0" applyNumberFormat="1" applyFont="1" applyFill="1" applyBorder="1" applyAlignment="1" applyProtection="1">
      <alignment horizontal="left" vertical="center" wrapText="1" indent="1"/>
    </xf>
    <xf numFmtId="164" fontId="1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" xfId="0" applyNumberFormat="1" applyFont="1" applyFill="1" applyBorder="1" applyAlignment="1" applyProtection="1">
      <alignment horizontal="right" vertical="center" wrapText="1" indent="1"/>
    </xf>
    <xf numFmtId="164" fontId="16" fillId="0" borderId="26" xfId="0" applyNumberFormat="1" applyFont="1" applyFill="1" applyBorder="1" applyAlignment="1" applyProtection="1">
      <alignment horizontal="right" vertical="center" wrapText="1" indent="1"/>
    </xf>
    <xf numFmtId="164" fontId="19" fillId="0" borderId="1" xfId="0" applyNumberFormat="1" applyFont="1" applyFill="1" applyBorder="1" applyAlignment="1" applyProtection="1">
      <alignment horizontal="right" vertical="center" wrapText="1" indent="1"/>
    </xf>
    <xf numFmtId="164" fontId="16" fillId="0" borderId="24" xfId="0" applyNumberFormat="1" applyFont="1" applyFill="1" applyBorder="1" applyAlignment="1" applyProtection="1">
      <alignment horizontal="right" vertical="center" wrapText="1" indent="1"/>
    </xf>
    <xf numFmtId="164" fontId="0" fillId="0" borderId="22" xfId="0" applyNumberFormat="1" applyFill="1" applyBorder="1" applyAlignment="1" applyProtection="1">
      <alignment horizontal="left" vertical="center" wrapText="1" indent="1"/>
    </xf>
    <xf numFmtId="164" fontId="15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5" xfId="0" applyNumberFormat="1" applyFont="1" applyFill="1" applyBorder="1" applyAlignment="1" applyProtection="1">
      <alignment horizontal="right" vertical="center" wrapText="1" indent="1"/>
    </xf>
    <xf numFmtId="164" fontId="17" fillId="0" borderId="3" xfId="0" applyNumberFormat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</xf>
    <xf numFmtId="164" fontId="11" fillId="0" borderId="6" xfId="0" applyNumberFormat="1" applyFont="1" applyFill="1" applyBorder="1" applyAlignment="1" applyProtection="1">
      <alignment horizontal="right" vertical="center" wrapText="1" indent="1"/>
    </xf>
    <xf numFmtId="164" fontId="15" fillId="0" borderId="27" xfId="0" applyNumberFormat="1" applyFont="1" applyFill="1" applyBorder="1" applyAlignment="1" applyProtection="1">
      <alignment horizontal="right" vertical="center" wrapText="1" indent="1"/>
    </xf>
    <xf numFmtId="164" fontId="15" fillId="0" borderId="26" xfId="0" applyNumberFormat="1" applyFont="1" applyFill="1" applyBorder="1" applyAlignment="1" applyProtection="1">
      <alignment horizontal="right" vertical="center" wrapText="1" indent="1"/>
    </xf>
    <xf numFmtId="164" fontId="15" fillId="0" borderId="17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6" fillId="0" borderId="17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5" fillId="0" borderId="17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0" applyNumberFormat="1" applyFont="1" applyFill="1" applyBorder="1" applyAlignment="1" applyProtection="1">
      <alignment horizontal="left" vertical="center" wrapText="1" indent="1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Fill="1" applyBorder="1" applyAlignment="1" applyProtection="1">
      <alignment horizontal="right" vertical="center" wrapText="1" indent="1"/>
    </xf>
    <xf numFmtId="164" fontId="19" fillId="0" borderId="23" xfId="0" applyNumberFormat="1" applyFont="1" applyFill="1" applyBorder="1" applyAlignment="1" applyProtection="1">
      <alignment horizontal="left" vertical="center" wrapText="1" indent="1"/>
    </xf>
    <xf numFmtId="164" fontId="19" fillId="0" borderId="14" xfId="0" applyNumberFormat="1" applyFont="1" applyFill="1" applyBorder="1" applyAlignment="1" applyProtection="1">
      <alignment horizontal="right" vertical="center" wrapText="1" indent="1"/>
    </xf>
    <xf numFmtId="164" fontId="1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Fill="1" applyBorder="1" applyAlignment="1" applyProtection="1">
      <alignment horizontal="right" vertical="center" wrapText="1" indent="1"/>
    </xf>
    <xf numFmtId="164" fontId="16" fillId="0" borderId="17" xfId="0" applyNumberFormat="1" applyFont="1" applyFill="1" applyBorder="1" applyAlignment="1" applyProtection="1">
      <alignment horizontal="left" vertical="center" wrapText="1" indent="2"/>
    </xf>
    <xf numFmtId="164" fontId="16" fillId="0" borderId="1" xfId="0" applyNumberFormat="1" applyFont="1" applyFill="1" applyBorder="1" applyAlignment="1" applyProtection="1">
      <alignment horizontal="left" vertical="center" wrapText="1" indent="2"/>
    </xf>
    <xf numFmtId="164" fontId="19" fillId="0" borderId="1" xfId="0" applyNumberFormat="1" applyFont="1" applyFill="1" applyBorder="1" applyAlignment="1" applyProtection="1">
      <alignment horizontal="left" vertical="center" wrapText="1" indent="1"/>
    </xf>
    <xf numFmtId="164" fontId="16" fillId="0" borderId="13" xfId="0" applyNumberFormat="1" applyFont="1" applyFill="1" applyBorder="1" applyAlignment="1" applyProtection="1">
      <alignment horizontal="left" vertical="center" wrapText="1" indent="1"/>
    </xf>
    <xf numFmtId="164" fontId="16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3" xfId="0" applyNumberFormat="1" applyFont="1" applyFill="1" applyBorder="1" applyAlignment="1" applyProtection="1">
      <alignment horizontal="left" vertical="center" wrapText="1" indent="2"/>
    </xf>
    <xf numFmtId="164" fontId="15" fillId="0" borderId="20" xfId="0" applyNumberFormat="1" applyFont="1" applyFill="1" applyBorder="1" applyAlignment="1" applyProtection="1">
      <alignment horizontal="left" vertical="center" wrapText="1" indent="2"/>
    </xf>
    <xf numFmtId="164" fontId="0" fillId="0" borderId="0" xfId="0" applyNumberFormat="1" applyFill="1" applyAlignment="1">
      <alignment vertical="center" wrapText="1"/>
    </xf>
    <xf numFmtId="164" fontId="10" fillId="0" borderId="0" xfId="0" applyNumberFormat="1" applyFont="1" applyFill="1" applyAlignment="1" applyProtection="1">
      <alignment horizontal="right" wrapText="1"/>
    </xf>
    <xf numFmtId="164" fontId="13" fillId="0" borderId="0" xfId="0" applyNumberFormat="1" applyFont="1" applyFill="1" applyAlignment="1">
      <alignment horizontal="center" vertical="center" wrapText="1"/>
    </xf>
    <xf numFmtId="164" fontId="22" fillId="0" borderId="29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horizontal="center" vertical="center" wrapText="1"/>
    </xf>
    <xf numFmtId="164" fontId="22" fillId="0" borderId="31" xfId="0" applyNumberFormat="1" applyFont="1" applyFill="1" applyBorder="1" applyAlignment="1" applyProtection="1">
      <alignment horizontal="center" vertical="center" wrapText="1"/>
    </xf>
    <xf numFmtId="164" fontId="15" fillId="0" borderId="17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32" xfId="0" applyNumberFormat="1" applyFont="1" applyFill="1" applyBorder="1" applyAlignment="1" applyProtection="1">
      <alignment vertical="center" wrapText="1"/>
    </xf>
    <xf numFmtId="164" fontId="12" fillId="0" borderId="3" xfId="0" applyNumberFormat="1" applyFont="1" applyFill="1" applyBorder="1" applyAlignment="1" applyProtection="1">
      <alignment horizontal="left" vertical="center" wrapText="1"/>
    </xf>
    <xf numFmtId="164" fontId="22" fillId="0" borderId="4" xfId="0" applyNumberFormat="1" applyFont="1" applyFill="1" applyBorder="1" applyAlignment="1" applyProtection="1">
      <alignment vertical="center" wrapText="1"/>
    </xf>
    <xf numFmtId="164" fontId="22" fillId="3" borderId="4" xfId="0" applyNumberFormat="1" applyFont="1" applyFill="1" applyBorder="1" applyAlignment="1" applyProtection="1">
      <alignment vertical="center" wrapText="1"/>
    </xf>
    <xf numFmtId="164" fontId="22" fillId="0" borderId="6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top" wrapText="1"/>
    </xf>
    <xf numFmtId="0" fontId="23" fillId="0" borderId="0" xfId="0" applyFont="1"/>
    <xf numFmtId="0" fontId="0" fillId="0" borderId="0" xfId="0"/>
    <xf numFmtId="0" fontId="0" fillId="0" borderId="0" xfId="0"/>
    <xf numFmtId="9" fontId="1" fillId="2" borderId="1" xfId="1" applyFont="1" applyFill="1" applyBorder="1" applyAlignment="1">
      <alignment horizontal="center" vertical="top" wrapText="1"/>
    </xf>
    <xf numFmtId="9" fontId="2" fillId="0" borderId="1" xfId="1" applyFont="1" applyBorder="1" applyAlignment="1">
      <alignment horizontal="right" vertical="top" wrapText="1"/>
    </xf>
    <xf numFmtId="9" fontId="3" fillId="0" borderId="1" xfId="1" applyFont="1" applyBorder="1" applyAlignment="1">
      <alignment horizontal="right" vertical="top" wrapText="1"/>
    </xf>
    <xf numFmtId="9" fontId="0" fillId="0" borderId="0" xfId="1" applyFont="1"/>
    <xf numFmtId="3" fontId="2" fillId="4" borderId="1" xfId="0" applyNumberFormat="1" applyFont="1" applyFill="1" applyBorder="1" applyAlignment="1">
      <alignment horizontal="right" vertical="top" wrapText="1"/>
    </xf>
    <xf numFmtId="0" fontId="0" fillId="0" borderId="0" xfId="0"/>
    <xf numFmtId="3" fontId="6" fillId="0" borderId="1" xfId="0" applyNumberFormat="1" applyFont="1" applyBorder="1" applyAlignment="1">
      <alignment horizontal="right" vertical="top" wrapText="1"/>
    </xf>
    <xf numFmtId="0" fontId="0" fillId="0" borderId="0" xfId="0" applyFont="1"/>
    <xf numFmtId="3" fontId="2" fillId="0" borderId="1" xfId="0" applyNumberFormat="1" applyFont="1" applyFill="1" applyBorder="1" applyAlignment="1">
      <alignment horizontal="right" vertical="top" wrapText="1"/>
    </xf>
    <xf numFmtId="9" fontId="6" fillId="0" borderId="1" xfId="1" applyFont="1" applyBorder="1" applyAlignment="1">
      <alignment horizontal="right" vertical="top" wrapText="1"/>
    </xf>
    <xf numFmtId="3" fontId="6" fillId="0" borderId="0" xfId="0" applyNumberFormat="1" applyFont="1" applyAlignment="1">
      <alignment horizontal="right" vertical="top" wrapText="1"/>
    </xf>
    <xf numFmtId="0" fontId="0" fillId="0" borderId="0" xfId="0"/>
    <xf numFmtId="10" fontId="2" fillId="0" borderId="1" xfId="1" applyNumberFormat="1" applyFont="1" applyBorder="1" applyAlignment="1">
      <alignment horizontal="right" vertical="top" wrapText="1"/>
    </xf>
    <xf numFmtId="10" fontId="3" fillId="0" borderId="1" xfId="1" applyNumberFormat="1" applyFont="1" applyBorder="1" applyAlignment="1">
      <alignment horizontal="right" vertical="top" wrapText="1"/>
    </xf>
    <xf numFmtId="0" fontId="0" fillId="0" borderId="0" xfId="0"/>
    <xf numFmtId="164" fontId="25" fillId="0" borderId="17" xfId="0" applyNumberFormat="1" applyFont="1" applyFill="1" applyBorder="1" applyAlignment="1" applyProtection="1">
      <alignment horizontal="left" vertical="center" wrapText="1"/>
      <protection locked="0"/>
    </xf>
    <xf numFmtId="3" fontId="6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7" fillId="0" borderId="0" xfId="0" applyNumberFormat="1" applyFont="1" applyBorder="1" applyAlignment="1">
      <alignment horizontal="left" vertical="top" wrapText="1"/>
    </xf>
    <xf numFmtId="164" fontId="9" fillId="0" borderId="0" xfId="0" applyNumberFormat="1" applyFont="1" applyFill="1" applyAlignment="1" applyProtection="1">
      <alignment horizontal="center" textRotation="180" wrapText="1"/>
    </xf>
    <xf numFmtId="164" fontId="11" fillId="0" borderId="2" xfId="0" applyNumberFormat="1" applyFont="1" applyFill="1" applyBorder="1" applyAlignment="1" applyProtection="1">
      <alignment horizontal="center" vertical="center" wrapText="1"/>
    </xf>
    <xf numFmtId="164" fontId="11" fillId="0" borderId="9" xfId="0" applyNumberFormat="1" applyFont="1" applyFill="1" applyBorder="1" applyAlignment="1" applyProtection="1">
      <alignment horizontal="center" vertical="center" wrapTex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0" fillId="0" borderId="0" xfId="0"/>
  </cellXfs>
  <cellStyles count="3">
    <cellStyle name="Normál" xfId="0" builtinId="0"/>
    <cellStyle name="Normál 2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riszti\2017\Ei.-m&#243;d\REND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riszti\2017\Ei.-m&#243;d\K&#246;z&#246;s\2017063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"/>
      <sheetName val="4.sz.mell."/>
      <sheetName val="5.1. sz. mell"/>
      <sheetName val="5.1.1. sz. mell"/>
      <sheetName val="5.1.2. sz. mell"/>
      <sheetName val="5.1.3. sz. mell"/>
      <sheetName val="5.2. sz. mell"/>
      <sheetName val="5.2.1. sz. mell"/>
      <sheetName val="5.2.2. sz. mell"/>
      <sheetName val="5.2.3. sz. mell"/>
      <sheetName val="5.3. sz. mell"/>
      <sheetName val="5.3.1. sz. mell"/>
      <sheetName val="5.3.2. sz. mell"/>
      <sheetName val="5.3.3. sz. mell"/>
      <sheetName val="5.4. sz. mell "/>
      <sheetName val="5.4.1. sz. mell"/>
      <sheetName val="5.4.2. sz. mell "/>
      <sheetName val="5.4.3. sz. mell "/>
      <sheetName val="Munka1"/>
      <sheetName val="Munka2"/>
    </sheetNames>
    <sheetDataSet>
      <sheetData sheetId="0">
        <row r="6">
          <cell r="A6" t="str">
            <v>2017. évi eredeti előirányzat BEVÉTELEK</v>
          </cell>
        </row>
      </sheetData>
      <sheetData sheetId="1">
        <row r="3">
          <cell r="C3" t="str">
            <v>2017. évi</v>
          </cell>
        </row>
      </sheetData>
      <sheetData sheetId="2"/>
      <sheetData sheetId="3"/>
      <sheetData sheetId="4">
        <row r="2">
          <cell r="E2" t="str">
            <v>Forintban!</v>
          </cell>
        </row>
      </sheetData>
      <sheetData sheetId="5">
        <row r="2">
          <cell r="I2" t="str">
            <v>Forintban!</v>
          </cell>
        </row>
      </sheetData>
      <sheetData sheetId="6">
        <row r="2">
          <cell r="I2" t="str">
            <v>Forintban!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édőnő"/>
      <sheetName val="011130"/>
      <sheetName val="016010"/>
      <sheetName val="016020"/>
      <sheetName val="016030"/>
      <sheetName val="104051"/>
      <sheetName val="105010"/>
      <sheetName val="106020"/>
      <sheetName val="Hivatal összesen"/>
      <sheetName val="Műk.mérleg"/>
      <sheetName val="Felhalm.mérleg"/>
      <sheetName val="Beruh. és felújítások"/>
      <sheetName val="Munk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0">
          <cell r="L20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4"/>
  <sheetViews>
    <sheetView view="pageBreakPreview" topLeftCell="A148" zoomScale="85" zoomScaleNormal="100" zoomScaleSheetLayoutView="85" workbookViewId="0">
      <selection activeCell="M17" sqref="M17"/>
    </sheetView>
  </sheetViews>
  <sheetFormatPr defaultRowHeight="15"/>
  <cols>
    <col min="2" max="2" width="33.21875" customWidth="1"/>
    <col min="3" max="7" width="13.44140625" customWidth="1"/>
    <col min="8" max="8" width="13.44140625" style="126" customWidth="1"/>
  </cols>
  <sheetData>
    <row r="1" spans="1:16" ht="15" customHeight="1">
      <c r="A1" s="140" t="s">
        <v>266</v>
      </c>
      <c r="B1" s="140"/>
      <c r="C1" s="140"/>
      <c r="D1" s="140"/>
      <c r="E1" s="140"/>
      <c r="F1" s="140"/>
      <c r="G1" s="140"/>
      <c r="H1" s="140"/>
      <c r="I1" s="8"/>
      <c r="J1" s="8"/>
      <c r="K1" s="8"/>
      <c r="L1" s="8"/>
      <c r="M1" s="8"/>
      <c r="N1" s="8"/>
      <c r="O1" s="8"/>
      <c r="P1" s="8"/>
    </row>
    <row r="2" spans="1:16">
      <c r="A2" s="141" t="s">
        <v>267</v>
      </c>
      <c r="B2" s="141"/>
      <c r="C2" s="141"/>
      <c r="D2" s="141"/>
      <c r="E2" s="141"/>
      <c r="F2" s="141"/>
      <c r="G2" s="141"/>
      <c r="H2" s="141"/>
      <c r="I2" s="9"/>
      <c r="J2" s="9"/>
      <c r="K2" s="9"/>
      <c r="L2" s="9"/>
      <c r="M2" s="9"/>
      <c r="N2" s="9"/>
      <c r="O2" s="9"/>
      <c r="P2" s="9"/>
    </row>
    <row r="3" spans="1:16" ht="15" customHeight="1">
      <c r="A3" s="141" t="s">
        <v>268</v>
      </c>
      <c r="B3" s="141"/>
      <c r="C3" s="141"/>
      <c r="D3" s="141"/>
      <c r="E3" s="141"/>
      <c r="F3" s="141"/>
      <c r="G3" s="141"/>
      <c r="H3" s="141"/>
      <c r="I3" s="10"/>
      <c r="J3" s="10"/>
      <c r="K3" s="10"/>
      <c r="L3" s="10"/>
      <c r="M3" s="10"/>
      <c r="N3" s="10"/>
      <c r="O3" s="10"/>
      <c r="P3" s="10"/>
    </row>
    <row r="5" spans="1:16" ht="45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16" ht="25.5">
      <c r="A6" s="13" t="s">
        <v>31</v>
      </c>
      <c r="B6" s="14" t="s">
        <v>173</v>
      </c>
      <c r="C6" s="15">
        <v>30879509</v>
      </c>
      <c r="D6" s="15">
        <v>24260024</v>
      </c>
      <c r="E6" s="15">
        <f>2006550+60000+5935920+2069000</f>
        <v>10071470</v>
      </c>
      <c r="F6" s="15">
        <f>SUM(D6:E6)</f>
        <v>34331494</v>
      </c>
      <c r="G6" s="15">
        <v>17929974</v>
      </c>
      <c r="H6" s="124">
        <f>G6/F6</f>
        <v>0.52226023137822086</v>
      </c>
    </row>
    <row r="7" spans="1:16" ht="25.5">
      <c r="A7" s="13" t="s">
        <v>174</v>
      </c>
      <c r="B7" s="14" t="s">
        <v>175</v>
      </c>
      <c r="C7" s="15">
        <v>46209110</v>
      </c>
      <c r="D7" s="15">
        <v>47057290</v>
      </c>
      <c r="E7" s="15">
        <v>0</v>
      </c>
      <c r="F7" s="15">
        <f t="shared" ref="F7:F76" si="0">SUM(D7:E7)</f>
        <v>47057290</v>
      </c>
      <c r="G7" s="15">
        <v>24883136</v>
      </c>
      <c r="H7" s="124">
        <f t="shared" ref="H7:H76" si="1">G7/F7</f>
        <v>0.52878387174442043</v>
      </c>
    </row>
    <row r="8" spans="1:16" ht="38.25">
      <c r="A8" s="13" t="s">
        <v>176</v>
      </c>
      <c r="B8" s="14" t="s">
        <v>177</v>
      </c>
      <c r="C8" s="15">
        <v>5127014</v>
      </c>
      <c r="D8" s="15">
        <v>13575200</v>
      </c>
      <c r="E8" s="15">
        <f>58461+75240-4610642+958400+4618169</f>
        <v>1099628</v>
      </c>
      <c r="F8" s="15">
        <f t="shared" si="0"/>
        <v>14674828</v>
      </c>
      <c r="G8" s="15">
        <v>7522291</v>
      </c>
      <c r="H8" s="124">
        <f t="shared" si="1"/>
        <v>0.5125982396522808</v>
      </c>
    </row>
    <row r="9" spans="1:16" ht="25.5">
      <c r="A9" s="13" t="s">
        <v>178</v>
      </c>
      <c r="B9" s="14" t="s">
        <v>179</v>
      </c>
      <c r="C9" s="15"/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16" ht="25.5">
      <c r="A10" s="13" t="s">
        <v>180</v>
      </c>
      <c r="B10" s="14" t="s">
        <v>181</v>
      </c>
      <c r="C10" s="15">
        <v>946785</v>
      </c>
      <c r="D10" s="15">
        <v>0</v>
      </c>
      <c r="E10" s="15">
        <v>216366</v>
      </c>
      <c r="F10" s="15">
        <f t="shared" si="0"/>
        <v>216366</v>
      </c>
      <c r="G10" s="15">
        <v>760914</v>
      </c>
      <c r="H10" s="124">
        <f t="shared" si="1"/>
        <v>3.5167909930395718</v>
      </c>
    </row>
    <row r="11" spans="1:16">
      <c r="A11" s="13" t="s">
        <v>182</v>
      </c>
      <c r="B11" s="14" t="s">
        <v>183</v>
      </c>
      <c r="C11" s="15">
        <v>230069</v>
      </c>
      <c r="D11" s="15">
        <v>0</v>
      </c>
      <c r="E11" s="15">
        <v>1224447</v>
      </c>
      <c r="F11" s="15">
        <f t="shared" si="0"/>
        <v>1224447</v>
      </c>
      <c r="G11" s="15">
        <v>1224447</v>
      </c>
      <c r="H11" s="124">
        <f t="shared" si="1"/>
        <v>1</v>
      </c>
    </row>
    <row r="12" spans="1:16" ht="25.5">
      <c r="A12" s="13" t="s">
        <v>33</v>
      </c>
      <c r="B12" s="14" t="s">
        <v>184</v>
      </c>
      <c r="C12" s="15">
        <f>SUM(C6:C11)</f>
        <v>83392487</v>
      </c>
      <c r="D12" s="15">
        <f t="shared" ref="D12" si="2">SUM(D6:D11)</f>
        <v>84892514</v>
      </c>
      <c r="E12" s="15">
        <f t="shared" ref="E12" si="3">SUM(E6:E11)</f>
        <v>12611911</v>
      </c>
      <c r="F12" s="15">
        <f t="shared" si="0"/>
        <v>97504425</v>
      </c>
      <c r="G12" s="15">
        <f t="shared" ref="G12" si="4">SUM(G6:G11)</f>
        <v>52320762</v>
      </c>
      <c r="H12" s="124">
        <f t="shared" si="1"/>
        <v>0.53659884666772817</v>
      </c>
    </row>
    <row r="13" spans="1:16" ht="25.5">
      <c r="A13" s="13" t="s">
        <v>67</v>
      </c>
      <c r="B13" s="14" t="s">
        <v>185</v>
      </c>
      <c r="C13" s="15">
        <f>SUM(C14:C19)</f>
        <v>7607166</v>
      </c>
      <c r="D13" s="15">
        <f t="shared" ref="D13" si="5">SUM(D14:D19)</f>
        <v>0</v>
      </c>
      <c r="E13" s="15">
        <f t="shared" ref="E13" si="6">SUM(E14:E19)</f>
        <v>0</v>
      </c>
      <c r="F13" s="15">
        <f t="shared" si="0"/>
        <v>0</v>
      </c>
      <c r="G13" s="15">
        <f t="shared" ref="G13" si="7">SUM(G14:G19)</f>
        <v>0</v>
      </c>
      <c r="H13" s="124" t="e">
        <f t="shared" si="1"/>
        <v>#DIV/0!</v>
      </c>
    </row>
    <row r="14" spans="1:16">
      <c r="A14" s="13" t="s">
        <v>69</v>
      </c>
      <c r="B14" s="14" t="s">
        <v>186</v>
      </c>
      <c r="C14" s="15">
        <v>231818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16" ht="38.25">
      <c r="A15" s="13" t="s">
        <v>73</v>
      </c>
      <c r="B15" s="14" t="s">
        <v>187</v>
      </c>
      <c r="C15" s="15">
        <v>6991590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16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>
        <v>381758</v>
      </c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>
        <v>2000</v>
      </c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>C12+C13</f>
        <v>90999653</v>
      </c>
      <c r="D20" s="18">
        <f t="shared" ref="D20" si="8">D12+D13</f>
        <v>84892514</v>
      </c>
      <c r="E20" s="18">
        <f t="shared" ref="E20:G20" si="9">E12+E13</f>
        <v>12611911</v>
      </c>
      <c r="F20" s="18">
        <f t="shared" si="0"/>
        <v>97504425</v>
      </c>
      <c r="G20" s="18">
        <f t="shared" si="9"/>
        <v>52320762</v>
      </c>
      <c r="H20" s="125">
        <f t="shared" si="1"/>
        <v>0.53659884666772817</v>
      </c>
    </row>
    <row r="21" spans="1:8" ht="25.5">
      <c r="A21" s="13" t="s">
        <v>87</v>
      </c>
      <c r="B21" s="14" t="s">
        <v>194</v>
      </c>
      <c r="C21" s="15">
        <v>0</v>
      </c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>SUM(C21)</f>
        <v>0</v>
      </c>
      <c r="D22" s="18">
        <f t="shared" ref="D22" si="10">SUM(D21)</f>
        <v>0</v>
      </c>
      <c r="E22" s="18">
        <f t="shared" ref="E22" si="11">SUM(E21)</f>
        <v>0</v>
      </c>
      <c r="F22" s="18">
        <f t="shared" si="0"/>
        <v>0</v>
      </c>
      <c r="G22" s="18">
        <f t="shared" ref="G22" si="12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>
        <v>0</v>
      </c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>SUM(C23)</f>
        <v>0</v>
      </c>
      <c r="D25" s="15">
        <f t="shared" ref="D25" si="13">SUM(D23)</f>
        <v>0</v>
      </c>
      <c r="E25" s="15">
        <f t="shared" ref="E25:G25" si="14">SUM(E23)</f>
        <v>0</v>
      </c>
      <c r="F25" s="15">
        <f t="shared" si="0"/>
        <v>0</v>
      </c>
      <c r="G25" s="15">
        <f t="shared" si="14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>SUM(C27)</f>
        <v>0</v>
      </c>
      <c r="D26" s="15">
        <f t="shared" ref="D26" si="15">SUM(D27)</f>
        <v>0</v>
      </c>
      <c r="E26" s="15">
        <f t="shared" ref="E26" si="16">SUM(E27)</f>
        <v>0</v>
      </c>
      <c r="F26" s="15">
        <f t="shared" si="0"/>
        <v>0</v>
      </c>
      <c r="G26" s="15">
        <f t="shared" ref="G26" si="17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>SUM(C29)</f>
        <v>0</v>
      </c>
      <c r="D28" s="15">
        <f t="shared" ref="D28" si="18">SUM(D29)</f>
        <v>0</v>
      </c>
      <c r="E28" s="15">
        <f t="shared" ref="E28" si="19">SUM(E29)</f>
        <v>0</v>
      </c>
      <c r="F28" s="15">
        <f t="shared" si="0"/>
        <v>0</v>
      </c>
      <c r="G28" s="15">
        <f t="shared" ref="G28" si="20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>
        <v>0</v>
      </c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>SUM(C31)</f>
        <v>0</v>
      </c>
      <c r="D30" s="15">
        <f t="shared" ref="D30" si="21">SUM(D31)</f>
        <v>0</v>
      </c>
      <c r="E30" s="15">
        <f t="shared" ref="E30" si="22">SUM(E31)</f>
        <v>0</v>
      </c>
      <c r="F30" s="15">
        <f t="shared" si="0"/>
        <v>0</v>
      </c>
      <c r="G30" s="15">
        <f t="shared" ref="G30" si="23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>
        <v>0</v>
      </c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>C28+C30</f>
        <v>0</v>
      </c>
      <c r="D32" s="15">
        <f t="shared" ref="D32" si="24">D28+D30</f>
        <v>0</v>
      </c>
      <c r="E32" s="15">
        <f t="shared" ref="E32:G32" si="25">E28+E30</f>
        <v>0</v>
      </c>
      <c r="F32" s="15">
        <f t="shared" si="0"/>
        <v>0</v>
      </c>
      <c r="G32" s="15">
        <f t="shared" si="25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>SUM(C34:C35)</f>
        <v>0</v>
      </c>
      <c r="D33" s="15">
        <f t="shared" ref="D33" si="26">SUM(D34:D35)</f>
        <v>0</v>
      </c>
      <c r="E33" s="15">
        <f t="shared" ref="E33" si="27">SUM(E34:E35)</f>
        <v>0</v>
      </c>
      <c r="F33" s="15">
        <f t="shared" si="0"/>
        <v>0</v>
      </c>
      <c r="G33" s="15">
        <f t="shared" ref="G33" si="2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>C25+C26+C32+C33</f>
        <v>0</v>
      </c>
      <c r="D36" s="18">
        <f t="shared" ref="D36" si="29">D25+D26+D32+D33</f>
        <v>0</v>
      </c>
      <c r="E36" s="18">
        <f t="shared" ref="E36:G36" si="30">E25+E26+E32+E33</f>
        <v>0</v>
      </c>
      <c r="F36" s="18">
        <f t="shared" si="0"/>
        <v>0</v>
      </c>
      <c r="G36" s="18">
        <f t="shared" si="30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>
        <v>48804</v>
      </c>
      <c r="D37" s="15">
        <v>25000</v>
      </c>
      <c r="E37" s="15"/>
      <c r="F37" s="15">
        <f t="shared" si="0"/>
        <v>25000</v>
      </c>
      <c r="G37" s="15">
        <v>8543</v>
      </c>
      <c r="H37" s="124">
        <f t="shared" si="1"/>
        <v>0.34172000000000002</v>
      </c>
    </row>
    <row r="38" spans="1:8">
      <c r="A38" s="13" t="s">
        <v>135</v>
      </c>
      <c r="B38" s="14" t="s">
        <v>225</v>
      </c>
      <c r="C38" s="15">
        <v>135266</v>
      </c>
      <c r="D38" s="15">
        <v>250000</v>
      </c>
      <c r="E38" s="15"/>
      <c r="F38" s="15">
        <f t="shared" si="0"/>
        <v>250000</v>
      </c>
      <c r="G38" s="15">
        <v>47674</v>
      </c>
      <c r="H38" s="124">
        <f t="shared" si="1"/>
        <v>0.190696</v>
      </c>
    </row>
    <row r="39" spans="1:8" ht="25.5">
      <c r="A39" s="13" t="s">
        <v>226</v>
      </c>
      <c r="B39" s="14" t="s">
        <v>227</v>
      </c>
      <c r="C39" s="15">
        <v>1571832</v>
      </c>
      <c r="D39" s="15">
        <v>1500000</v>
      </c>
      <c r="E39" s="15">
        <f>500000+500000-45000</f>
        <v>955000</v>
      </c>
      <c r="F39" s="15">
        <f t="shared" si="0"/>
        <v>2455000</v>
      </c>
      <c r="G39" s="15">
        <v>606574</v>
      </c>
      <c r="H39" s="124">
        <f t="shared" si="1"/>
        <v>0.24707698574338086</v>
      </c>
    </row>
    <row r="40" spans="1:8">
      <c r="A40" s="13" t="s">
        <v>228</v>
      </c>
      <c r="B40" s="14" t="s">
        <v>229</v>
      </c>
      <c r="C40" s="15">
        <v>0</v>
      </c>
      <c r="D40" s="15">
        <v>0</v>
      </c>
      <c r="E40" s="15">
        <v>0</v>
      </c>
      <c r="F40" s="15">
        <f t="shared" si="0"/>
        <v>0</v>
      </c>
      <c r="G40" s="15">
        <v>24657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>
        <v>0</v>
      </c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>
        <v>408766</v>
      </c>
      <c r="D42" s="15">
        <v>465000</v>
      </c>
      <c r="E42" s="15">
        <f>135000+135000</f>
        <v>270000</v>
      </c>
      <c r="F42" s="15">
        <f t="shared" si="0"/>
        <v>735000</v>
      </c>
      <c r="G42" s="15">
        <f>144673+2909</f>
        <v>147582</v>
      </c>
      <c r="H42" s="124">
        <f t="shared" si="1"/>
        <v>0.20079183673469389</v>
      </c>
    </row>
    <row r="43" spans="1:8" s="122" customFormat="1" ht="25.5">
      <c r="A43" s="13">
        <v>204</v>
      </c>
      <c r="B43" s="19" t="s">
        <v>464</v>
      </c>
      <c r="C43" s="15"/>
      <c r="D43" s="15"/>
      <c r="E43" s="15">
        <v>530200</v>
      </c>
      <c r="F43" s="15">
        <f t="shared" si="0"/>
        <v>530200</v>
      </c>
      <c r="G43" s="15">
        <v>530200</v>
      </c>
      <c r="H43" s="124">
        <f t="shared" si="1"/>
        <v>1</v>
      </c>
    </row>
    <row r="44" spans="1:8" ht="25.5">
      <c r="A44" s="13" t="s">
        <v>155</v>
      </c>
      <c r="B44" s="14" t="s">
        <v>232</v>
      </c>
      <c r="C44" s="15">
        <v>996227</v>
      </c>
      <c r="D44" s="15">
        <v>1000000</v>
      </c>
      <c r="E44" s="15">
        <v>-614347</v>
      </c>
      <c r="F44" s="15">
        <f t="shared" si="0"/>
        <v>385653</v>
      </c>
      <c r="G44" s="15">
        <v>42973</v>
      </c>
      <c r="H44" s="124">
        <f t="shared" si="1"/>
        <v>0.111429186341089</v>
      </c>
    </row>
    <row r="45" spans="1:8" ht="25.5">
      <c r="A45" s="13" t="s">
        <v>233</v>
      </c>
      <c r="B45" s="14" t="s">
        <v>234</v>
      </c>
      <c r="C45" s="15">
        <f>SUM(C43:C44)</f>
        <v>996227</v>
      </c>
      <c r="D45" s="15">
        <f t="shared" ref="D45:G45" si="31">SUM(D43:D44)</f>
        <v>1000000</v>
      </c>
      <c r="E45" s="15">
        <f t="shared" si="31"/>
        <v>-84147</v>
      </c>
      <c r="F45" s="15">
        <f t="shared" si="31"/>
        <v>915853</v>
      </c>
      <c r="G45" s="15">
        <f t="shared" si="31"/>
        <v>573173</v>
      </c>
      <c r="H45" s="124">
        <f t="shared" si="1"/>
        <v>0.62583515040077398</v>
      </c>
    </row>
    <row r="46" spans="1:8">
      <c r="A46" s="13" t="s">
        <v>235</v>
      </c>
      <c r="B46" s="14" t="s">
        <v>236</v>
      </c>
      <c r="C46" s="15">
        <v>62</v>
      </c>
      <c r="D46" s="15"/>
      <c r="E46" s="15">
        <v>99228</v>
      </c>
      <c r="F46" s="15">
        <f t="shared" si="0"/>
        <v>99228</v>
      </c>
      <c r="G46" s="15">
        <f>80888+12134</f>
        <v>93022</v>
      </c>
      <c r="H46" s="124">
        <f t="shared" si="1"/>
        <v>0.93745716934736167</v>
      </c>
    </row>
    <row r="47" spans="1:8" ht="38.25">
      <c r="A47" s="16" t="s">
        <v>237</v>
      </c>
      <c r="B47" s="17" t="s">
        <v>238</v>
      </c>
      <c r="C47" s="18">
        <f>C37+C38+C39+C40+C41+C42+C45+C46</f>
        <v>3160957</v>
      </c>
      <c r="D47" s="18">
        <f t="shared" ref="D47" si="32">D37+D38+D39+D40+D41+D42+D45+D46</f>
        <v>3240000</v>
      </c>
      <c r="E47" s="18">
        <f t="shared" ref="E47" si="33">E37+E38+E39+E40+E41+E42+E45+E46</f>
        <v>1240081</v>
      </c>
      <c r="F47" s="18">
        <f t="shared" si="0"/>
        <v>4480081</v>
      </c>
      <c r="G47" s="18">
        <f t="shared" ref="G47" si="34">G37+G38+G39+G40+G41+G42+G45+G46</f>
        <v>1501225</v>
      </c>
      <c r="H47" s="125">
        <f t="shared" si="1"/>
        <v>0.33508880754611359</v>
      </c>
    </row>
    <row r="48" spans="1:8">
      <c r="A48" s="13" t="s">
        <v>239</v>
      </c>
      <c r="B48" s="14" t="s">
        <v>240</v>
      </c>
      <c r="C48" s="15">
        <v>0</v>
      </c>
      <c r="D48" s="15">
        <v>0</v>
      </c>
      <c r="E48" s="15">
        <v>365000</v>
      </c>
      <c r="F48" s="15">
        <f t="shared" si="0"/>
        <v>365000</v>
      </c>
      <c r="G48" s="15">
        <v>365000</v>
      </c>
      <c r="H48" s="124">
        <f t="shared" si="1"/>
        <v>1</v>
      </c>
    </row>
    <row r="49" spans="1:8" ht="25.5">
      <c r="A49" s="16" t="s">
        <v>241</v>
      </c>
      <c r="B49" s="17" t="s">
        <v>242</v>
      </c>
      <c r="C49" s="18">
        <f>SUM(C48)</f>
        <v>0</v>
      </c>
      <c r="D49" s="18">
        <f t="shared" ref="D49" si="35">SUM(D48)</f>
        <v>0</v>
      </c>
      <c r="E49" s="18">
        <f t="shared" ref="E49" si="36">SUM(E48)</f>
        <v>365000</v>
      </c>
      <c r="F49" s="18">
        <f t="shared" si="0"/>
        <v>365000</v>
      </c>
      <c r="G49" s="18">
        <f t="shared" ref="G49" si="37">SUM(G48)</f>
        <v>365000</v>
      </c>
      <c r="H49" s="125">
        <f t="shared" si="1"/>
        <v>1</v>
      </c>
    </row>
    <row r="50" spans="1:8" s="122" customFormat="1" ht="25.5">
      <c r="A50" s="16">
        <v>231</v>
      </c>
      <c r="B50" s="17" t="s">
        <v>460</v>
      </c>
      <c r="C50" s="18">
        <f>SUM(C51)</f>
        <v>0</v>
      </c>
      <c r="D50" s="18">
        <f t="shared" ref="D50:G50" si="38">SUM(D51)</f>
        <v>0</v>
      </c>
      <c r="E50" s="18">
        <f t="shared" si="38"/>
        <v>0</v>
      </c>
      <c r="F50" s="18">
        <f t="shared" si="38"/>
        <v>0</v>
      </c>
      <c r="G50" s="18">
        <f t="shared" si="38"/>
        <v>0</v>
      </c>
      <c r="H50" s="125" t="e">
        <f t="shared" si="1"/>
        <v>#DIV/0!</v>
      </c>
    </row>
    <row r="51" spans="1:8" s="130" customFormat="1" ht="38.25">
      <c r="A51" s="20">
        <v>232</v>
      </c>
      <c r="B51" s="19" t="s">
        <v>459</v>
      </c>
      <c r="C51" s="129"/>
      <c r="D51" s="129"/>
      <c r="E51" s="129"/>
      <c r="F51" s="129">
        <f>SUM(D51:E51)</f>
        <v>0</v>
      </c>
      <c r="G51" s="129">
        <v>0</v>
      </c>
      <c r="H51" s="125" t="e">
        <f t="shared" si="1"/>
        <v>#DIV/0!</v>
      </c>
    </row>
    <row r="52" spans="1:8" ht="25.5">
      <c r="A52" s="13" t="s">
        <v>243</v>
      </c>
      <c r="B52" s="14" t="s">
        <v>244</v>
      </c>
      <c r="C52" s="15">
        <f>SUM(C53:C55)</f>
        <v>167042</v>
      </c>
      <c r="D52" s="15">
        <f t="shared" ref="D52" si="39">SUM(D53:D55)</f>
        <v>300000</v>
      </c>
      <c r="E52" s="15">
        <f t="shared" ref="E52" si="40">SUM(E53:E55)</f>
        <v>0</v>
      </c>
      <c r="F52" s="15">
        <f t="shared" si="0"/>
        <v>300000</v>
      </c>
      <c r="G52" s="15">
        <f t="shared" ref="G52" si="41">SUM(G53:G55)</f>
        <v>60000</v>
      </c>
      <c r="H52" s="124">
        <f t="shared" si="1"/>
        <v>0.2</v>
      </c>
    </row>
    <row r="53" spans="1:8">
      <c r="A53" s="13" t="s">
        <v>245</v>
      </c>
      <c r="B53" s="14" t="s">
        <v>246</v>
      </c>
      <c r="C53" s="15">
        <v>31470</v>
      </c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247</v>
      </c>
      <c r="B54" s="14" t="s">
        <v>248</v>
      </c>
      <c r="C54" s="15">
        <v>135572</v>
      </c>
      <c r="D54" s="15">
        <v>300000</v>
      </c>
      <c r="E54" s="15"/>
      <c r="F54" s="15">
        <f t="shared" si="0"/>
        <v>300000</v>
      </c>
      <c r="G54" s="15">
        <v>60000</v>
      </c>
      <c r="H54" s="124">
        <f t="shared" si="1"/>
        <v>0.2</v>
      </c>
    </row>
    <row r="55" spans="1:8">
      <c r="A55" s="13" t="s">
        <v>249</v>
      </c>
      <c r="B55" s="14" t="s">
        <v>250</v>
      </c>
      <c r="C55" s="15">
        <v>0</v>
      </c>
      <c r="D55" s="15">
        <v>0</v>
      </c>
      <c r="E55" s="15">
        <v>0</v>
      </c>
      <c r="F55" s="15">
        <f t="shared" si="0"/>
        <v>0</v>
      </c>
      <c r="G55" s="15">
        <v>0</v>
      </c>
      <c r="H55" s="124" t="e">
        <f t="shared" si="1"/>
        <v>#DIV/0!</v>
      </c>
    </row>
    <row r="56" spans="1:8" ht="25.5">
      <c r="A56" s="16" t="s">
        <v>251</v>
      </c>
      <c r="B56" s="17" t="s">
        <v>252</v>
      </c>
      <c r="C56" s="18">
        <f>C52+C50</f>
        <v>167042</v>
      </c>
      <c r="D56" s="18">
        <f t="shared" ref="D56:G56" si="42">D52+D50</f>
        <v>300000</v>
      </c>
      <c r="E56" s="18">
        <f t="shared" si="42"/>
        <v>0</v>
      </c>
      <c r="F56" s="18">
        <f t="shared" si="42"/>
        <v>300000</v>
      </c>
      <c r="G56" s="18">
        <f t="shared" si="42"/>
        <v>60000</v>
      </c>
      <c r="H56" s="124">
        <f t="shared" si="1"/>
        <v>0.2</v>
      </c>
    </row>
    <row r="57" spans="1:8" ht="25.5">
      <c r="A57" s="16" t="s">
        <v>253</v>
      </c>
      <c r="B57" s="17" t="s">
        <v>254</v>
      </c>
      <c r="C57" s="18">
        <f>C56+C47+C49+C36+C20+C22</f>
        <v>94327652</v>
      </c>
      <c r="D57" s="18">
        <f t="shared" ref="D57" si="43">D56+D47+D49+D36+D20+D22</f>
        <v>88432514</v>
      </c>
      <c r="E57" s="18">
        <f t="shared" ref="E57" si="44">E56+E47+E49+E36+E20+E22</f>
        <v>14216992</v>
      </c>
      <c r="F57" s="18">
        <f t="shared" si="0"/>
        <v>102649506</v>
      </c>
      <c r="G57" s="18">
        <f t="shared" ref="G57" si="45">G56+G47+G49+G36+G20+G22</f>
        <v>54246987</v>
      </c>
      <c r="H57" s="125">
        <f t="shared" si="1"/>
        <v>0.52846807660233652</v>
      </c>
    </row>
    <row r="58" spans="1:8" s="130" customFormat="1" ht="25.5">
      <c r="A58" s="20">
        <v>294</v>
      </c>
      <c r="B58" s="19" t="s">
        <v>465</v>
      </c>
      <c r="C58" s="129"/>
      <c r="D58" s="129"/>
      <c r="E58" s="129"/>
      <c r="F58" s="15">
        <f t="shared" si="0"/>
        <v>0</v>
      </c>
      <c r="G58" s="129"/>
      <c r="H58" s="124" t="e">
        <f t="shared" si="1"/>
        <v>#DIV/0!</v>
      </c>
    </row>
    <row r="59" spans="1:8" ht="25.5">
      <c r="A59" s="13" t="s">
        <v>255</v>
      </c>
      <c r="B59" s="14" t="s">
        <v>256</v>
      </c>
      <c r="C59" s="15">
        <v>75759580</v>
      </c>
      <c r="D59" s="15">
        <v>25553000</v>
      </c>
      <c r="E59" s="15">
        <f>-1376170-7139277-1165938-75240+533+1476170-1376170-100+149000-20000</f>
        <v>-9527192</v>
      </c>
      <c r="F59" s="15">
        <f t="shared" si="0"/>
        <v>16025808</v>
      </c>
      <c r="G59" s="15">
        <v>16025808</v>
      </c>
      <c r="H59" s="124">
        <f t="shared" si="1"/>
        <v>1</v>
      </c>
    </row>
    <row r="60" spans="1:8">
      <c r="A60" s="13" t="s">
        <v>163</v>
      </c>
      <c r="B60" s="14" t="s">
        <v>257</v>
      </c>
      <c r="C60" s="15">
        <f>SUM(C59)</f>
        <v>75759580</v>
      </c>
      <c r="D60" s="15">
        <f t="shared" ref="D60" si="46">SUM(D59)</f>
        <v>25553000</v>
      </c>
      <c r="E60" s="15">
        <f t="shared" ref="E60" si="47">SUM(E59)</f>
        <v>-9527192</v>
      </c>
      <c r="F60" s="15">
        <f t="shared" si="0"/>
        <v>16025808</v>
      </c>
      <c r="G60" s="15">
        <f t="shared" ref="G60" si="48">SUM(G59)</f>
        <v>16025808</v>
      </c>
      <c r="H60" s="124">
        <f t="shared" si="1"/>
        <v>1</v>
      </c>
    </row>
    <row r="61" spans="1:8">
      <c r="A61" s="13" t="s">
        <v>258</v>
      </c>
      <c r="B61" s="14" t="s">
        <v>259</v>
      </c>
      <c r="C61" s="15">
        <v>15066223</v>
      </c>
      <c r="D61" s="15">
        <v>4105000</v>
      </c>
      <c r="E61" s="15">
        <v>909193</v>
      </c>
      <c r="F61" s="15">
        <f t="shared" si="0"/>
        <v>5014193</v>
      </c>
      <c r="G61" s="15">
        <v>908477</v>
      </c>
      <c r="H61" s="124">
        <f t="shared" si="1"/>
        <v>0.18118109933143778</v>
      </c>
    </row>
    <row r="62" spans="1:8">
      <c r="A62" s="13">
        <v>300</v>
      </c>
      <c r="B62" s="19" t="s">
        <v>412</v>
      </c>
      <c r="C62" s="15"/>
      <c r="D62" s="15"/>
      <c r="E62" s="15"/>
      <c r="F62" s="15"/>
      <c r="G62" s="15"/>
      <c r="H62" s="124"/>
    </row>
    <row r="63" spans="1:8" ht="25.5">
      <c r="A63" s="13" t="s">
        <v>260</v>
      </c>
      <c r="B63" s="14" t="s">
        <v>261</v>
      </c>
      <c r="C63" s="15">
        <f>C58+C60+C61+C62</f>
        <v>90825803</v>
      </c>
      <c r="D63" s="15">
        <f t="shared" ref="D63:G63" si="49">D58+D60+D61+D62</f>
        <v>29658000</v>
      </c>
      <c r="E63" s="15">
        <f t="shared" si="49"/>
        <v>-8617999</v>
      </c>
      <c r="F63" s="15">
        <f t="shared" si="49"/>
        <v>21040001</v>
      </c>
      <c r="G63" s="15">
        <f t="shared" si="49"/>
        <v>16934285</v>
      </c>
      <c r="H63" s="124">
        <f t="shared" si="1"/>
        <v>0.80486141611875395</v>
      </c>
    </row>
    <row r="64" spans="1:8" ht="25.5">
      <c r="A64" s="16" t="s">
        <v>262</v>
      </c>
      <c r="B64" s="17" t="s">
        <v>263</v>
      </c>
      <c r="C64" s="18">
        <f>SUM(C63)</f>
        <v>90825803</v>
      </c>
      <c r="D64" s="18">
        <f t="shared" ref="D64" si="50">SUM(D63)</f>
        <v>29658000</v>
      </c>
      <c r="E64" s="18">
        <f t="shared" ref="E64" si="51">SUM(E63)</f>
        <v>-8617999</v>
      </c>
      <c r="F64" s="18">
        <f t="shared" si="0"/>
        <v>21040001</v>
      </c>
      <c r="G64" s="18">
        <f t="shared" ref="G64" si="52">SUM(G63)</f>
        <v>16934285</v>
      </c>
      <c r="H64" s="125">
        <f t="shared" si="1"/>
        <v>0.80486141611875395</v>
      </c>
    </row>
    <row r="65" spans="1:8">
      <c r="A65" s="16" t="s">
        <v>264</v>
      </c>
      <c r="B65" s="17" t="s">
        <v>265</v>
      </c>
      <c r="C65" s="18">
        <f>C57+C64</f>
        <v>185153455</v>
      </c>
      <c r="D65" s="18">
        <f t="shared" ref="D65" si="53">D57+D64</f>
        <v>118090514</v>
      </c>
      <c r="E65" s="18">
        <f t="shared" ref="E65" si="54">E57+E64</f>
        <v>5598993</v>
      </c>
      <c r="F65" s="18">
        <f t="shared" si="0"/>
        <v>123689507</v>
      </c>
      <c r="G65" s="18">
        <f t="shared" ref="G65" si="55">G57+G64</f>
        <v>71181272</v>
      </c>
      <c r="H65" s="125">
        <f t="shared" si="1"/>
        <v>0.57548351292240174</v>
      </c>
    </row>
    <row r="67" spans="1:8" ht="45">
      <c r="A67" s="12" t="s">
        <v>0</v>
      </c>
      <c r="B67" s="12" t="s">
        <v>1</v>
      </c>
      <c r="C67" s="12" t="s">
        <v>269</v>
      </c>
      <c r="D67" s="12" t="s">
        <v>270</v>
      </c>
      <c r="E67" s="12" t="s">
        <v>271</v>
      </c>
      <c r="F67" s="12" t="s">
        <v>457</v>
      </c>
      <c r="G67" s="12" t="s">
        <v>273</v>
      </c>
      <c r="H67" s="123" t="s">
        <v>274</v>
      </c>
    </row>
    <row r="68" spans="1:8" ht="25.5">
      <c r="A68" s="13" t="s">
        <v>31</v>
      </c>
      <c r="B68" s="14" t="s">
        <v>32</v>
      </c>
      <c r="C68" s="15">
        <v>300597</v>
      </c>
      <c r="D68" s="15"/>
      <c r="E68" s="15"/>
      <c r="F68" s="15">
        <f t="shared" si="0"/>
        <v>0</v>
      </c>
      <c r="G68" s="15">
        <v>0</v>
      </c>
      <c r="H68" s="124" t="e">
        <f t="shared" si="1"/>
        <v>#DIV/0!</v>
      </c>
    </row>
    <row r="69" spans="1:8" ht="25.5">
      <c r="A69" s="21" t="s">
        <v>178</v>
      </c>
      <c r="B69" s="14" t="s">
        <v>282</v>
      </c>
      <c r="C69" s="15"/>
      <c r="D69" s="15"/>
      <c r="E69" s="15"/>
      <c r="F69" s="15">
        <f t="shared" si="0"/>
        <v>0</v>
      </c>
      <c r="G69" s="15"/>
      <c r="H69" s="124"/>
    </row>
    <row r="70" spans="1:8">
      <c r="A70" s="13" t="s">
        <v>33</v>
      </c>
      <c r="B70" s="14" t="s">
        <v>34</v>
      </c>
      <c r="C70" s="15">
        <v>294000</v>
      </c>
      <c r="D70" s="15">
        <v>200000</v>
      </c>
      <c r="E70" s="15"/>
      <c r="F70" s="15">
        <f t="shared" si="0"/>
        <v>200000</v>
      </c>
      <c r="G70" s="15"/>
      <c r="H70" s="124">
        <f t="shared" si="1"/>
        <v>0</v>
      </c>
    </row>
    <row r="71" spans="1:8">
      <c r="A71" s="13" t="s">
        <v>35</v>
      </c>
      <c r="B71" s="14" t="s">
        <v>36</v>
      </c>
      <c r="C71" s="15">
        <v>15183</v>
      </c>
      <c r="D71" s="15">
        <v>10000</v>
      </c>
      <c r="E71" s="15"/>
      <c r="F71" s="15">
        <f t="shared" si="0"/>
        <v>10000</v>
      </c>
      <c r="G71" s="15"/>
      <c r="H71" s="124">
        <f t="shared" si="1"/>
        <v>0</v>
      </c>
    </row>
    <row r="72" spans="1:8">
      <c r="A72" s="13" t="s">
        <v>37</v>
      </c>
      <c r="B72" s="14" t="s">
        <v>38</v>
      </c>
      <c r="C72" s="15">
        <v>0</v>
      </c>
      <c r="D72" s="15"/>
      <c r="E72" s="15"/>
      <c r="F72" s="15">
        <f t="shared" si="0"/>
        <v>0</v>
      </c>
      <c r="G72" s="15"/>
      <c r="H72" s="124" t="e">
        <f t="shared" si="1"/>
        <v>#DIV/0!</v>
      </c>
    </row>
    <row r="73" spans="1:8" ht="25.5">
      <c r="A73" s="13" t="s">
        <v>39</v>
      </c>
      <c r="B73" s="14" t="s">
        <v>40</v>
      </c>
      <c r="C73" s="15">
        <v>0</v>
      </c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25.5">
      <c r="A74" s="13" t="s">
        <v>41</v>
      </c>
      <c r="B74" s="14" t="s">
        <v>42</v>
      </c>
      <c r="C74" s="15">
        <f>SUM(C68:C73)</f>
        <v>609780</v>
      </c>
      <c r="D74" s="15">
        <f t="shared" ref="D74" si="56">SUM(D68:D73)</f>
        <v>210000</v>
      </c>
      <c r="E74" s="15">
        <f t="shared" ref="E74" si="57">SUM(E68:E73)</f>
        <v>0</v>
      </c>
      <c r="F74" s="15">
        <f t="shared" si="0"/>
        <v>210000</v>
      </c>
      <c r="G74" s="15">
        <f t="shared" ref="G74" si="58">SUM(G68:G73)</f>
        <v>0</v>
      </c>
      <c r="H74" s="124">
        <f t="shared" si="1"/>
        <v>0</v>
      </c>
    </row>
    <row r="75" spans="1:8">
      <c r="A75" s="13" t="s">
        <v>43</v>
      </c>
      <c r="B75" s="14" t="s">
        <v>44</v>
      </c>
      <c r="C75" s="15">
        <v>9129590</v>
      </c>
      <c r="D75" s="15">
        <v>10215000</v>
      </c>
      <c r="E75" s="15"/>
      <c r="F75" s="15">
        <f t="shared" si="0"/>
        <v>10215000</v>
      </c>
      <c r="G75" s="15">
        <v>5156102</v>
      </c>
      <c r="H75" s="124">
        <f t="shared" si="1"/>
        <v>0.50475790504160545</v>
      </c>
    </row>
    <row r="76" spans="1:8" ht="38.25">
      <c r="A76" s="13" t="s">
        <v>45</v>
      </c>
      <c r="B76" s="14" t="s">
        <v>46</v>
      </c>
      <c r="C76" s="15">
        <v>980007</v>
      </c>
      <c r="D76" s="15">
        <v>500000</v>
      </c>
      <c r="E76" s="15">
        <v>-146750</v>
      </c>
      <c r="F76" s="15">
        <f t="shared" si="0"/>
        <v>353250</v>
      </c>
      <c r="G76" s="15">
        <v>339560</v>
      </c>
      <c r="H76" s="124">
        <f t="shared" si="1"/>
        <v>0.96124557678697808</v>
      </c>
    </row>
    <row r="77" spans="1:8">
      <c r="A77" s="13" t="s">
        <v>47</v>
      </c>
      <c r="B77" s="14" t="s">
        <v>48</v>
      </c>
      <c r="C77" s="15">
        <v>399415</v>
      </c>
      <c r="D77" s="15">
        <v>200000</v>
      </c>
      <c r="E77" s="15"/>
      <c r="F77" s="15">
        <f t="shared" ref="F77:F144" si="59">SUM(D77:E77)</f>
        <v>200000</v>
      </c>
      <c r="G77" s="15">
        <v>157609</v>
      </c>
      <c r="H77" s="124">
        <f t="shared" ref="H77:H144" si="60">G77/F77</f>
        <v>0.788045</v>
      </c>
    </row>
    <row r="78" spans="1:8">
      <c r="A78" s="13" t="s">
        <v>49</v>
      </c>
      <c r="B78" s="14" t="s">
        <v>50</v>
      </c>
      <c r="C78" s="15">
        <f>SUM(C75:C77)</f>
        <v>10509012</v>
      </c>
      <c r="D78" s="15">
        <f t="shared" ref="D78" si="61">SUM(D75:D77)</f>
        <v>10915000</v>
      </c>
      <c r="E78" s="15">
        <f t="shared" ref="E78" si="62">SUM(E75:E77)</f>
        <v>-146750</v>
      </c>
      <c r="F78" s="15">
        <f t="shared" si="59"/>
        <v>10768250</v>
      </c>
      <c r="G78" s="15">
        <f t="shared" ref="G78" si="63">SUM(G75:G77)</f>
        <v>5653271</v>
      </c>
      <c r="H78" s="124">
        <f t="shared" si="60"/>
        <v>0.52499440484758431</v>
      </c>
    </row>
    <row r="79" spans="1:8">
      <c r="A79" s="16" t="s">
        <v>51</v>
      </c>
      <c r="B79" s="17" t="s">
        <v>52</v>
      </c>
      <c r="C79" s="18">
        <f>C74+C78</f>
        <v>11118792</v>
      </c>
      <c r="D79" s="18">
        <f t="shared" ref="D79" si="64">D74+D78</f>
        <v>11125000</v>
      </c>
      <c r="E79" s="18">
        <f t="shared" ref="E79" si="65">E74+E78</f>
        <v>-146750</v>
      </c>
      <c r="F79" s="18">
        <f t="shared" si="59"/>
        <v>10978250</v>
      </c>
      <c r="G79" s="18">
        <f t="shared" ref="G79" si="66">G74+G78</f>
        <v>5653271</v>
      </c>
      <c r="H79" s="125">
        <f t="shared" si="60"/>
        <v>0.51495192767517595</v>
      </c>
    </row>
    <row r="80" spans="1:8" ht="25.5">
      <c r="A80" s="16" t="s">
        <v>53</v>
      </c>
      <c r="B80" s="17" t="s">
        <v>54</v>
      </c>
      <c r="C80" s="18">
        <f>SUM(C81:C84)</f>
        <v>3015494</v>
      </c>
      <c r="D80" s="18">
        <f t="shared" ref="D80" si="67">SUM(D81:D84)</f>
        <v>2547000</v>
      </c>
      <c r="E80" s="18">
        <f t="shared" ref="E80" si="68">SUM(E81:E84)</f>
        <v>0</v>
      </c>
      <c r="F80" s="18">
        <f t="shared" si="59"/>
        <v>2547000</v>
      </c>
      <c r="G80" s="18">
        <f t="shared" ref="G80" si="69">SUM(G81:G84)</f>
        <v>1302755</v>
      </c>
      <c r="H80" s="125">
        <f t="shared" si="60"/>
        <v>0.51148606203376523</v>
      </c>
    </row>
    <row r="81" spans="1:8">
      <c r="A81" s="13" t="s">
        <v>55</v>
      </c>
      <c r="B81" s="14" t="s">
        <v>56</v>
      </c>
      <c r="C81" s="15">
        <v>2616068</v>
      </c>
      <c r="D81" s="15">
        <v>2357000</v>
      </c>
      <c r="E81" s="15"/>
      <c r="F81" s="15">
        <f t="shared" si="59"/>
        <v>2357000</v>
      </c>
      <c r="G81" s="15">
        <v>1130001</v>
      </c>
      <c r="H81" s="124">
        <f t="shared" si="60"/>
        <v>0.47942341960118795</v>
      </c>
    </row>
    <row r="82" spans="1:8">
      <c r="A82" s="13" t="s">
        <v>57</v>
      </c>
      <c r="B82" s="14" t="s">
        <v>58</v>
      </c>
      <c r="C82" s="15">
        <v>308049</v>
      </c>
      <c r="D82" s="15">
        <v>100000</v>
      </c>
      <c r="E82" s="15">
        <v>30000</v>
      </c>
      <c r="F82" s="15">
        <f t="shared" si="59"/>
        <v>130000</v>
      </c>
      <c r="G82" s="15">
        <v>129543</v>
      </c>
      <c r="H82" s="124">
        <f t="shared" si="60"/>
        <v>0.99648461538461541</v>
      </c>
    </row>
    <row r="83" spans="1:8">
      <c r="A83" s="13" t="s">
        <v>59</v>
      </c>
      <c r="B83" s="14" t="s">
        <v>60</v>
      </c>
      <c r="C83" s="15">
        <v>0</v>
      </c>
      <c r="D83" s="15"/>
      <c r="E83" s="15"/>
      <c r="F83" s="15">
        <f t="shared" si="59"/>
        <v>0</v>
      </c>
      <c r="G83" s="15"/>
      <c r="H83" s="124" t="e">
        <f t="shared" si="60"/>
        <v>#DIV/0!</v>
      </c>
    </row>
    <row r="84" spans="1:8" ht="25.5">
      <c r="A84" s="13" t="s">
        <v>61</v>
      </c>
      <c r="B84" s="14" t="s">
        <v>62</v>
      </c>
      <c r="C84" s="15">
        <v>91377</v>
      </c>
      <c r="D84" s="15">
        <v>90000</v>
      </c>
      <c r="E84" s="15">
        <v>-30000</v>
      </c>
      <c r="F84" s="15">
        <f t="shared" si="59"/>
        <v>60000</v>
      </c>
      <c r="G84" s="15">
        <v>43211</v>
      </c>
      <c r="H84" s="124">
        <f t="shared" si="60"/>
        <v>0.72018333333333329</v>
      </c>
    </row>
    <row r="85" spans="1:8">
      <c r="A85" s="13" t="s">
        <v>63</v>
      </c>
      <c r="B85" s="14" t="s">
        <v>64</v>
      </c>
      <c r="C85" s="15">
        <v>178993</v>
      </c>
      <c r="D85" s="15">
        <v>89960</v>
      </c>
      <c r="E85" s="15">
        <f>-30402-6170</f>
        <v>-36572</v>
      </c>
      <c r="F85" s="15">
        <f t="shared" si="59"/>
        <v>53388</v>
      </c>
      <c r="G85" s="15">
        <v>30625</v>
      </c>
      <c r="H85" s="124">
        <f t="shared" si="60"/>
        <v>0.57363077845208665</v>
      </c>
    </row>
    <row r="86" spans="1:8">
      <c r="A86" s="13" t="s">
        <v>65</v>
      </c>
      <c r="B86" s="14" t="s">
        <v>66</v>
      </c>
      <c r="C86" s="15">
        <v>1053222</v>
      </c>
      <c r="D86" s="15">
        <v>1100000</v>
      </c>
      <c r="E86" s="15">
        <f>-80000+5650</f>
        <v>-74350</v>
      </c>
      <c r="F86" s="15">
        <f t="shared" si="59"/>
        <v>1025650</v>
      </c>
      <c r="G86" s="15">
        <v>384485</v>
      </c>
      <c r="H86" s="124">
        <f t="shared" si="60"/>
        <v>0.37486959489104471</v>
      </c>
    </row>
    <row r="87" spans="1:8">
      <c r="A87" s="13" t="s">
        <v>67</v>
      </c>
      <c r="B87" s="14" t="s">
        <v>68</v>
      </c>
      <c r="C87" s="15">
        <f>SUM(C85:C86)</f>
        <v>1232215</v>
      </c>
      <c r="D87" s="15">
        <f t="shared" ref="D87" si="70">SUM(D85:D86)</f>
        <v>1189960</v>
      </c>
      <c r="E87" s="15">
        <f t="shared" ref="E87" si="71">SUM(E85:E86)</f>
        <v>-110922</v>
      </c>
      <c r="F87" s="15">
        <f t="shared" si="59"/>
        <v>1079038</v>
      </c>
      <c r="G87" s="15">
        <f t="shared" ref="G87" si="72">SUM(G85:G86)</f>
        <v>415110</v>
      </c>
      <c r="H87" s="124">
        <f t="shared" si="60"/>
        <v>0.38470378244325037</v>
      </c>
    </row>
    <row r="88" spans="1:8">
      <c r="A88" s="13" t="s">
        <v>69</v>
      </c>
      <c r="B88" s="14" t="s">
        <v>70</v>
      </c>
      <c r="C88" s="15">
        <v>1980337</v>
      </c>
      <c r="D88" s="15">
        <v>1000000</v>
      </c>
      <c r="E88" s="15">
        <f>200000+3600+5000+300000</f>
        <v>508600</v>
      </c>
      <c r="F88" s="15">
        <f t="shared" si="59"/>
        <v>1508600</v>
      </c>
      <c r="G88" s="15">
        <v>1117233</v>
      </c>
      <c r="H88" s="124">
        <f t="shared" si="60"/>
        <v>0.74057603075699319</v>
      </c>
    </row>
    <row r="89" spans="1:8">
      <c r="A89" s="13" t="s">
        <v>71</v>
      </c>
      <c r="B89" s="14" t="s">
        <v>72</v>
      </c>
      <c r="C89" s="15">
        <v>23379</v>
      </c>
      <c r="D89" s="15">
        <v>50000</v>
      </c>
      <c r="E89" s="15">
        <f>7475+8000</f>
        <v>15475</v>
      </c>
      <c r="F89" s="15">
        <f t="shared" si="59"/>
        <v>65475</v>
      </c>
      <c r="G89" s="15">
        <v>34982</v>
      </c>
      <c r="H89" s="124">
        <f t="shared" si="60"/>
        <v>0.53428025964108439</v>
      </c>
    </row>
    <row r="90" spans="1:8">
      <c r="A90" s="13" t="s">
        <v>73</v>
      </c>
      <c r="B90" s="14" t="s">
        <v>74</v>
      </c>
      <c r="C90" s="15">
        <f>SUM(C88:C89)</f>
        <v>2003716</v>
      </c>
      <c r="D90" s="15">
        <f t="shared" ref="D90" si="73">SUM(D88:D89)</f>
        <v>1050000</v>
      </c>
      <c r="E90" s="15">
        <f t="shared" ref="E90" si="74">SUM(E88:E89)</f>
        <v>524075</v>
      </c>
      <c r="F90" s="15">
        <f t="shared" si="59"/>
        <v>1574075</v>
      </c>
      <c r="G90" s="15">
        <f t="shared" ref="G90" si="75">SUM(G88:G89)</f>
        <v>1152215</v>
      </c>
      <c r="H90" s="124">
        <f t="shared" si="60"/>
        <v>0.73199498117942285</v>
      </c>
    </row>
    <row r="91" spans="1:8">
      <c r="A91" s="13" t="s">
        <v>75</v>
      </c>
      <c r="B91" s="14" t="s">
        <v>76</v>
      </c>
      <c r="C91" s="15">
        <v>5038</v>
      </c>
      <c r="D91" s="15"/>
      <c r="E91" s="15"/>
      <c r="F91" s="15">
        <f t="shared" si="59"/>
        <v>0</v>
      </c>
      <c r="G91" s="15">
        <f>-550765+551228-14968-1997+16502</f>
        <v>0</v>
      </c>
      <c r="H91" s="124" t="e">
        <f t="shared" si="60"/>
        <v>#DIV/0!</v>
      </c>
    </row>
    <row r="92" spans="1:8">
      <c r="A92" s="13" t="s">
        <v>77</v>
      </c>
      <c r="B92" s="14" t="s">
        <v>78</v>
      </c>
      <c r="C92" s="15">
        <v>0</v>
      </c>
      <c r="D92" s="15">
        <v>0</v>
      </c>
      <c r="E92" s="15">
        <v>0</v>
      </c>
      <c r="F92" s="15">
        <f t="shared" si="59"/>
        <v>0</v>
      </c>
      <c r="G92" s="15">
        <v>0</v>
      </c>
      <c r="H92" s="124" t="e">
        <f t="shared" si="60"/>
        <v>#DIV/0!</v>
      </c>
    </row>
    <row r="93" spans="1:8">
      <c r="A93" s="20" t="s">
        <v>276</v>
      </c>
      <c r="B93" s="19" t="s">
        <v>277</v>
      </c>
      <c r="C93" s="15"/>
      <c r="D93" s="15"/>
      <c r="E93" s="15"/>
      <c r="F93" s="15"/>
      <c r="G93" s="15"/>
      <c r="H93" s="124"/>
    </row>
    <row r="94" spans="1:8">
      <c r="A94" s="13" t="s">
        <v>79</v>
      </c>
      <c r="B94" s="14" t="s">
        <v>80</v>
      </c>
      <c r="C94" s="15">
        <v>0</v>
      </c>
      <c r="D94" s="15">
        <v>100000</v>
      </c>
      <c r="E94" s="15">
        <f>-5000-24000</f>
        <v>-29000</v>
      </c>
      <c r="F94" s="15">
        <f t="shared" si="59"/>
        <v>71000</v>
      </c>
      <c r="G94" s="15">
        <v>0</v>
      </c>
      <c r="H94" s="124">
        <f t="shared" si="60"/>
        <v>0</v>
      </c>
    </row>
    <row r="95" spans="1:8">
      <c r="A95" s="13" t="s">
        <v>81</v>
      </c>
      <c r="B95" s="14" t="s">
        <v>82</v>
      </c>
      <c r="C95" s="15">
        <v>1516241</v>
      </c>
      <c r="D95" s="15">
        <v>1500000</v>
      </c>
      <c r="E95" s="15">
        <f>500000+500000</f>
        <v>1000000</v>
      </c>
      <c r="F95" s="15">
        <f t="shared" si="59"/>
        <v>2500000</v>
      </c>
      <c r="G95" s="15">
        <f>1128965-16502</f>
        <v>1112463</v>
      </c>
      <c r="H95" s="124">
        <f t="shared" si="60"/>
        <v>0.44498520000000003</v>
      </c>
    </row>
    <row r="96" spans="1:8">
      <c r="A96" s="13" t="s">
        <v>83</v>
      </c>
      <c r="B96" s="14" t="s">
        <v>84</v>
      </c>
      <c r="C96" s="15">
        <v>1071205</v>
      </c>
      <c r="D96" s="15">
        <v>1200000</v>
      </c>
      <c r="E96" s="15"/>
      <c r="F96" s="15">
        <f t="shared" si="59"/>
        <v>1200000</v>
      </c>
      <c r="G96" s="15"/>
      <c r="H96" s="124">
        <f t="shared" si="60"/>
        <v>0</v>
      </c>
    </row>
    <row r="97" spans="1:8" ht="25.5">
      <c r="A97" s="13" t="s">
        <v>85</v>
      </c>
      <c r="B97" s="14" t="s">
        <v>86</v>
      </c>
      <c r="C97" s="15">
        <v>0</v>
      </c>
      <c r="D97" s="15"/>
      <c r="E97" s="15">
        <f>2000000-67284</f>
        <v>1932716</v>
      </c>
      <c r="F97" s="15">
        <f t="shared" si="59"/>
        <v>1932716</v>
      </c>
      <c r="G97" s="15">
        <v>1466700</v>
      </c>
      <c r="H97" s="124">
        <f t="shared" si="60"/>
        <v>0.75888024934858511</v>
      </c>
    </row>
    <row r="98" spans="1:8">
      <c r="A98" s="13" t="s">
        <v>87</v>
      </c>
      <c r="B98" s="14" t="s">
        <v>88</v>
      </c>
      <c r="C98" s="15">
        <f>3346706+25935</f>
        <v>3372641</v>
      </c>
      <c r="D98" s="15">
        <v>2750000</v>
      </c>
      <c r="E98" s="15">
        <f>-1000000-45000+133350-100000+55526-546-120161</f>
        <v>-1076831</v>
      </c>
      <c r="F98" s="15">
        <f t="shared" si="59"/>
        <v>1673169</v>
      </c>
      <c r="G98" s="15">
        <v>1092038</v>
      </c>
      <c r="H98" s="124">
        <f t="shared" si="60"/>
        <v>0.65267644810536174</v>
      </c>
    </row>
    <row r="99" spans="1:8">
      <c r="A99" s="13" t="s">
        <v>89</v>
      </c>
      <c r="B99" s="14" t="s">
        <v>90</v>
      </c>
      <c r="C99" s="15">
        <v>65133</v>
      </c>
      <c r="D99" s="15"/>
      <c r="E99" s="15"/>
      <c r="F99" s="15">
        <f t="shared" si="59"/>
        <v>0</v>
      </c>
      <c r="G99" s="15"/>
      <c r="H99" s="124" t="e">
        <f t="shared" si="60"/>
        <v>#DIV/0!</v>
      </c>
    </row>
    <row r="100" spans="1:8" ht="25.5">
      <c r="A100" s="13" t="s">
        <v>91</v>
      </c>
      <c r="B100" s="14" t="s">
        <v>92</v>
      </c>
      <c r="C100" s="15">
        <f>C91+C92+C94+C95+C97+C98+C93</f>
        <v>4893920</v>
      </c>
      <c r="D100" s="15">
        <f t="shared" ref="D100:G100" si="76">D91+D92+D94+D95+D97+D98+D93</f>
        <v>4350000</v>
      </c>
      <c r="E100" s="15">
        <f t="shared" si="76"/>
        <v>1826885</v>
      </c>
      <c r="F100" s="15">
        <f t="shared" si="76"/>
        <v>6176885</v>
      </c>
      <c r="G100" s="15">
        <f t="shared" si="76"/>
        <v>3671201</v>
      </c>
      <c r="H100" s="124">
        <f t="shared" si="60"/>
        <v>0.59434504608714589</v>
      </c>
    </row>
    <row r="101" spans="1:8">
      <c r="A101" s="13" t="s">
        <v>280</v>
      </c>
      <c r="B101" s="14" t="s">
        <v>281</v>
      </c>
      <c r="C101" s="15"/>
      <c r="D101" s="15"/>
      <c r="E101" s="15"/>
      <c r="F101" s="15"/>
      <c r="G101" s="15"/>
      <c r="H101" s="124"/>
    </row>
    <row r="102" spans="1:8">
      <c r="A102" s="13" t="s">
        <v>93</v>
      </c>
      <c r="B102" s="14" t="s">
        <v>94</v>
      </c>
      <c r="C102" s="15">
        <v>665071</v>
      </c>
      <c r="D102" s="15"/>
      <c r="E102" s="15">
        <f>198803+90000</f>
        <v>288803</v>
      </c>
      <c r="F102" s="15">
        <f t="shared" si="59"/>
        <v>288803</v>
      </c>
      <c r="G102" s="15">
        <v>198803</v>
      </c>
      <c r="H102" s="124">
        <f t="shared" si="60"/>
        <v>0.68836888813481856</v>
      </c>
    </row>
    <row r="103" spans="1:8" ht="25.5">
      <c r="A103" s="13" t="s">
        <v>95</v>
      </c>
      <c r="B103" s="14" t="s">
        <v>96</v>
      </c>
      <c r="C103" s="15">
        <f>SUM(C101:C102)</f>
        <v>665071</v>
      </c>
      <c r="D103" s="15">
        <f t="shared" ref="D103:H103" si="77">SUM(D101:D102)</f>
        <v>0</v>
      </c>
      <c r="E103" s="15">
        <f t="shared" si="77"/>
        <v>288803</v>
      </c>
      <c r="F103" s="15">
        <f t="shared" si="77"/>
        <v>288803</v>
      </c>
      <c r="G103" s="15">
        <f t="shared" si="77"/>
        <v>198803</v>
      </c>
      <c r="H103" s="124">
        <f t="shared" si="77"/>
        <v>0.68836888813481856</v>
      </c>
    </row>
    <row r="104" spans="1:8" ht="25.5">
      <c r="A104" s="13" t="s">
        <v>97</v>
      </c>
      <c r="B104" s="14" t="s">
        <v>98</v>
      </c>
      <c r="C104" s="15">
        <v>1665196</v>
      </c>
      <c r="D104" s="15">
        <v>1780000</v>
      </c>
      <c r="E104" s="15">
        <f>-23000+20000+8000-228918+145727-658499+39464</f>
        <v>-697226</v>
      </c>
      <c r="F104" s="15">
        <f t="shared" si="59"/>
        <v>1082774</v>
      </c>
      <c r="G104" s="15">
        <f>661628-4042</f>
        <v>657586</v>
      </c>
      <c r="H104" s="124">
        <f t="shared" si="60"/>
        <v>0.60731602347304237</v>
      </c>
    </row>
    <row r="105" spans="1:8" s="122" customFormat="1">
      <c r="A105" s="13">
        <v>52</v>
      </c>
      <c r="B105" s="14" t="s">
        <v>458</v>
      </c>
      <c r="C105" s="15"/>
      <c r="D105" s="15"/>
      <c r="E105" s="15">
        <v>118508</v>
      </c>
      <c r="F105" s="15">
        <f t="shared" si="59"/>
        <v>118508</v>
      </c>
      <c r="G105" s="15">
        <f>4+118504</f>
        <v>118508</v>
      </c>
      <c r="H105" s="124">
        <f t="shared" si="60"/>
        <v>1</v>
      </c>
    </row>
    <row r="106" spans="1:8" s="122" customFormat="1">
      <c r="A106" s="13">
        <v>53</v>
      </c>
      <c r="B106" s="19" t="s">
        <v>462</v>
      </c>
      <c r="C106" s="15"/>
      <c r="D106" s="15"/>
      <c r="E106" s="15">
        <v>180000</v>
      </c>
      <c r="F106" s="15">
        <f t="shared" si="59"/>
        <v>180000</v>
      </c>
      <c r="G106" s="15">
        <v>179838</v>
      </c>
      <c r="H106" s="124">
        <f t="shared" si="60"/>
        <v>0.99909999999999999</v>
      </c>
    </row>
    <row r="107" spans="1:8">
      <c r="A107" s="13" t="s">
        <v>99</v>
      </c>
      <c r="B107" s="14" t="s">
        <v>100</v>
      </c>
      <c r="C107" s="15">
        <v>719862</v>
      </c>
      <c r="D107" s="15">
        <v>800000</v>
      </c>
      <c r="E107" s="15">
        <f>-4-100000-316</f>
        <v>-100320</v>
      </c>
      <c r="F107" s="15">
        <f t="shared" si="59"/>
        <v>699680</v>
      </c>
      <c r="G107" s="15">
        <v>252532</v>
      </c>
      <c r="H107" s="124">
        <f t="shared" si="60"/>
        <v>0.36092499428310082</v>
      </c>
    </row>
    <row r="108" spans="1:8" ht="25.5">
      <c r="A108" s="13" t="s">
        <v>101</v>
      </c>
      <c r="B108" s="14" t="s">
        <v>102</v>
      </c>
      <c r="C108" s="15">
        <f>SUM(C104:C107)</f>
        <v>2385058</v>
      </c>
      <c r="D108" s="15">
        <f t="shared" ref="D108" si="78">SUM(D104:D107)</f>
        <v>2580000</v>
      </c>
      <c r="E108" s="15">
        <f t="shared" ref="E108" si="79">SUM(E104:E107)</f>
        <v>-499038</v>
      </c>
      <c r="F108" s="15">
        <f t="shared" si="59"/>
        <v>2080962</v>
      </c>
      <c r="G108" s="15">
        <f t="shared" ref="G108" si="80">SUM(G104:G107)</f>
        <v>1208464</v>
      </c>
      <c r="H108" s="124">
        <f t="shared" si="60"/>
        <v>0.58072372297043384</v>
      </c>
    </row>
    <row r="109" spans="1:8">
      <c r="A109" s="16" t="s">
        <v>103</v>
      </c>
      <c r="B109" s="17" t="s">
        <v>104</v>
      </c>
      <c r="C109" s="18">
        <f>C87+C90+C100+C103+C108</f>
        <v>11179980</v>
      </c>
      <c r="D109" s="18">
        <f t="shared" ref="D109" si="81">D87+D90+D100+D103+D108</f>
        <v>9169960</v>
      </c>
      <c r="E109" s="18">
        <f t="shared" ref="E109" si="82">E87+E90+E100+E103+E108</f>
        <v>2029803</v>
      </c>
      <c r="F109" s="18">
        <f t="shared" si="59"/>
        <v>11199763</v>
      </c>
      <c r="G109" s="18">
        <f t="shared" ref="G109" si="83">G87+G90+G100+G103+G108</f>
        <v>6645793</v>
      </c>
      <c r="H109" s="125">
        <f t="shared" si="60"/>
        <v>0.59338693149131816</v>
      </c>
    </row>
    <row r="110" spans="1:8">
      <c r="A110" s="13" t="s">
        <v>105</v>
      </c>
      <c r="B110" s="14" t="s">
        <v>106</v>
      </c>
      <c r="C110" s="15">
        <f>SUM(C111)</f>
        <v>0</v>
      </c>
      <c r="D110" s="15">
        <f t="shared" ref="D110" si="84">SUM(D111)</f>
        <v>0</v>
      </c>
      <c r="E110" s="15">
        <f t="shared" ref="E110" si="85">SUM(E111)</f>
        <v>0</v>
      </c>
      <c r="F110" s="15">
        <f t="shared" si="59"/>
        <v>0</v>
      </c>
      <c r="G110" s="15">
        <f t="shared" ref="G110" si="86">SUM(G111)</f>
        <v>0</v>
      </c>
      <c r="H110" s="124" t="e">
        <f t="shared" si="60"/>
        <v>#DIV/0!</v>
      </c>
    </row>
    <row r="111" spans="1:8" ht="25.5">
      <c r="A111" s="13" t="s">
        <v>107</v>
      </c>
      <c r="B111" s="14" t="s">
        <v>108</v>
      </c>
      <c r="C111" s="15">
        <v>0</v>
      </c>
      <c r="D111" s="15">
        <v>0</v>
      </c>
      <c r="E111" s="15">
        <v>0</v>
      </c>
      <c r="F111" s="15">
        <f t="shared" si="59"/>
        <v>0</v>
      </c>
      <c r="G111" s="15">
        <v>0</v>
      </c>
      <c r="H111" s="124" t="e">
        <f t="shared" si="60"/>
        <v>#DIV/0!</v>
      </c>
    </row>
    <row r="112" spans="1:8" ht="25.5">
      <c r="A112" s="13" t="s">
        <v>109</v>
      </c>
      <c r="B112" s="14" t="s">
        <v>110</v>
      </c>
      <c r="C112" s="15">
        <f>SUM(C113:C115)</f>
        <v>0</v>
      </c>
      <c r="D112" s="15">
        <f t="shared" ref="D112" si="87">SUM(D113:D115)</f>
        <v>240000</v>
      </c>
      <c r="E112" s="15">
        <f t="shared" ref="E112" si="88">SUM(E113:E115)</f>
        <v>0</v>
      </c>
      <c r="F112" s="15">
        <f t="shared" si="59"/>
        <v>240000</v>
      </c>
      <c r="G112" s="15">
        <f t="shared" ref="G112" si="89">SUM(G113:G115)</f>
        <v>120000</v>
      </c>
      <c r="H112" s="124">
        <f t="shared" si="60"/>
        <v>0.5</v>
      </c>
    </row>
    <row r="113" spans="1:8" ht="25.5">
      <c r="A113" s="13" t="s">
        <v>111</v>
      </c>
      <c r="B113" s="14" t="s">
        <v>112</v>
      </c>
      <c r="C113" s="15">
        <v>0</v>
      </c>
      <c r="D113" s="15">
        <v>240000</v>
      </c>
      <c r="E113" s="15">
        <v>0</v>
      </c>
      <c r="F113" s="15">
        <f t="shared" si="59"/>
        <v>240000</v>
      </c>
      <c r="G113" s="15">
        <v>120000</v>
      </c>
      <c r="H113" s="124">
        <f t="shared" si="60"/>
        <v>0.5</v>
      </c>
    </row>
    <row r="114" spans="1:8">
      <c r="A114" s="13" t="s">
        <v>113</v>
      </c>
      <c r="B114" s="14" t="s">
        <v>114</v>
      </c>
      <c r="C114" s="15">
        <v>0</v>
      </c>
      <c r="D114" s="15">
        <v>0</v>
      </c>
      <c r="E114" s="15">
        <v>0</v>
      </c>
      <c r="F114" s="15">
        <f t="shared" si="59"/>
        <v>0</v>
      </c>
      <c r="G114" s="15">
        <v>0</v>
      </c>
      <c r="H114" s="124" t="e">
        <f t="shared" si="60"/>
        <v>#DIV/0!</v>
      </c>
    </row>
    <row r="115" spans="1:8" ht="38.25">
      <c r="A115" s="13" t="s">
        <v>115</v>
      </c>
      <c r="B115" s="14" t="s">
        <v>116</v>
      </c>
      <c r="C115" s="15">
        <v>0</v>
      </c>
      <c r="D115" s="15">
        <v>0</v>
      </c>
      <c r="E115" s="15">
        <v>0</v>
      </c>
      <c r="F115" s="15">
        <f t="shared" si="59"/>
        <v>0</v>
      </c>
      <c r="G115" s="15">
        <v>0</v>
      </c>
      <c r="H115" s="124" t="e">
        <f t="shared" si="60"/>
        <v>#DIV/0!</v>
      </c>
    </row>
    <row r="116" spans="1:8" ht="25.5">
      <c r="A116" s="16" t="s">
        <v>117</v>
      </c>
      <c r="B116" s="17" t="s">
        <v>118</v>
      </c>
      <c r="C116" s="18">
        <f>C110+C112</f>
        <v>0</v>
      </c>
      <c r="D116" s="18">
        <f t="shared" ref="D116" si="90">D110+D112</f>
        <v>240000</v>
      </c>
      <c r="E116" s="18">
        <f t="shared" ref="E116:G116" si="91">E110+E112</f>
        <v>0</v>
      </c>
      <c r="F116" s="18">
        <f t="shared" si="59"/>
        <v>240000</v>
      </c>
      <c r="G116" s="18">
        <f t="shared" si="91"/>
        <v>120000</v>
      </c>
      <c r="H116" s="125">
        <f t="shared" si="60"/>
        <v>0.5</v>
      </c>
    </row>
    <row r="117" spans="1:8" ht="25.5">
      <c r="A117" s="13" t="s">
        <v>119</v>
      </c>
      <c r="B117" s="14" t="s">
        <v>120</v>
      </c>
      <c r="C117" s="15">
        <v>1935750</v>
      </c>
      <c r="D117" s="15">
        <v>0</v>
      </c>
      <c r="E117" s="15">
        <v>0</v>
      </c>
      <c r="F117" s="15">
        <f t="shared" si="59"/>
        <v>0</v>
      </c>
      <c r="G117" s="15">
        <v>0</v>
      </c>
      <c r="H117" s="124" t="e">
        <f t="shared" si="60"/>
        <v>#DIV/0!</v>
      </c>
    </row>
    <row r="118" spans="1:8" ht="25.5">
      <c r="A118" s="13" t="s">
        <v>121</v>
      </c>
      <c r="B118" s="14" t="s">
        <v>122</v>
      </c>
      <c r="C118" s="15">
        <v>0</v>
      </c>
      <c r="D118" s="15">
        <v>0</v>
      </c>
      <c r="E118" s="15">
        <v>0</v>
      </c>
      <c r="F118" s="15">
        <f t="shared" si="59"/>
        <v>0</v>
      </c>
      <c r="G118" s="15">
        <v>0</v>
      </c>
      <c r="H118" s="124" t="e">
        <f t="shared" si="60"/>
        <v>#DIV/0!</v>
      </c>
    </row>
    <row r="119" spans="1:8" ht="25.5">
      <c r="A119" s="13" t="s">
        <v>123</v>
      </c>
      <c r="B119" s="14" t="s">
        <v>124</v>
      </c>
      <c r="C119" s="15">
        <f>SUM(C117:C118)</f>
        <v>1935750</v>
      </c>
      <c r="D119" s="15">
        <f t="shared" ref="D119" si="92">SUM(D117:D118)</f>
        <v>0</v>
      </c>
      <c r="E119" s="15">
        <v>9244877</v>
      </c>
      <c r="F119" s="15">
        <f t="shared" si="59"/>
        <v>9244877</v>
      </c>
      <c r="G119" s="15">
        <v>9244877</v>
      </c>
      <c r="H119" s="124">
        <f t="shared" si="60"/>
        <v>1</v>
      </c>
    </row>
    <row r="120" spans="1:8" ht="25.5">
      <c r="A120" s="13" t="s">
        <v>125</v>
      </c>
      <c r="B120" s="14" t="s">
        <v>126</v>
      </c>
      <c r="C120" s="15">
        <f>SUM(C121)</f>
        <v>695988</v>
      </c>
      <c r="D120" s="15">
        <f t="shared" ref="D120" si="93">SUM(D121)</f>
        <v>695000</v>
      </c>
      <c r="E120" s="15">
        <f t="shared" ref="E120" si="94">SUM(E121)</f>
        <v>0</v>
      </c>
      <c r="F120" s="15">
        <f t="shared" si="59"/>
        <v>695000</v>
      </c>
      <c r="G120" s="15">
        <f t="shared" ref="G120" si="95">SUM(G121)</f>
        <v>347544</v>
      </c>
      <c r="H120" s="124">
        <f t="shared" si="60"/>
        <v>0.50006330935251797</v>
      </c>
    </row>
    <row r="121" spans="1:8" ht="25.5">
      <c r="A121" s="13" t="s">
        <v>127</v>
      </c>
      <c r="B121" s="14" t="s">
        <v>128</v>
      </c>
      <c r="C121" s="15">
        <v>695988</v>
      </c>
      <c r="D121" s="15">
        <v>695000</v>
      </c>
      <c r="E121" s="15"/>
      <c r="F121" s="15">
        <f t="shared" si="59"/>
        <v>695000</v>
      </c>
      <c r="G121" s="15">
        <v>347544</v>
      </c>
      <c r="H121" s="124">
        <f t="shared" si="60"/>
        <v>0.50006330935251797</v>
      </c>
    </row>
    <row r="122" spans="1:8" ht="25.5">
      <c r="A122" s="13" t="s">
        <v>129</v>
      </c>
      <c r="B122" s="14" t="s">
        <v>130</v>
      </c>
      <c r="C122" s="15">
        <f>SUM(C123:C125)</f>
        <v>380739</v>
      </c>
      <c r="D122" s="15">
        <f t="shared" ref="D122" si="96">SUM(D123:D125)</f>
        <v>360000</v>
      </c>
      <c r="E122" s="15">
        <f t="shared" ref="E122" si="97">SUM(E123:E125)</f>
        <v>1991000</v>
      </c>
      <c r="F122" s="15">
        <f t="shared" si="59"/>
        <v>2351000</v>
      </c>
      <c r="G122" s="15">
        <f t="shared" ref="G122" si="98">SUM(G123:G125)</f>
        <v>2161635</v>
      </c>
      <c r="H122" s="124">
        <f t="shared" si="60"/>
        <v>0.91945342407486175</v>
      </c>
    </row>
    <row r="123" spans="1:8">
      <c r="A123" s="13" t="s">
        <v>131</v>
      </c>
      <c r="B123" s="14" t="s">
        <v>132</v>
      </c>
      <c r="C123" s="15">
        <v>375120</v>
      </c>
      <c r="D123" s="15"/>
      <c r="E123" s="15">
        <f>2151675+145365</f>
        <v>2297040</v>
      </c>
      <c r="F123" s="15">
        <f t="shared" si="59"/>
        <v>2297040</v>
      </c>
      <c r="G123" s="15">
        <f>2101675+50000</f>
        <v>2151675</v>
      </c>
      <c r="H123" s="124">
        <f t="shared" si="60"/>
        <v>0.93671638282311154</v>
      </c>
    </row>
    <row r="124" spans="1:8">
      <c r="A124" s="13" t="s">
        <v>133</v>
      </c>
      <c r="B124" s="14" t="s">
        <v>134</v>
      </c>
      <c r="C124" s="15">
        <v>5619</v>
      </c>
      <c r="D124" s="15">
        <v>10000</v>
      </c>
      <c r="E124" s="15">
        <v>-10000</v>
      </c>
      <c r="F124" s="15">
        <f t="shared" si="59"/>
        <v>0</v>
      </c>
      <c r="G124" s="15"/>
      <c r="H124" s="124" t="e">
        <f t="shared" si="60"/>
        <v>#DIV/0!</v>
      </c>
    </row>
    <row r="125" spans="1:8">
      <c r="A125" s="13" t="s">
        <v>135</v>
      </c>
      <c r="B125" s="14" t="s">
        <v>136</v>
      </c>
      <c r="C125" s="15">
        <v>0</v>
      </c>
      <c r="D125" s="15">
        <v>350000</v>
      </c>
      <c r="E125" s="15">
        <f>9960-300000-6000</f>
        <v>-296040</v>
      </c>
      <c r="F125" s="15">
        <f t="shared" si="59"/>
        <v>53960</v>
      </c>
      <c r="G125" s="15">
        <v>9960</v>
      </c>
      <c r="H125" s="124">
        <f t="shared" si="60"/>
        <v>0.18458117123795403</v>
      </c>
    </row>
    <row r="126" spans="1:8">
      <c r="A126" s="13">
        <v>188</v>
      </c>
      <c r="B126" s="19" t="s">
        <v>275</v>
      </c>
      <c r="C126" s="15"/>
      <c r="D126" s="15">
        <v>5970554</v>
      </c>
      <c r="E126" s="15">
        <f>-4902369+30402-2348587+577-578+221672+1156-294966-225000-3588488-1208139-2+2069000+5935920</f>
        <v>-4309402</v>
      </c>
      <c r="F126" s="139">
        <f t="shared" si="59"/>
        <v>1661152</v>
      </c>
      <c r="G126" s="15"/>
      <c r="H126" s="124">
        <f t="shared" si="60"/>
        <v>0</v>
      </c>
    </row>
    <row r="127" spans="1:8" ht="38.25">
      <c r="A127" s="16" t="s">
        <v>137</v>
      </c>
      <c r="B127" s="17" t="s">
        <v>138</v>
      </c>
      <c r="C127" s="18">
        <f>C119+C121+C122+C126</f>
        <v>3012477</v>
      </c>
      <c r="D127" s="18">
        <f t="shared" ref="D127:G127" si="99">D119+D121+D122+D126</f>
        <v>7025554</v>
      </c>
      <c r="E127" s="18">
        <f t="shared" si="99"/>
        <v>6926475</v>
      </c>
      <c r="F127" s="18">
        <f t="shared" si="99"/>
        <v>13952029</v>
      </c>
      <c r="G127" s="18">
        <f t="shared" si="99"/>
        <v>11754056</v>
      </c>
      <c r="H127" s="125">
        <f t="shared" si="60"/>
        <v>0.84246212504288798</v>
      </c>
    </row>
    <row r="128" spans="1:8" s="130" customFormat="1">
      <c r="A128" s="20">
        <v>192</v>
      </c>
      <c r="B128" s="19" t="s">
        <v>466</v>
      </c>
      <c r="C128" s="129"/>
      <c r="D128" s="129">
        <v>3432000</v>
      </c>
      <c r="E128" s="129">
        <v>-200000</v>
      </c>
      <c r="F128" s="129">
        <f t="shared" si="59"/>
        <v>3232000</v>
      </c>
      <c r="G128" s="129"/>
      <c r="H128" s="132">
        <f t="shared" si="60"/>
        <v>0</v>
      </c>
    </row>
    <row r="129" spans="1:8">
      <c r="A129" s="13" t="s">
        <v>139</v>
      </c>
      <c r="B129" s="14" t="s">
        <v>140</v>
      </c>
      <c r="C129" s="15">
        <v>0</v>
      </c>
      <c r="D129" s="15">
        <v>0</v>
      </c>
      <c r="E129" s="15">
        <v>0</v>
      </c>
      <c r="F129" s="15">
        <f t="shared" si="59"/>
        <v>0</v>
      </c>
      <c r="G129" s="15">
        <v>0</v>
      </c>
      <c r="H129" s="124" t="e">
        <f t="shared" si="60"/>
        <v>#DIV/0!</v>
      </c>
    </row>
    <row r="130" spans="1:8" ht="25.5">
      <c r="A130" s="13" t="s">
        <v>141</v>
      </c>
      <c r="B130" s="14" t="s">
        <v>142</v>
      </c>
      <c r="C130" s="15">
        <v>0</v>
      </c>
      <c r="D130" s="15"/>
      <c r="E130" s="15">
        <v>2170081</v>
      </c>
      <c r="F130" s="15">
        <f t="shared" si="59"/>
        <v>2170081</v>
      </c>
      <c r="G130" s="15">
        <v>2170081</v>
      </c>
      <c r="H130" s="124">
        <f t="shared" si="60"/>
        <v>1</v>
      </c>
    </row>
    <row r="131" spans="1:8" ht="25.5">
      <c r="A131" s="13" t="s">
        <v>143</v>
      </c>
      <c r="B131" s="14" t="s">
        <v>144</v>
      </c>
      <c r="C131" s="15">
        <v>38000</v>
      </c>
      <c r="D131" s="15"/>
      <c r="E131" s="15">
        <v>294331</v>
      </c>
      <c r="F131" s="15">
        <f t="shared" si="59"/>
        <v>294331</v>
      </c>
      <c r="G131" s="15">
        <v>294331</v>
      </c>
      <c r="H131" s="124">
        <f t="shared" si="60"/>
        <v>1</v>
      </c>
    </row>
    <row r="132" spans="1:8" ht="25.5">
      <c r="A132" s="13" t="s">
        <v>145</v>
      </c>
      <c r="B132" s="14" t="s">
        <v>146</v>
      </c>
      <c r="C132" s="15">
        <v>10260</v>
      </c>
      <c r="D132" s="15">
        <v>926000</v>
      </c>
      <c r="E132" s="15">
        <v>30115</v>
      </c>
      <c r="F132" s="15">
        <f t="shared" si="59"/>
        <v>956115</v>
      </c>
      <c r="G132" s="15">
        <v>665388</v>
      </c>
      <c r="H132" s="124">
        <f t="shared" si="60"/>
        <v>0.69592883701228414</v>
      </c>
    </row>
    <row r="133" spans="1:8">
      <c r="A133" s="16" t="s">
        <v>147</v>
      </c>
      <c r="B133" s="17" t="s">
        <v>148</v>
      </c>
      <c r="C133" s="18">
        <f>SUM(C128:C132)</f>
        <v>48260</v>
      </c>
      <c r="D133" s="18">
        <f t="shared" ref="D133:G133" si="100">SUM(D128:D132)</f>
        <v>4358000</v>
      </c>
      <c r="E133" s="18">
        <f t="shared" si="100"/>
        <v>2294527</v>
      </c>
      <c r="F133" s="18">
        <f t="shared" si="100"/>
        <v>6652527</v>
      </c>
      <c r="G133" s="18">
        <f t="shared" si="100"/>
        <v>3129800</v>
      </c>
      <c r="H133" s="125">
        <f t="shared" si="60"/>
        <v>0.4704678387626236</v>
      </c>
    </row>
    <row r="134" spans="1:8">
      <c r="A134" s="13" t="s">
        <v>149</v>
      </c>
      <c r="B134" s="14" t="s">
        <v>150</v>
      </c>
      <c r="C134" s="15">
        <v>28090120</v>
      </c>
      <c r="D134" s="15"/>
      <c r="E134" s="15"/>
      <c r="F134" s="15">
        <f t="shared" si="59"/>
        <v>0</v>
      </c>
      <c r="G134" s="15"/>
      <c r="H134" s="124" t="e">
        <f t="shared" si="60"/>
        <v>#DIV/0!</v>
      </c>
    </row>
    <row r="135" spans="1:8">
      <c r="A135" s="13" t="s">
        <v>151</v>
      </c>
      <c r="B135" s="14" t="s">
        <v>152</v>
      </c>
      <c r="C135" s="15">
        <v>0</v>
      </c>
      <c r="D135" s="15"/>
      <c r="E135" s="15"/>
      <c r="F135" s="15">
        <f t="shared" si="59"/>
        <v>0</v>
      </c>
      <c r="G135" s="15"/>
      <c r="H135" s="124" t="e">
        <f t="shared" si="60"/>
        <v>#DIV/0!</v>
      </c>
    </row>
    <row r="136" spans="1:8" ht="25.5">
      <c r="A136" s="13" t="s">
        <v>153</v>
      </c>
      <c r="B136" s="14" t="s">
        <v>154</v>
      </c>
      <c r="C136" s="15">
        <v>6642520</v>
      </c>
      <c r="D136" s="15"/>
      <c r="E136" s="15"/>
      <c r="F136" s="15">
        <f t="shared" si="59"/>
        <v>0</v>
      </c>
      <c r="G136" s="15"/>
      <c r="H136" s="124" t="e">
        <f t="shared" si="60"/>
        <v>#DIV/0!</v>
      </c>
    </row>
    <row r="137" spans="1:8">
      <c r="A137" s="16" t="s">
        <v>155</v>
      </c>
      <c r="B137" s="17" t="s">
        <v>156</v>
      </c>
      <c r="C137" s="18">
        <f>SUM(C134:C136)</f>
        <v>34732640</v>
      </c>
      <c r="D137" s="18">
        <f t="shared" ref="D137" si="101">SUM(D134:D136)</f>
        <v>0</v>
      </c>
      <c r="E137" s="18">
        <f t="shared" ref="E137" si="102">SUM(E134:E136)</f>
        <v>0</v>
      </c>
      <c r="F137" s="18">
        <f t="shared" si="59"/>
        <v>0</v>
      </c>
      <c r="G137" s="18">
        <f t="shared" ref="G137" si="103">SUM(G134:G136)</f>
        <v>0</v>
      </c>
      <c r="H137" s="125" t="e">
        <f t="shared" si="60"/>
        <v>#DIV/0!</v>
      </c>
    </row>
    <row r="138" spans="1:8" ht="25.5">
      <c r="A138" s="16" t="s">
        <v>157</v>
      </c>
      <c r="B138" s="17" t="s">
        <v>158</v>
      </c>
      <c r="C138" s="18">
        <f>C79+C80+C109+C116+C127+C133+C137</f>
        <v>63107643</v>
      </c>
      <c r="D138" s="18">
        <f t="shared" ref="D138" si="104">D79+D80+D109+D116+D127+D133+D137</f>
        <v>34465514</v>
      </c>
      <c r="E138" s="18">
        <f t="shared" ref="E138" si="105">E79+E80+E109+E116+E127+E133+E137</f>
        <v>11104055</v>
      </c>
      <c r="F138" s="18">
        <f t="shared" si="59"/>
        <v>45569569</v>
      </c>
      <c r="G138" s="18">
        <f t="shared" ref="G138" si="106">G79+G80+G109+G116+G127+G133+G137</f>
        <v>28605675</v>
      </c>
      <c r="H138" s="125">
        <f t="shared" si="60"/>
        <v>0.62773635186235799</v>
      </c>
    </row>
    <row r="139" spans="1:8" s="130" customFormat="1" ht="25.5">
      <c r="A139" s="20">
        <v>288</v>
      </c>
      <c r="B139" s="19" t="s">
        <v>463</v>
      </c>
      <c r="C139" s="129"/>
      <c r="D139" s="129"/>
      <c r="E139" s="129"/>
      <c r="F139" s="15">
        <f t="shared" si="59"/>
        <v>0</v>
      </c>
      <c r="G139" s="129"/>
      <c r="H139" s="125" t="e">
        <f t="shared" si="60"/>
        <v>#DIV/0!</v>
      </c>
    </row>
    <row r="140" spans="1:8" ht="25.5">
      <c r="A140" s="13" t="s">
        <v>159</v>
      </c>
      <c r="B140" s="14" t="s">
        <v>160</v>
      </c>
      <c r="C140" s="15">
        <v>14321967</v>
      </c>
      <c r="D140" s="15">
        <v>4105000</v>
      </c>
      <c r="E140" s="15">
        <v>909193</v>
      </c>
      <c r="F140" s="15">
        <f t="shared" si="59"/>
        <v>5014193</v>
      </c>
      <c r="G140" s="15">
        <v>5014193</v>
      </c>
      <c r="H140" s="124">
        <f t="shared" si="60"/>
        <v>1</v>
      </c>
    </row>
    <row r="141" spans="1:8" ht="25.5">
      <c r="A141" s="13" t="s">
        <v>161</v>
      </c>
      <c r="B141" s="14" t="s">
        <v>162</v>
      </c>
      <c r="C141" s="15">
        <v>96497818</v>
      </c>
      <c r="D141" s="15">
        <v>100325000</v>
      </c>
      <c r="E141" s="15">
        <v>0</v>
      </c>
      <c r="F141" s="15">
        <f t="shared" si="59"/>
        <v>100325000</v>
      </c>
      <c r="G141" s="15">
        <v>49869365</v>
      </c>
      <c r="H141" s="124">
        <f t="shared" si="60"/>
        <v>0.49707814602541739</v>
      </c>
    </row>
    <row r="142" spans="1:8" ht="25.5">
      <c r="A142" s="13" t="s">
        <v>163</v>
      </c>
      <c r="B142" s="14" t="s">
        <v>164</v>
      </c>
      <c r="C142" s="15">
        <f>SUM(C139:C141)</f>
        <v>110819785</v>
      </c>
      <c r="D142" s="15">
        <f t="shared" ref="D142:G142" si="107">SUM(D139:D141)</f>
        <v>104430000</v>
      </c>
      <c r="E142" s="15">
        <f t="shared" si="107"/>
        <v>909193</v>
      </c>
      <c r="F142" s="15">
        <f t="shared" si="107"/>
        <v>105339193</v>
      </c>
      <c r="G142" s="15">
        <f t="shared" si="107"/>
        <v>54883558</v>
      </c>
      <c r="H142" s="124">
        <f t="shared" si="60"/>
        <v>0.52101745263987354</v>
      </c>
    </row>
    <row r="143" spans="1:8" ht="25.5">
      <c r="A143" s="16" t="s">
        <v>165</v>
      </c>
      <c r="B143" s="17" t="s">
        <v>166</v>
      </c>
      <c r="C143" s="18">
        <f>SUM(C142)</f>
        <v>110819785</v>
      </c>
      <c r="D143" s="18">
        <f t="shared" ref="D143" si="108">SUM(D142)</f>
        <v>104430000</v>
      </c>
      <c r="E143" s="18">
        <f t="shared" ref="E143" si="109">SUM(E142)</f>
        <v>909193</v>
      </c>
      <c r="F143" s="18">
        <f t="shared" si="59"/>
        <v>105339193</v>
      </c>
      <c r="G143" s="18">
        <f t="shared" ref="G143" si="110">SUM(G142)</f>
        <v>54883558</v>
      </c>
      <c r="H143" s="125">
        <f t="shared" si="60"/>
        <v>0.52101745263987354</v>
      </c>
    </row>
    <row r="144" spans="1:8">
      <c r="A144" s="16" t="s">
        <v>167</v>
      </c>
      <c r="B144" s="17" t="s">
        <v>168</v>
      </c>
      <c r="C144" s="18">
        <f>C138+C143</f>
        <v>173927428</v>
      </c>
      <c r="D144" s="18">
        <f t="shared" ref="D144" si="111">D138+D143</f>
        <v>138895514</v>
      </c>
      <c r="E144" s="18">
        <f t="shared" ref="E144" si="112">E138+E143</f>
        <v>12013248</v>
      </c>
      <c r="F144" s="18">
        <f t="shared" si="59"/>
        <v>150908762</v>
      </c>
      <c r="G144" s="18">
        <f t="shared" ref="G144" si="113">G138+G143</f>
        <v>83489233</v>
      </c>
      <c r="H144" s="125">
        <f t="shared" si="60"/>
        <v>0.55324311122504599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6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40"/>
  <sheetViews>
    <sheetView view="pageBreakPreview" topLeftCell="A4" zoomScale="85" zoomScaleNormal="100" zoomScaleSheetLayoutView="85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10.21875" customWidth="1"/>
    <col min="6" max="6" width="11.109375" customWidth="1"/>
    <col min="8" max="8" width="11.5546875" style="126" customWidth="1"/>
  </cols>
  <sheetData>
    <row r="1" spans="1:8">
      <c r="A1" s="140" t="s">
        <v>396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13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12129000</v>
      </c>
      <c r="D6" s="15">
        <v>5250000</v>
      </c>
      <c r="E6" s="15">
        <v>0</v>
      </c>
      <c r="F6" s="15">
        <f>SUM(D6:E6)</f>
        <v>5250000</v>
      </c>
      <c r="G6" s="15">
        <v>2730000</v>
      </c>
      <c r="H6" s="124">
        <f>G6/F6</f>
        <v>0.52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8.25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5.5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 t="shared" ref="C12:E12" si="2">SUM(C6:C11)</f>
        <v>12129000</v>
      </c>
      <c r="D12" s="15">
        <f t="shared" si="2"/>
        <v>5250000</v>
      </c>
      <c r="E12" s="15">
        <f t="shared" si="2"/>
        <v>0</v>
      </c>
      <c r="F12" s="15">
        <f t="shared" si="0"/>
        <v>5250000</v>
      </c>
      <c r="G12" s="15">
        <f t="shared" ref="G12" si="3">SUM(G6:G11)</f>
        <v>2730000</v>
      </c>
      <c r="H12" s="124">
        <f t="shared" si="1"/>
        <v>0.52</v>
      </c>
    </row>
    <row r="13" spans="1:8" ht="25.5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 t="shared" ref="C20:G20" si="6">C12+C13</f>
        <v>12129000</v>
      </c>
      <c r="D20" s="18">
        <f t="shared" si="6"/>
        <v>5250000</v>
      </c>
      <c r="E20" s="18">
        <f t="shared" si="6"/>
        <v>0</v>
      </c>
      <c r="F20" s="18">
        <f t="shared" si="0"/>
        <v>5250000</v>
      </c>
      <c r="G20" s="18">
        <f t="shared" si="6"/>
        <v>2730000</v>
      </c>
      <c r="H20" s="125">
        <f t="shared" si="1"/>
        <v>0.52</v>
      </c>
    </row>
    <row r="21" spans="1:8" ht="25.5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>
        <v>0</v>
      </c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8.25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5.5">
      <c r="A49" s="16">
        <v>231</v>
      </c>
      <c r="B49" s="17" t="s">
        <v>460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8.25">
      <c r="A50" s="20">
        <v>232</v>
      </c>
      <c r="B50" s="19" t="s">
        <v>459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5.5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5.5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5.5">
      <c r="A56" s="16" t="s">
        <v>253</v>
      </c>
      <c r="B56" s="17" t="s">
        <v>254</v>
      </c>
      <c r="C56" s="18">
        <f t="shared" ref="C56:E56" si="30">C55+C46+C48+C36+C20+C22</f>
        <v>12129000</v>
      </c>
      <c r="D56" s="18">
        <f t="shared" si="30"/>
        <v>5250000</v>
      </c>
      <c r="E56" s="18">
        <f t="shared" si="30"/>
        <v>0</v>
      </c>
      <c r="F56" s="18">
        <f t="shared" si="0"/>
        <v>5250000</v>
      </c>
      <c r="G56" s="18">
        <f t="shared" ref="G56" si="31">G55+G46+G48+G36+G20+G22</f>
        <v>2730000</v>
      </c>
      <c r="H56" s="125">
        <f t="shared" si="1"/>
        <v>0.52</v>
      </c>
    </row>
    <row r="57" spans="1:8" ht="25.5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412</v>
      </c>
      <c r="C60" s="15"/>
      <c r="D60" s="15"/>
      <c r="E60" s="15"/>
      <c r="F60" s="15"/>
      <c r="G60" s="15"/>
      <c r="H60" s="124"/>
    </row>
    <row r="61" spans="1:8" ht="25.5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5.5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12129000</v>
      </c>
      <c r="D63" s="18">
        <f t="shared" si="37"/>
        <v>5250000</v>
      </c>
      <c r="E63" s="18">
        <f t="shared" si="37"/>
        <v>0</v>
      </c>
      <c r="F63" s="18">
        <f t="shared" si="0"/>
        <v>5250000</v>
      </c>
      <c r="G63" s="18">
        <f t="shared" ref="G63" si="38">G56+G62</f>
        <v>2730000</v>
      </c>
      <c r="H63" s="125">
        <f t="shared" si="1"/>
        <v>0.52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457</v>
      </c>
      <c r="G65" s="12" t="s">
        <v>273</v>
      </c>
      <c r="H65" s="123" t="s">
        <v>274</v>
      </c>
    </row>
    <row r="66" spans="1:8" ht="25.5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5.5">
      <c r="A67" s="21" t="s">
        <v>178</v>
      </c>
      <c r="B67" s="14" t="s">
        <v>282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5.5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5.5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8.25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0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5.5">
      <c r="A78" s="16" t="s">
        <v>53</v>
      </c>
      <c r="B78" s="17" t="s">
        <v>54</v>
      </c>
      <c r="C78" s="18">
        <f t="shared" ref="C78:E78" si="47">SUM(C79:C82)</f>
        <v>0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5.5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/>
      <c r="D84" s="15">
        <v>50000</v>
      </c>
      <c r="E84" s="15"/>
      <c r="F84" s="15">
        <f t="shared" si="41"/>
        <v>50000</v>
      </c>
      <c r="G84" s="15">
        <v>29315</v>
      </c>
      <c r="H84" s="124">
        <f t="shared" si="42"/>
        <v>0.58630000000000004</v>
      </c>
    </row>
    <row r="85" spans="1:8">
      <c r="A85" s="13" t="s">
        <v>67</v>
      </c>
      <c r="B85" s="14" t="s">
        <v>68</v>
      </c>
      <c r="C85" s="15">
        <f t="shared" ref="C85:E85" si="49">SUM(C83:C84)</f>
        <v>0</v>
      </c>
      <c r="D85" s="15">
        <f t="shared" si="49"/>
        <v>50000</v>
      </c>
      <c r="E85" s="15">
        <f t="shared" si="49"/>
        <v>0</v>
      </c>
      <c r="F85" s="15">
        <f t="shared" si="41"/>
        <v>50000</v>
      </c>
      <c r="G85" s="15">
        <f t="shared" ref="G85" si="50">SUM(G83:G84)</f>
        <v>29315</v>
      </c>
      <c r="H85" s="124">
        <f t="shared" si="42"/>
        <v>0.58630000000000004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>
        <v>3553556</v>
      </c>
      <c r="D89" s="15">
        <v>4000000</v>
      </c>
      <c r="E89" s="15">
        <f>-658499+39464</f>
        <v>-619035</v>
      </c>
      <c r="F89" s="15">
        <f t="shared" si="41"/>
        <v>3380965</v>
      </c>
      <c r="G89" s="15">
        <v>1766587</v>
      </c>
      <c r="H89" s="124">
        <f t="shared" si="42"/>
        <v>0.52250969767507205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276</v>
      </c>
      <c r="B91" s="19" t="s">
        <v>277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100000</v>
      </c>
      <c r="E92" s="15">
        <v>0</v>
      </c>
      <c r="F92" s="15">
        <f t="shared" si="41"/>
        <v>100000</v>
      </c>
      <c r="G92" s="15">
        <v>0</v>
      </c>
      <c r="H92" s="124">
        <f t="shared" si="42"/>
        <v>0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5.5">
      <c r="A95" s="13" t="s">
        <v>85</v>
      </c>
      <c r="B95" s="14" t="s">
        <v>86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/>
      <c r="D96" s="15"/>
      <c r="E96" s="15"/>
      <c r="F96" s="15">
        <f t="shared" si="41"/>
        <v>0</v>
      </c>
      <c r="G96" s="15"/>
      <c r="H96" s="124" t="e">
        <f t="shared" si="42"/>
        <v>#DIV/0!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5.5">
      <c r="A98" s="13" t="s">
        <v>91</v>
      </c>
      <c r="B98" s="14" t="s">
        <v>92</v>
      </c>
      <c r="C98" s="15">
        <f>C89+C90+C92+C93+C95+C96+C91</f>
        <v>3553556</v>
      </c>
      <c r="D98" s="15">
        <f t="shared" ref="D98:G98" si="53">D89+D90+D92+D93+D95+D96+D91</f>
        <v>4100000</v>
      </c>
      <c r="E98" s="15">
        <f t="shared" si="53"/>
        <v>-619035</v>
      </c>
      <c r="F98" s="15">
        <f t="shared" si="53"/>
        <v>3480965</v>
      </c>
      <c r="G98" s="15">
        <f t="shared" si="53"/>
        <v>1766587</v>
      </c>
      <c r="H98" s="124">
        <f t="shared" si="42"/>
        <v>0.50749921358014227</v>
      </c>
    </row>
    <row r="99" spans="1:8">
      <c r="A99" s="13" t="s">
        <v>280</v>
      </c>
      <c r="B99" s="14" t="s">
        <v>281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5.5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5.5">
      <c r="A102" s="13" t="s">
        <v>97</v>
      </c>
      <c r="B102" s="14" t="s">
        <v>98</v>
      </c>
      <c r="C102" s="15">
        <v>890986</v>
      </c>
      <c r="D102" s="15">
        <v>1100000</v>
      </c>
      <c r="E102" s="15">
        <f>658499-39464</f>
        <v>619035</v>
      </c>
      <c r="F102" s="15">
        <f t="shared" si="41"/>
        <v>1719035</v>
      </c>
      <c r="G102" s="15">
        <v>447521</v>
      </c>
      <c r="H102" s="124">
        <f t="shared" si="42"/>
        <v>0.26033268665268594</v>
      </c>
    </row>
    <row r="103" spans="1:8" s="122" customFormat="1">
      <c r="A103" s="13">
        <v>52</v>
      </c>
      <c r="B103" s="14" t="s">
        <v>458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5.5">
      <c r="A105" s="13" t="s">
        <v>101</v>
      </c>
      <c r="B105" s="14" t="s">
        <v>102</v>
      </c>
      <c r="C105" s="15">
        <f t="shared" ref="C105:E105" si="55">SUM(C102:C104)</f>
        <v>890986</v>
      </c>
      <c r="D105" s="15">
        <f t="shared" si="55"/>
        <v>1100000</v>
      </c>
      <c r="E105" s="15">
        <f t="shared" si="55"/>
        <v>619035</v>
      </c>
      <c r="F105" s="15">
        <f t="shared" si="41"/>
        <v>1719035</v>
      </c>
      <c r="G105" s="15">
        <f t="shared" ref="G105" si="56">SUM(G102:G104)</f>
        <v>447521</v>
      </c>
      <c r="H105" s="124">
        <f t="shared" si="42"/>
        <v>0.26033268665268594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4444542</v>
      </c>
      <c r="D106" s="18">
        <f t="shared" si="57"/>
        <v>5250000</v>
      </c>
      <c r="E106" s="18">
        <f t="shared" si="57"/>
        <v>0</v>
      </c>
      <c r="F106" s="18">
        <f t="shared" si="41"/>
        <v>5250000</v>
      </c>
      <c r="G106" s="18">
        <f t="shared" ref="G106" si="58">G85+G88+G98+G101+G105</f>
        <v>2243423</v>
      </c>
      <c r="H106" s="125">
        <f t="shared" si="42"/>
        <v>0.42731866666666668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5.5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5.5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5.5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8.25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5.5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5.5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5.5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5.5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5.5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5.5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5.5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275</v>
      </c>
      <c r="C123" s="15"/>
      <c r="D123" s="15">
        <v>0</v>
      </c>
      <c r="E123" s="15"/>
      <c r="F123" s="15">
        <f t="shared" si="41"/>
        <v>0</v>
      </c>
      <c r="G123" s="15"/>
      <c r="H123" s="124"/>
    </row>
    <row r="124" spans="1:8" ht="38.25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466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5.5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5.5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5.5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5.5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5.5">
      <c r="A135" s="16" t="s">
        <v>157</v>
      </c>
      <c r="B135" s="17" t="s">
        <v>158</v>
      </c>
      <c r="C135" s="18">
        <f t="shared" ref="C135:E135" si="74">C77+C78+C106+C113+C124+C130+C134</f>
        <v>4444542</v>
      </c>
      <c r="D135" s="18">
        <f t="shared" si="74"/>
        <v>5250000</v>
      </c>
      <c r="E135" s="18">
        <f t="shared" si="74"/>
        <v>0</v>
      </c>
      <c r="F135" s="18">
        <f t="shared" si="41"/>
        <v>5250000</v>
      </c>
      <c r="G135" s="18">
        <f t="shared" ref="G135" si="75">G77+G78+G106+G113+G124+G130+G134</f>
        <v>2243423</v>
      </c>
      <c r="H135" s="125">
        <f t="shared" si="42"/>
        <v>0.42731866666666668</v>
      </c>
    </row>
    <row r="136" spans="1:8" ht="25.5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5.5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5.5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5.5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4444542</v>
      </c>
      <c r="D140" s="18">
        <f t="shared" si="80"/>
        <v>5250000</v>
      </c>
      <c r="E140" s="18">
        <f t="shared" si="80"/>
        <v>0</v>
      </c>
      <c r="F140" s="18">
        <f t="shared" si="41"/>
        <v>5250000</v>
      </c>
      <c r="G140" s="18">
        <f t="shared" ref="G140" si="81">G135+G139</f>
        <v>2243423</v>
      </c>
      <c r="H140" s="125">
        <f t="shared" si="42"/>
        <v>0.42731866666666668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40"/>
  <sheetViews>
    <sheetView view="pageBreakPreview" topLeftCell="A124" zoomScaleNormal="100" zoomScaleSheetLayoutView="100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9.6640625" customWidth="1"/>
    <col min="6" max="6" width="11.33203125" customWidth="1"/>
    <col min="8" max="8" width="11.5546875" style="126" customWidth="1"/>
  </cols>
  <sheetData>
    <row r="1" spans="1:8">
      <c r="A1" s="140" t="s">
        <v>434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14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1242000</v>
      </c>
      <c r="D6" s="15">
        <v>4099000</v>
      </c>
      <c r="E6" s="15">
        <v>-2069000</v>
      </c>
      <c r="F6" s="15">
        <f>SUM(D6:E6)</f>
        <v>2030000</v>
      </c>
      <c r="G6" s="15">
        <v>1055600</v>
      </c>
      <c r="H6" s="124">
        <f>G6/F6</f>
        <v>0.52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8.25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5.5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 t="shared" ref="C12:E12" si="2">SUM(C6:C11)</f>
        <v>1242000</v>
      </c>
      <c r="D12" s="15">
        <f t="shared" si="2"/>
        <v>4099000</v>
      </c>
      <c r="E12" s="15">
        <f t="shared" si="2"/>
        <v>-2069000</v>
      </c>
      <c r="F12" s="15">
        <f t="shared" si="0"/>
        <v>2030000</v>
      </c>
      <c r="G12" s="15">
        <f t="shared" ref="G12" si="3">SUM(G6:G11)</f>
        <v>1055600</v>
      </c>
      <c r="H12" s="124">
        <f t="shared" si="1"/>
        <v>0.52</v>
      </c>
    </row>
    <row r="13" spans="1:8" ht="25.5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 t="shared" ref="C20:G20" si="6">C12+C13</f>
        <v>1242000</v>
      </c>
      <c r="D20" s="18">
        <f t="shared" si="6"/>
        <v>4099000</v>
      </c>
      <c r="E20" s="18">
        <f t="shared" si="6"/>
        <v>-2069000</v>
      </c>
      <c r="F20" s="18">
        <f t="shared" si="0"/>
        <v>2030000</v>
      </c>
      <c r="G20" s="18">
        <f t="shared" si="6"/>
        <v>1055600</v>
      </c>
      <c r="H20" s="125">
        <f t="shared" si="1"/>
        <v>0.52</v>
      </c>
    </row>
    <row r="21" spans="1:8" ht="25.5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8.25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5.5">
      <c r="A49" s="16">
        <v>231</v>
      </c>
      <c r="B49" s="17" t="s">
        <v>460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8.25">
      <c r="A50" s="20">
        <v>232</v>
      </c>
      <c r="B50" s="19" t="s">
        <v>459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5.5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5.5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5.5">
      <c r="A56" s="16" t="s">
        <v>253</v>
      </c>
      <c r="B56" s="17" t="s">
        <v>254</v>
      </c>
      <c r="C56" s="18">
        <f t="shared" ref="C56:E56" si="30">C55+C46+C48+C36+C20+C22</f>
        <v>1242000</v>
      </c>
      <c r="D56" s="18">
        <f t="shared" si="30"/>
        <v>4099000</v>
      </c>
      <c r="E56" s="18">
        <f t="shared" si="30"/>
        <v>-2069000</v>
      </c>
      <c r="F56" s="18">
        <f t="shared" si="0"/>
        <v>2030000</v>
      </c>
      <c r="G56" s="18">
        <f t="shared" ref="G56" si="31">G55+G46+G48+G36+G20+G22</f>
        <v>1055600</v>
      </c>
      <c r="H56" s="125">
        <f t="shared" si="1"/>
        <v>0.52</v>
      </c>
    </row>
    <row r="57" spans="1:8" ht="25.5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412</v>
      </c>
      <c r="C60" s="15"/>
      <c r="D60" s="15"/>
      <c r="E60" s="15"/>
      <c r="F60" s="15"/>
      <c r="G60" s="15"/>
      <c r="H60" s="124"/>
    </row>
    <row r="61" spans="1:8" ht="25.5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5.5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1242000</v>
      </c>
      <c r="D63" s="18">
        <f t="shared" si="37"/>
        <v>4099000</v>
      </c>
      <c r="E63" s="18">
        <f t="shared" si="37"/>
        <v>-2069000</v>
      </c>
      <c r="F63" s="18">
        <f t="shared" si="0"/>
        <v>2030000</v>
      </c>
      <c r="G63" s="18">
        <f t="shared" ref="G63" si="38">G56+G62</f>
        <v>1055600</v>
      </c>
      <c r="H63" s="125">
        <f t="shared" si="1"/>
        <v>0.52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457</v>
      </c>
      <c r="G65" s="12" t="s">
        <v>273</v>
      </c>
      <c r="H65" s="123" t="s">
        <v>274</v>
      </c>
    </row>
    <row r="66" spans="1:8" ht="25.5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5.5">
      <c r="A67" s="21" t="s">
        <v>178</v>
      </c>
      <c r="B67" s="14" t="s">
        <v>282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5.5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5.5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8.25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0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5.5">
      <c r="A78" s="16" t="s">
        <v>53</v>
      </c>
      <c r="B78" s="17" t="s">
        <v>54</v>
      </c>
      <c r="C78" s="18">
        <f t="shared" ref="C78:E78" si="47">SUM(C79:C82)</f>
        <v>0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5.5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>
        <v>969688</v>
      </c>
      <c r="D84" s="15">
        <v>1500000</v>
      </c>
      <c r="E84" s="15"/>
      <c r="F84" s="15">
        <f t="shared" si="41"/>
        <v>1500000</v>
      </c>
      <c r="G84" s="15">
        <v>339293</v>
      </c>
      <c r="H84" s="124">
        <f t="shared" si="42"/>
        <v>0.22619533333333333</v>
      </c>
    </row>
    <row r="85" spans="1:8">
      <c r="A85" s="13" t="s">
        <v>67</v>
      </c>
      <c r="B85" s="14" t="s">
        <v>68</v>
      </c>
      <c r="C85" s="15">
        <f t="shared" ref="C85:E85" si="49">SUM(C83:C84)</f>
        <v>969688</v>
      </c>
      <c r="D85" s="15">
        <f t="shared" si="49"/>
        <v>1500000</v>
      </c>
      <c r="E85" s="15">
        <f t="shared" si="49"/>
        <v>0</v>
      </c>
      <c r="F85" s="15">
        <f t="shared" si="41"/>
        <v>1500000</v>
      </c>
      <c r="G85" s="15">
        <f t="shared" ref="G85" si="50">SUM(G83:G84)</f>
        <v>339293</v>
      </c>
      <c r="H85" s="124">
        <f t="shared" si="42"/>
        <v>0.22619533333333333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/>
      <c r="D89" s="15"/>
      <c r="E89" s="15"/>
      <c r="F89" s="15">
        <f t="shared" si="41"/>
        <v>0</v>
      </c>
      <c r="G89" s="15"/>
      <c r="H89" s="124" t="e">
        <f t="shared" si="42"/>
        <v>#DIV/0!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276</v>
      </c>
      <c r="B91" s="19" t="s">
        <v>277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8008</v>
      </c>
      <c r="D92" s="15">
        <v>100000</v>
      </c>
      <c r="E92" s="15">
        <v>0</v>
      </c>
      <c r="F92" s="15">
        <f t="shared" si="41"/>
        <v>100000</v>
      </c>
      <c r="G92" s="15">
        <v>13583</v>
      </c>
      <c r="H92" s="124">
        <f t="shared" si="42"/>
        <v>0.13583000000000001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5.5">
      <c r="A95" s="13" t="s">
        <v>85</v>
      </c>
      <c r="B95" s="14" t="s">
        <v>86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/>
      <c r="D96" s="15"/>
      <c r="E96" s="15"/>
      <c r="F96" s="15">
        <f t="shared" si="41"/>
        <v>0</v>
      </c>
      <c r="G96" s="15"/>
      <c r="H96" s="124" t="e">
        <f t="shared" si="42"/>
        <v>#DIV/0!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5.5">
      <c r="A98" s="13" t="s">
        <v>91</v>
      </c>
      <c r="B98" s="14" t="s">
        <v>92</v>
      </c>
      <c r="C98" s="15">
        <f>C89+C90+C92+C93+C95+C96+C91</f>
        <v>8008</v>
      </c>
      <c r="D98" s="15">
        <f t="shared" ref="D98:G98" si="53">D89+D90+D92+D93+D95+D96+D91</f>
        <v>100000</v>
      </c>
      <c r="E98" s="15">
        <f t="shared" si="53"/>
        <v>0</v>
      </c>
      <c r="F98" s="15">
        <f t="shared" si="53"/>
        <v>100000</v>
      </c>
      <c r="G98" s="15">
        <f t="shared" si="53"/>
        <v>13583</v>
      </c>
      <c r="H98" s="124">
        <f t="shared" si="42"/>
        <v>0.13583000000000001</v>
      </c>
    </row>
    <row r="99" spans="1:8">
      <c r="A99" s="13" t="s">
        <v>280</v>
      </c>
      <c r="B99" s="14" t="s">
        <v>281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5.5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5.5">
      <c r="A102" s="13" t="s">
        <v>97</v>
      </c>
      <c r="B102" s="14" t="s">
        <v>98</v>
      </c>
      <c r="C102" s="15">
        <v>263977</v>
      </c>
      <c r="D102" s="15">
        <v>430000</v>
      </c>
      <c r="E102" s="15"/>
      <c r="F102" s="15">
        <f t="shared" si="41"/>
        <v>430000</v>
      </c>
      <c r="G102" s="15">
        <v>95277</v>
      </c>
      <c r="H102" s="124">
        <f t="shared" si="42"/>
        <v>0.22157441860465116</v>
      </c>
    </row>
    <row r="103" spans="1:8" s="122" customFormat="1">
      <c r="A103" s="13">
        <v>52</v>
      </c>
      <c r="B103" s="14" t="s">
        <v>458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5.5">
      <c r="A105" s="13" t="s">
        <v>101</v>
      </c>
      <c r="B105" s="14" t="s">
        <v>102</v>
      </c>
      <c r="C105" s="15">
        <f t="shared" ref="C105:E105" si="55">SUM(C102:C104)</f>
        <v>263977</v>
      </c>
      <c r="D105" s="15">
        <f t="shared" si="55"/>
        <v>430000</v>
      </c>
      <c r="E105" s="15">
        <f t="shared" si="55"/>
        <v>0</v>
      </c>
      <c r="F105" s="15">
        <f t="shared" si="41"/>
        <v>430000</v>
      </c>
      <c r="G105" s="15">
        <f t="shared" ref="G105" si="56">SUM(G102:G104)</f>
        <v>95277</v>
      </c>
      <c r="H105" s="124">
        <f t="shared" si="42"/>
        <v>0.22157441860465116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1241673</v>
      </c>
      <c r="D106" s="18">
        <f t="shared" si="57"/>
        <v>2030000</v>
      </c>
      <c r="E106" s="18">
        <f t="shared" si="57"/>
        <v>0</v>
      </c>
      <c r="F106" s="18">
        <f t="shared" si="41"/>
        <v>2030000</v>
      </c>
      <c r="G106" s="18">
        <f t="shared" ref="G106" si="58">G85+G88+G98+G101+G105</f>
        <v>448153</v>
      </c>
      <c r="H106" s="125">
        <f t="shared" si="42"/>
        <v>0.22076502463054187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5.5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5.5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5.5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8.25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5.5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5.5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5.5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5.5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5.5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5.5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5.5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275</v>
      </c>
      <c r="C123" s="15"/>
      <c r="D123" s="15">
        <v>2069000</v>
      </c>
      <c r="E123" s="15">
        <v>-2069000</v>
      </c>
      <c r="F123" s="15">
        <f t="shared" si="41"/>
        <v>0</v>
      </c>
      <c r="G123" s="15"/>
      <c r="H123" s="124"/>
    </row>
    <row r="124" spans="1:8" ht="38.25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2069000</v>
      </c>
      <c r="E124" s="18">
        <f t="shared" si="70"/>
        <v>-2069000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466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5.5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5.5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5.5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5.5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5.5">
      <c r="A135" s="16" t="s">
        <v>157</v>
      </c>
      <c r="B135" s="17" t="s">
        <v>158</v>
      </c>
      <c r="C135" s="18">
        <f t="shared" ref="C135:E135" si="74">C77+C78+C106+C113+C124+C130+C134</f>
        <v>1241673</v>
      </c>
      <c r="D135" s="18">
        <f t="shared" si="74"/>
        <v>4099000</v>
      </c>
      <c r="E135" s="18">
        <f t="shared" si="74"/>
        <v>-2069000</v>
      </c>
      <c r="F135" s="18">
        <f t="shared" si="41"/>
        <v>2030000</v>
      </c>
      <c r="G135" s="18">
        <f t="shared" ref="G135" si="75">G77+G78+G106+G113+G124+G130+G134</f>
        <v>448153</v>
      </c>
      <c r="H135" s="125">
        <f t="shared" si="42"/>
        <v>0.22076502463054187</v>
      </c>
    </row>
    <row r="136" spans="1:8" ht="25.5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5.5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5.5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5.5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1241673</v>
      </c>
      <c r="D140" s="18">
        <f t="shared" si="80"/>
        <v>4099000</v>
      </c>
      <c r="E140" s="18">
        <f t="shared" si="80"/>
        <v>-2069000</v>
      </c>
      <c r="F140" s="18">
        <f t="shared" si="41"/>
        <v>2030000</v>
      </c>
      <c r="G140" s="18">
        <f t="shared" ref="G140" si="81">G135+G139</f>
        <v>448153</v>
      </c>
      <c r="H140" s="125">
        <f t="shared" si="42"/>
        <v>0.22076502463054187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40"/>
  <sheetViews>
    <sheetView view="pageBreakPreview" zoomScaleNormal="100" zoomScaleSheetLayoutView="100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10" customWidth="1"/>
    <col min="6" max="6" width="11.77734375" customWidth="1"/>
    <col min="8" max="8" width="12.33203125" style="126" customWidth="1"/>
  </cols>
  <sheetData>
    <row r="1" spans="1:8">
      <c r="A1" s="140" t="s">
        <v>435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15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10170000</v>
      </c>
      <c r="D6" s="15">
        <v>22922000</v>
      </c>
      <c r="E6" s="15">
        <v>-5935920</v>
      </c>
      <c r="F6" s="15">
        <f>SUM(D6:E6)</f>
        <v>16986080</v>
      </c>
      <c r="G6" s="15">
        <v>8832762</v>
      </c>
      <c r="H6" s="124">
        <f>G6/F6</f>
        <v>0.52000002354869401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8.25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5.5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 t="shared" ref="C12:E12" si="2">SUM(C6:C11)</f>
        <v>10170000</v>
      </c>
      <c r="D12" s="15">
        <f t="shared" si="2"/>
        <v>22922000</v>
      </c>
      <c r="E12" s="15">
        <f t="shared" si="2"/>
        <v>-5935920</v>
      </c>
      <c r="F12" s="15">
        <f t="shared" si="0"/>
        <v>16986080</v>
      </c>
      <c r="G12" s="15">
        <f t="shared" ref="G12" si="3">SUM(G6:G11)</f>
        <v>8832762</v>
      </c>
      <c r="H12" s="124">
        <f t="shared" si="1"/>
        <v>0.52000002354869401</v>
      </c>
    </row>
    <row r="13" spans="1:8" ht="25.5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 t="shared" ref="C20:G20" si="6">C12+C13</f>
        <v>10170000</v>
      </c>
      <c r="D20" s="18">
        <f t="shared" si="6"/>
        <v>22922000</v>
      </c>
      <c r="E20" s="18">
        <f t="shared" si="6"/>
        <v>-5935920</v>
      </c>
      <c r="F20" s="18">
        <f t="shared" si="0"/>
        <v>16986080</v>
      </c>
      <c r="G20" s="18">
        <f t="shared" si="6"/>
        <v>8832762</v>
      </c>
      <c r="H20" s="125">
        <f t="shared" si="1"/>
        <v>0.52000002354869401</v>
      </c>
    </row>
    <row r="21" spans="1:8" ht="25.5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>
        <v>28274</v>
      </c>
      <c r="D37" s="15">
        <v>15000</v>
      </c>
      <c r="E37" s="15"/>
      <c r="F37" s="15">
        <f t="shared" si="0"/>
        <v>15000</v>
      </c>
      <c r="G37" s="15">
        <v>2094</v>
      </c>
      <c r="H37" s="124">
        <f t="shared" si="1"/>
        <v>0.1396</v>
      </c>
    </row>
    <row r="38" spans="1:8">
      <c r="A38" s="13" t="s">
        <v>135</v>
      </c>
      <c r="B38" s="14" t="s">
        <v>225</v>
      </c>
      <c r="C38" s="15">
        <v>0</v>
      </c>
      <c r="D38" s="15">
        <v>1500000</v>
      </c>
      <c r="E38" s="15"/>
      <c r="F38" s="15">
        <f t="shared" si="0"/>
        <v>1500000</v>
      </c>
      <c r="G38" s="15"/>
      <c r="H38" s="124">
        <f t="shared" si="1"/>
        <v>0</v>
      </c>
    </row>
    <row r="39" spans="1:8" ht="25.5">
      <c r="A39" s="13" t="s">
        <v>226</v>
      </c>
      <c r="B39" s="14" t="s">
        <v>227</v>
      </c>
      <c r="C39" s="15">
        <v>0</v>
      </c>
      <c r="D39" s="15">
        <v>20000</v>
      </c>
      <c r="E39" s="15"/>
      <c r="F39" s="15">
        <f t="shared" si="0"/>
        <v>20000</v>
      </c>
      <c r="G39" s="15"/>
      <c r="H39" s="124">
        <f t="shared" si="1"/>
        <v>0</v>
      </c>
    </row>
    <row r="40" spans="1:8">
      <c r="A40" s="13" t="s">
        <v>228</v>
      </c>
      <c r="B40" s="14" t="s">
        <v>229</v>
      </c>
      <c r="C40" s="15">
        <v>0</v>
      </c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>
        <v>0</v>
      </c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>
        <v>7636</v>
      </c>
      <c r="D42" s="15">
        <v>410000</v>
      </c>
      <c r="E42" s="15"/>
      <c r="F42" s="15">
        <f t="shared" si="0"/>
        <v>410000</v>
      </c>
      <c r="G42" s="15">
        <v>566</v>
      </c>
      <c r="H42" s="124">
        <f t="shared" si="1"/>
        <v>1.3804878048780489E-3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8.25">
      <c r="A46" s="16" t="s">
        <v>237</v>
      </c>
      <c r="B46" s="17" t="s">
        <v>238</v>
      </c>
      <c r="C46" s="18">
        <f t="shared" ref="C46:E46" si="22">C37+C38+C39+C40+C41+C42+C44+C45</f>
        <v>35910</v>
      </c>
      <c r="D46" s="18">
        <f t="shared" si="22"/>
        <v>1945000</v>
      </c>
      <c r="E46" s="18">
        <f t="shared" si="22"/>
        <v>0</v>
      </c>
      <c r="F46" s="18">
        <f t="shared" si="0"/>
        <v>1945000</v>
      </c>
      <c r="G46" s="18">
        <f t="shared" ref="G46" si="23">G37+G38+G39+G40+G41+G42+G44+G45</f>
        <v>2660</v>
      </c>
      <c r="H46" s="125">
        <f t="shared" si="1"/>
        <v>1.3676092544987147E-3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5.5">
      <c r="A49" s="16">
        <v>231</v>
      </c>
      <c r="B49" s="17" t="s">
        <v>460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8.25">
      <c r="A50" s="20">
        <v>232</v>
      </c>
      <c r="B50" s="19" t="s">
        <v>459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5.5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5.5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5.5">
      <c r="A56" s="16" t="s">
        <v>253</v>
      </c>
      <c r="B56" s="17" t="s">
        <v>254</v>
      </c>
      <c r="C56" s="18">
        <f t="shared" ref="C56:E56" si="30">C55+C46+C48+C36+C20+C22</f>
        <v>10205910</v>
      </c>
      <c r="D56" s="18">
        <f t="shared" si="30"/>
        <v>24867000</v>
      </c>
      <c r="E56" s="18">
        <f t="shared" si="30"/>
        <v>-5935920</v>
      </c>
      <c r="F56" s="18">
        <f t="shared" si="0"/>
        <v>18931080</v>
      </c>
      <c r="G56" s="18">
        <f t="shared" ref="G56" si="31">G55+G46+G48+G36+G20+G22</f>
        <v>8835422</v>
      </c>
      <c r="H56" s="125">
        <f t="shared" si="1"/>
        <v>0.46671515835335331</v>
      </c>
    </row>
    <row r="57" spans="1:8" ht="25.5">
      <c r="A57" s="13" t="s">
        <v>255</v>
      </c>
      <c r="B57" s="14" t="s">
        <v>256</v>
      </c>
      <c r="C57" s="15">
        <v>27903000</v>
      </c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27903000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412</v>
      </c>
      <c r="C60" s="15"/>
      <c r="D60" s="15"/>
      <c r="E60" s="15"/>
      <c r="F60" s="15"/>
      <c r="G60" s="15"/>
      <c r="H60" s="124"/>
    </row>
    <row r="61" spans="1:8" ht="25.5">
      <c r="A61" s="13" t="s">
        <v>260</v>
      </c>
      <c r="B61" s="14" t="s">
        <v>261</v>
      </c>
      <c r="C61" s="15">
        <f>SUM(C58:C60)</f>
        <v>27903000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5.5">
      <c r="A62" s="16" t="s">
        <v>262</v>
      </c>
      <c r="B62" s="17" t="s">
        <v>263</v>
      </c>
      <c r="C62" s="18">
        <f t="shared" ref="C62:E62" si="35">SUM(C61)</f>
        <v>27903000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38108910</v>
      </c>
      <c r="D63" s="18">
        <f t="shared" si="37"/>
        <v>24867000</v>
      </c>
      <c r="E63" s="18">
        <f t="shared" si="37"/>
        <v>-5935920</v>
      </c>
      <c r="F63" s="18">
        <f t="shared" si="0"/>
        <v>18931080</v>
      </c>
      <c r="G63" s="18">
        <f t="shared" ref="G63" si="38">G56+G62</f>
        <v>8835422</v>
      </c>
      <c r="H63" s="125">
        <f t="shared" si="1"/>
        <v>0.46671515835335331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457</v>
      </c>
      <c r="G65" s="12" t="s">
        <v>273</v>
      </c>
      <c r="H65" s="123" t="s">
        <v>274</v>
      </c>
    </row>
    <row r="66" spans="1:8" ht="25.5">
      <c r="A66" s="13" t="s">
        <v>31</v>
      </c>
      <c r="B66" s="14" t="s">
        <v>32</v>
      </c>
      <c r="C66" s="15">
        <v>2545847</v>
      </c>
      <c r="D66" s="15">
        <v>5141000</v>
      </c>
      <c r="E66" s="15">
        <f>-2000000+115-100</f>
        <v>-1999985</v>
      </c>
      <c r="F66" s="15">
        <f t="shared" si="0"/>
        <v>3141015</v>
      </c>
      <c r="G66" s="15">
        <f>1770002-76654</f>
        <v>1693348</v>
      </c>
      <c r="H66" s="124">
        <f t="shared" si="1"/>
        <v>0.53910853657177693</v>
      </c>
    </row>
    <row r="67" spans="1:8" ht="25.5">
      <c r="A67" s="21" t="s">
        <v>178</v>
      </c>
      <c r="B67" s="14" t="s">
        <v>282</v>
      </c>
      <c r="C67" s="15"/>
      <c r="D67" s="15"/>
      <c r="E67" s="15">
        <v>120000</v>
      </c>
      <c r="F67" s="15">
        <f t="shared" si="0"/>
        <v>120000</v>
      </c>
      <c r="G67" s="15">
        <v>120000</v>
      </c>
      <c r="H67" s="124"/>
    </row>
    <row r="68" spans="1:8">
      <c r="A68" s="13" t="s">
        <v>33</v>
      </c>
      <c r="B68" s="14" t="s">
        <v>34</v>
      </c>
      <c r="C68" s="15">
        <v>147500</v>
      </c>
      <c r="D68" s="15">
        <v>180000</v>
      </c>
      <c r="E68" s="15">
        <v>-5000</v>
      </c>
      <c r="F68" s="15">
        <f t="shared" si="0"/>
        <v>175000</v>
      </c>
      <c r="G68" s="15">
        <v>60000</v>
      </c>
      <c r="H68" s="124">
        <f t="shared" si="1"/>
        <v>0.34285714285714286</v>
      </c>
    </row>
    <row r="69" spans="1:8">
      <c r="A69" s="13" t="s">
        <v>35</v>
      </c>
      <c r="B69" s="14" t="s">
        <v>36</v>
      </c>
      <c r="C69" s="15">
        <v>0</v>
      </c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>
        <v>19000</v>
      </c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5.5">
      <c r="A71" s="13" t="s">
        <v>39</v>
      </c>
      <c r="B71" s="14" t="s">
        <v>40</v>
      </c>
      <c r="C71" s="15">
        <v>250723</v>
      </c>
      <c r="D71" s="15">
        <v>136000</v>
      </c>
      <c r="E71" s="15">
        <f>-117061+400</f>
        <v>-116661</v>
      </c>
      <c r="F71" s="15">
        <f t="shared" si="0"/>
        <v>19339</v>
      </c>
      <c r="G71" s="15"/>
      <c r="H71" s="124">
        <f t="shared" si="1"/>
        <v>0</v>
      </c>
    </row>
    <row r="72" spans="1:8" ht="25.5">
      <c r="A72" s="13" t="s">
        <v>41</v>
      </c>
      <c r="B72" s="14" t="s">
        <v>42</v>
      </c>
      <c r="C72" s="15">
        <f t="shared" ref="C72:E72" si="39">SUM(C66:C71)</f>
        <v>2963070</v>
      </c>
      <c r="D72" s="15">
        <f t="shared" si="39"/>
        <v>5457000</v>
      </c>
      <c r="E72" s="15">
        <f t="shared" si="39"/>
        <v>-2001646</v>
      </c>
      <c r="F72" s="15">
        <f t="shared" si="0"/>
        <v>3455354</v>
      </c>
      <c r="G72" s="15">
        <f t="shared" ref="G72" si="40">SUM(G66:G71)</f>
        <v>1873348</v>
      </c>
      <c r="H72" s="124">
        <f t="shared" si="1"/>
        <v>0.54215805384918592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8.25">
      <c r="A74" s="13" t="s">
        <v>45</v>
      </c>
      <c r="B74" s="14" t="s">
        <v>46</v>
      </c>
      <c r="C74" s="15">
        <v>56180</v>
      </c>
      <c r="D74" s="15">
        <v>100000</v>
      </c>
      <c r="E74" s="15">
        <v>-100000</v>
      </c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56180</v>
      </c>
      <c r="D76" s="15">
        <f t="shared" si="43"/>
        <v>100000</v>
      </c>
      <c r="E76" s="15">
        <f t="shared" si="43"/>
        <v>-100000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3019250</v>
      </c>
      <c r="D77" s="18">
        <f t="shared" si="45"/>
        <v>5557000</v>
      </c>
      <c r="E77" s="18">
        <f t="shared" si="45"/>
        <v>-2101646</v>
      </c>
      <c r="F77" s="18">
        <f t="shared" si="41"/>
        <v>3455354</v>
      </c>
      <c r="G77" s="18">
        <f t="shared" ref="G77" si="46">G72+G76</f>
        <v>1873348</v>
      </c>
      <c r="H77" s="125">
        <f t="shared" si="42"/>
        <v>0.54215805384918592</v>
      </c>
    </row>
    <row r="78" spans="1:8" ht="25.5">
      <c r="A78" s="16" t="s">
        <v>53</v>
      </c>
      <c r="B78" s="17" t="s">
        <v>54</v>
      </c>
      <c r="C78" s="18">
        <f t="shared" ref="C78:E78" si="47">SUM(C79:C82)</f>
        <v>919935</v>
      </c>
      <c r="D78" s="18">
        <f t="shared" si="47"/>
        <v>1220000</v>
      </c>
      <c r="E78" s="18">
        <f t="shared" si="47"/>
        <v>-458147</v>
      </c>
      <c r="F78" s="18">
        <f t="shared" si="41"/>
        <v>761853</v>
      </c>
      <c r="G78" s="18">
        <f t="shared" ref="G78" si="48">SUM(G79:G82)</f>
        <v>457875</v>
      </c>
      <c r="H78" s="125">
        <f t="shared" si="42"/>
        <v>0.6010017680576174</v>
      </c>
    </row>
    <row r="79" spans="1:8">
      <c r="A79" s="13" t="s">
        <v>55</v>
      </c>
      <c r="B79" s="14" t="s">
        <v>56</v>
      </c>
      <c r="C79" s="15">
        <v>854310</v>
      </c>
      <c r="D79" s="15">
        <v>1131000</v>
      </c>
      <c r="E79" s="15">
        <f>-411000-437+289-45630</f>
        <v>-456778</v>
      </c>
      <c r="F79" s="15">
        <f t="shared" si="41"/>
        <v>674222</v>
      </c>
      <c r="G79" s="15">
        <v>433801</v>
      </c>
      <c r="H79" s="124">
        <f t="shared" si="42"/>
        <v>0.64340973744552976</v>
      </c>
    </row>
    <row r="80" spans="1:8">
      <c r="A80" s="13" t="s">
        <v>57</v>
      </c>
      <c r="B80" s="14" t="s">
        <v>58</v>
      </c>
      <c r="C80" s="15">
        <v>35003</v>
      </c>
      <c r="D80" s="15">
        <v>57000</v>
      </c>
      <c r="E80" s="15">
        <f>-80+60-833</f>
        <v>-853</v>
      </c>
      <c r="F80" s="15">
        <f t="shared" si="41"/>
        <v>56147</v>
      </c>
      <c r="G80" s="15">
        <v>12052</v>
      </c>
      <c r="H80" s="124">
        <f t="shared" si="42"/>
        <v>0.21465082729264254</v>
      </c>
    </row>
    <row r="81" spans="1:8">
      <c r="A81" s="13" t="s">
        <v>59</v>
      </c>
      <c r="B81" s="14" t="s">
        <v>60</v>
      </c>
      <c r="C81" s="15"/>
      <c r="D81" s="15">
        <v>0</v>
      </c>
      <c r="E81" s="15">
        <v>372</v>
      </c>
      <c r="F81" s="15">
        <f t="shared" si="41"/>
        <v>372</v>
      </c>
      <c r="G81" s="15"/>
      <c r="H81" s="124">
        <f t="shared" si="42"/>
        <v>0</v>
      </c>
    </row>
    <row r="82" spans="1:8" ht="25.5">
      <c r="A82" s="13" t="s">
        <v>61</v>
      </c>
      <c r="B82" s="14" t="s">
        <v>62</v>
      </c>
      <c r="C82" s="15">
        <v>30622</v>
      </c>
      <c r="D82" s="15">
        <v>32000</v>
      </c>
      <c r="E82" s="15">
        <f>-29+34-893</f>
        <v>-888</v>
      </c>
      <c r="F82" s="15">
        <f t="shared" si="41"/>
        <v>31112</v>
      </c>
      <c r="G82" s="15">
        <v>12022</v>
      </c>
      <c r="H82" s="124">
        <f t="shared" si="42"/>
        <v>0.38641038827462071</v>
      </c>
    </row>
    <row r="83" spans="1:8">
      <c r="A83" s="13" t="s">
        <v>63</v>
      </c>
      <c r="B83" s="14" t="s">
        <v>64</v>
      </c>
      <c r="C83" s="15"/>
      <c r="D83" s="15">
        <v>50000</v>
      </c>
      <c r="E83" s="15"/>
      <c r="F83" s="15">
        <f t="shared" si="41"/>
        <v>50000</v>
      </c>
      <c r="G83" s="15">
        <v>9040</v>
      </c>
      <c r="H83" s="124">
        <f t="shared" si="42"/>
        <v>0.18079999999999999</v>
      </c>
    </row>
    <row r="84" spans="1:8">
      <c r="A84" s="13" t="s">
        <v>65</v>
      </c>
      <c r="B84" s="14" t="s">
        <v>66</v>
      </c>
      <c r="C84" s="15">
        <v>3753991</v>
      </c>
      <c r="D84" s="15">
        <v>4000000</v>
      </c>
      <c r="E84" s="15">
        <v>-10000</v>
      </c>
      <c r="F84" s="15">
        <f t="shared" si="41"/>
        <v>3990000</v>
      </c>
      <c r="G84" s="15">
        <v>1064444</v>
      </c>
      <c r="H84" s="124">
        <f t="shared" si="42"/>
        <v>0.26677794486215539</v>
      </c>
    </row>
    <row r="85" spans="1:8">
      <c r="A85" s="13" t="s">
        <v>67</v>
      </c>
      <c r="B85" s="14" t="s">
        <v>68</v>
      </c>
      <c r="C85" s="15">
        <f t="shared" ref="C85:E85" si="49">SUM(C83:C84)</f>
        <v>3753991</v>
      </c>
      <c r="D85" s="15">
        <f t="shared" si="49"/>
        <v>4050000</v>
      </c>
      <c r="E85" s="15">
        <f t="shared" si="49"/>
        <v>-10000</v>
      </c>
      <c r="F85" s="15">
        <f t="shared" si="41"/>
        <v>4040000</v>
      </c>
      <c r="G85" s="15">
        <f t="shared" ref="G85" si="50">SUM(G83:G84)</f>
        <v>1073484</v>
      </c>
      <c r="H85" s="124">
        <f t="shared" si="42"/>
        <v>0.26571386138613862</v>
      </c>
    </row>
    <row r="86" spans="1:8">
      <c r="A86" s="13" t="s">
        <v>69</v>
      </c>
      <c r="B86" s="14" t="s">
        <v>70</v>
      </c>
      <c r="C86" s="15"/>
      <c r="D86" s="15"/>
      <c r="E86" s="15">
        <v>50000</v>
      </c>
      <c r="F86" s="15">
        <f t="shared" si="41"/>
        <v>50000</v>
      </c>
      <c r="G86" s="15">
        <v>21000</v>
      </c>
      <c r="H86" s="124">
        <f t="shared" si="42"/>
        <v>0.42</v>
      </c>
    </row>
    <row r="87" spans="1:8">
      <c r="A87" s="13" t="s">
        <v>71</v>
      </c>
      <c r="B87" s="14" t="s">
        <v>72</v>
      </c>
      <c r="C87" s="15">
        <v>80367</v>
      </c>
      <c r="D87" s="15">
        <v>100000</v>
      </c>
      <c r="E87" s="15">
        <f>-10000-5000</f>
        <v>-15000</v>
      </c>
      <c r="F87" s="15">
        <f t="shared" si="41"/>
        <v>85000</v>
      </c>
      <c r="G87" s="15">
        <v>20697</v>
      </c>
      <c r="H87" s="124">
        <f t="shared" si="42"/>
        <v>0.24349411764705883</v>
      </c>
    </row>
    <row r="88" spans="1:8">
      <c r="A88" s="13" t="s">
        <v>73</v>
      </c>
      <c r="B88" s="14" t="s">
        <v>74</v>
      </c>
      <c r="C88" s="15">
        <f t="shared" ref="C88:E88" si="51">SUM(C86:C87)</f>
        <v>80367</v>
      </c>
      <c r="D88" s="15">
        <f t="shared" si="51"/>
        <v>100000</v>
      </c>
      <c r="E88" s="15">
        <f t="shared" si="51"/>
        <v>35000</v>
      </c>
      <c r="F88" s="15">
        <f t="shared" si="41"/>
        <v>135000</v>
      </c>
      <c r="G88" s="15">
        <f t="shared" ref="G88" si="52">SUM(G86:G87)</f>
        <v>41697</v>
      </c>
      <c r="H88" s="124">
        <f t="shared" si="42"/>
        <v>0.30886666666666668</v>
      </c>
    </row>
    <row r="89" spans="1:8">
      <c r="A89" s="13" t="s">
        <v>75</v>
      </c>
      <c r="B89" s="14" t="s">
        <v>76</v>
      </c>
      <c r="C89" s="15">
        <v>43540</v>
      </c>
      <c r="D89" s="15">
        <v>40000</v>
      </c>
      <c r="E89" s="15">
        <f>34474+546</f>
        <v>35020</v>
      </c>
      <c r="F89" s="15">
        <f t="shared" si="41"/>
        <v>75020</v>
      </c>
      <c r="G89" s="15">
        <v>19537</v>
      </c>
      <c r="H89" s="124">
        <f t="shared" si="42"/>
        <v>0.2604238869634764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276</v>
      </c>
      <c r="B91" s="19" t="s">
        <v>277</v>
      </c>
      <c r="C91" s="15"/>
      <c r="D91" s="15">
        <v>90000</v>
      </c>
      <c r="E91" s="15"/>
      <c r="F91" s="15">
        <f t="shared" si="41"/>
        <v>90000</v>
      </c>
      <c r="G91" s="15"/>
      <c r="H91" s="124"/>
    </row>
    <row r="92" spans="1:8">
      <c r="A92" s="13" t="s">
        <v>79</v>
      </c>
      <c r="B92" s="14" t="s">
        <v>80</v>
      </c>
      <c r="C92" s="15">
        <v>746527</v>
      </c>
      <c r="D92" s="15">
        <v>1300000</v>
      </c>
      <c r="E92" s="15">
        <v>0</v>
      </c>
      <c r="F92" s="15">
        <f t="shared" si="41"/>
        <v>1300000</v>
      </c>
      <c r="G92" s="15">
        <v>124390</v>
      </c>
      <c r="H92" s="124">
        <f t="shared" si="42"/>
        <v>9.5684615384615382E-2</v>
      </c>
    </row>
    <row r="93" spans="1:8">
      <c r="A93" s="13" t="s">
        <v>81</v>
      </c>
      <c r="B93" s="14" t="s">
        <v>82</v>
      </c>
      <c r="C93" s="15">
        <v>3465</v>
      </c>
      <c r="D93" s="15">
        <v>40000</v>
      </c>
      <c r="E93" s="15"/>
      <c r="F93" s="15">
        <f t="shared" si="41"/>
        <v>40000</v>
      </c>
      <c r="G93" s="15"/>
      <c r="H93" s="124">
        <f t="shared" si="42"/>
        <v>0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5.5">
      <c r="A95" s="13" t="s">
        <v>85</v>
      </c>
      <c r="B95" s="14" t="s">
        <v>86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>
        <v>2482316</v>
      </c>
      <c r="D96" s="15">
        <v>2550000</v>
      </c>
      <c r="E96" s="15">
        <v>-1083270</v>
      </c>
      <c r="F96" s="15">
        <f t="shared" si="41"/>
        <v>1466730</v>
      </c>
      <c r="G96" s="15">
        <v>501306</v>
      </c>
      <c r="H96" s="124">
        <f t="shared" si="42"/>
        <v>0.34178478656603467</v>
      </c>
    </row>
    <row r="97" spans="1:8">
      <c r="A97" s="13" t="s">
        <v>89</v>
      </c>
      <c r="B97" s="14" t="s">
        <v>90</v>
      </c>
      <c r="C97" s="15">
        <v>250367</v>
      </c>
      <c r="D97" s="15">
        <v>50000</v>
      </c>
      <c r="E97" s="15"/>
      <c r="F97" s="15">
        <f t="shared" si="41"/>
        <v>50000</v>
      </c>
      <c r="G97" s="15"/>
      <c r="H97" s="124">
        <f t="shared" si="42"/>
        <v>0</v>
      </c>
    </row>
    <row r="98" spans="1:8" ht="25.5">
      <c r="A98" s="13" t="s">
        <v>91</v>
      </c>
      <c r="B98" s="14" t="s">
        <v>92</v>
      </c>
      <c r="C98" s="15">
        <f>C89+C90+C92+C93+C95+C96+C91</f>
        <v>3275848</v>
      </c>
      <c r="D98" s="15">
        <f t="shared" ref="D98:G98" si="53">D89+D90+D92+D93+D95+D96+D91</f>
        <v>4020000</v>
      </c>
      <c r="E98" s="15">
        <f t="shared" si="53"/>
        <v>-1048250</v>
      </c>
      <c r="F98" s="15">
        <f t="shared" si="53"/>
        <v>2971750</v>
      </c>
      <c r="G98" s="15">
        <f t="shared" si="53"/>
        <v>645233</v>
      </c>
      <c r="H98" s="124">
        <f t="shared" si="42"/>
        <v>0.21712223437368555</v>
      </c>
    </row>
    <row r="99" spans="1:8">
      <c r="A99" s="13" t="s">
        <v>280</v>
      </c>
      <c r="B99" s="14" t="s">
        <v>281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5.5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5.5">
      <c r="A102" s="13" t="s">
        <v>97</v>
      </c>
      <c r="B102" s="14" t="s">
        <v>98</v>
      </c>
      <c r="C102" s="15">
        <v>1662778</v>
      </c>
      <c r="D102" s="15">
        <v>2200000</v>
      </c>
      <c r="E102" s="15"/>
      <c r="F102" s="15">
        <f t="shared" si="41"/>
        <v>2200000</v>
      </c>
      <c r="G102" s="15">
        <v>368849</v>
      </c>
      <c r="H102" s="124">
        <f t="shared" si="42"/>
        <v>0.16765863636363637</v>
      </c>
    </row>
    <row r="103" spans="1:8" s="122" customFormat="1">
      <c r="A103" s="13">
        <v>52</v>
      </c>
      <c r="B103" s="14" t="s">
        <v>458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>
        <v>80071</v>
      </c>
      <c r="D104" s="15">
        <v>100000</v>
      </c>
      <c r="E104" s="15"/>
      <c r="F104" s="15">
        <f t="shared" si="41"/>
        <v>100000</v>
      </c>
      <c r="G104" s="15"/>
      <c r="H104" s="124">
        <f t="shared" si="42"/>
        <v>0</v>
      </c>
    </row>
    <row r="105" spans="1:8" ht="25.5">
      <c r="A105" s="13" t="s">
        <v>101</v>
      </c>
      <c r="B105" s="14" t="s">
        <v>102</v>
      </c>
      <c r="C105" s="15">
        <f t="shared" ref="C105:E105" si="55">SUM(C102:C104)</f>
        <v>1742849</v>
      </c>
      <c r="D105" s="15">
        <f t="shared" si="55"/>
        <v>2300000</v>
      </c>
      <c r="E105" s="15">
        <f t="shared" si="55"/>
        <v>0</v>
      </c>
      <c r="F105" s="15">
        <f t="shared" si="41"/>
        <v>2300000</v>
      </c>
      <c r="G105" s="15">
        <f t="shared" ref="G105" si="56">SUM(G102:G104)</f>
        <v>368849</v>
      </c>
      <c r="H105" s="124">
        <f t="shared" si="42"/>
        <v>0.1603691304347826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8853055</v>
      </c>
      <c r="D106" s="18">
        <f t="shared" si="57"/>
        <v>10470000</v>
      </c>
      <c r="E106" s="18">
        <f t="shared" si="57"/>
        <v>-1023250</v>
      </c>
      <c r="F106" s="18">
        <f t="shared" si="41"/>
        <v>9446750</v>
      </c>
      <c r="G106" s="18">
        <f t="shared" ref="G106" si="58">G85+G88+G98+G101+G105</f>
        <v>2129263</v>
      </c>
      <c r="H106" s="125">
        <f t="shared" si="42"/>
        <v>0.22539635324317886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5.5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5.5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5.5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8.25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5.5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5.5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5.5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5.5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5.5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5.5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5.5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275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8.25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466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1000000</v>
      </c>
      <c r="E126" s="15"/>
      <c r="F126" s="15">
        <f t="shared" si="41"/>
        <v>1000000</v>
      </c>
      <c r="G126" s="15">
        <v>0</v>
      </c>
      <c r="H126" s="124">
        <f t="shared" si="42"/>
        <v>0</v>
      </c>
    </row>
    <row r="127" spans="1:8" ht="25.5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5.5">
      <c r="A128" s="13" t="s">
        <v>143</v>
      </c>
      <c r="B128" s="14" t="s">
        <v>144</v>
      </c>
      <c r="C128" s="15">
        <v>8761669</v>
      </c>
      <c r="D128" s="15">
        <v>5000000</v>
      </c>
      <c r="E128" s="15">
        <v>-2352877</v>
      </c>
      <c r="F128" s="15">
        <f t="shared" si="41"/>
        <v>2647123</v>
      </c>
      <c r="G128" s="15"/>
      <c r="H128" s="124">
        <f t="shared" si="42"/>
        <v>0</v>
      </c>
    </row>
    <row r="129" spans="1:8" ht="25.5">
      <c r="A129" s="13" t="s">
        <v>145</v>
      </c>
      <c r="B129" s="14" t="s">
        <v>146</v>
      </c>
      <c r="C129" s="15">
        <v>2365651</v>
      </c>
      <c r="D129" s="15">
        <v>1620000</v>
      </c>
      <c r="E129" s="15"/>
      <c r="F129" s="15">
        <f t="shared" si="41"/>
        <v>1620000</v>
      </c>
      <c r="G129" s="15"/>
      <c r="H129" s="124">
        <f t="shared" si="42"/>
        <v>0</v>
      </c>
    </row>
    <row r="130" spans="1:8">
      <c r="A130" s="16" t="s">
        <v>147</v>
      </c>
      <c r="B130" s="17" t="s">
        <v>148</v>
      </c>
      <c r="C130" s="18">
        <f>SUM(C125:C129)</f>
        <v>11127320</v>
      </c>
      <c r="D130" s="18">
        <f t="shared" ref="D130:G130" si="71">SUM(D125:D129)</f>
        <v>7620000</v>
      </c>
      <c r="E130" s="18">
        <f t="shared" si="71"/>
        <v>-2352877</v>
      </c>
      <c r="F130" s="18">
        <f t="shared" si="71"/>
        <v>5267123</v>
      </c>
      <c r="G130" s="18">
        <f t="shared" si="71"/>
        <v>0</v>
      </c>
      <c r="H130" s="125">
        <f t="shared" si="42"/>
        <v>0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>
        <v>31000</v>
      </c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5.5">
      <c r="A133" s="13" t="s">
        <v>153</v>
      </c>
      <c r="B133" s="14" t="s">
        <v>154</v>
      </c>
      <c r="C133" s="15">
        <v>8370</v>
      </c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39370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5.5">
      <c r="A135" s="16" t="s">
        <v>157</v>
      </c>
      <c r="B135" s="17" t="s">
        <v>158</v>
      </c>
      <c r="C135" s="18">
        <f t="shared" ref="C135:E135" si="74">C77+C78+C106+C113+C124+C130+C134</f>
        <v>23958930</v>
      </c>
      <c r="D135" s="18">
        <f t="shared" si="74"/>
        <v>24867000</v>
      </c>
      <c r="E135" s="18">
        <f t="shared" si="74"/>
        <v>-5935920</v>
      </c>
      <c r="F135" s="18">
        <f t="shared" si="41"/>
        <v>18931080</v>
      </c>
      <c r="G135" s="18">
        <f t="shared" ref="G135" si="75">G77+G78+G106+G113+G124+G130+G134</f>
        <v>4460486</v>
      </c>
      <c r="H135" s="125">
        <f t="shared" si="42"/>
        <v>0.23561709104815995</v>
      </c>
    </row>
    <row r="136" spans="1:8" ht="25.5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5.5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5.5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5.5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23958930</v>
      </c>
      <c r="D140" s="18">
        <f t="shared" si="80"/>
        <v>24867000</v>
      </c>
      <c r="E140" s="18">
        <f t="shared" si="80"/>
        <v>-5935920</v>
      </c>
      <c r="F140" s="18">
        <f t="shared" si="41"/>
        <v>18931080</v>
      </c>
      <c r="G140" s="18">
        <f t="shared" ref="G140" si="81">G135+G139</f>
        <v>4460486</v>
      </c>
      <c r="H140" s="125">
        <f t="shared" si="42"/>
        <v>0.23561709104815995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140"/>
  <sheetViews>
    <sheetView view="pageBreakPreview" zoomScale="85" zoomScaleNormal="100" zoomScaleSheetLayoutView="85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9.44140625" customWidth="1"/>
    <col min="6" max="6" width="11.109375" customWidth="1"/>
    <col min="8" max="8" width="11.77734375" style="126" customWidth="1"/>
  </cols>
  <sheetData>
    <row r="1" spans="1:8">
      <c r="A1" s="140" t="s">
        <v>436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16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853000</v>
      </c>
      <c r="D6" s="15">
        <v>917000</v>
      </c>
      <c r="E6" s="15">
        <v>0</v>
      </c>
      <c r="F6" s="15">
        <f>SUM(D6:E6)</f>
        <v>917000</v>
      </c>
      <c r="G6" s="15">
        <v>476840</v>
      </c>
      <c r="H6" s="124">
        <f>G6/F6</f>
        <v>0.52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8.25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5.5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 t="shared" ref="C12:E12" si="2">SUM(C6:C11)</f>
        <v>853000</v>
      </c>
      <c r="D12" s="15">
        <f t="shared" si="2"/>
        <v>917000</v>
      </c>
      <c r="E12" s="15">
        <f t="shared" si="2"/>
        <v>0</v>
      </c>
      <c r="F12" s="15">
        <f t="shared" si="0"/>
        <v>917000</v>
      </c>
      <c r="G12" s="15">
        <f t="shared" ref="G12" si="3">SUM(G6:G11)</f>
        <v>476840</v>
      </c>
      <c r="H12" s="124">
        <f t="shared" si="1"/>
        <v>0.52</v>
      </c>
    </row>
    <row r="13" spans="1:8" ht="25.5">
      <c r="A13" s="13" t="s">
        <v>67</v>
      </c>
      <c r="B13" s="14" t="s">
        <v>185</v>
      </c>
      <c r="C13" s="15">
        <f t="shared" ref="C13:E13" si="4">SUM(C14:C19)</f>
        <v>142800</v>
      </c>
      <c r="D13" s="15">
        <f t="shared" si="4"/>
        <v>138000</v>
      </c>
      <c r="E13" s="15">
        <f t="shared" si="4"/>
        <v>0</v>
      </c>
      <c r="F13" s="15">
        <f t="shared" si="0"/>
        <v>138000</v>
      </c>
      <c r="G13" s="15">
        <f t="shared" ref="G13" si="5">SUM(G14:G19)</f>
        <v>69000</v>
      </c>
      <c r="H13" s="124">
        <f t="shared" si="1"/>
        <v>0.5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142800</v>
      </c>
      <c r="D17" s="15">
        <v>138000</v>
      </c>
      <c r="E17" s="15">
        <v>0</v>
      </c>
      <c r="F17" s="15">
        <f t="shared" si="0"/>
        <v>138000</v>
      </c>
      <c r="G17" s="15">
        <v>69000</v>
      </c>
      <c r="H17" s="124">
        <f t="shared" si="1"/>
        <v>0.5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 t="shared" ref="C20:G20" si="6">C12+C13</f>
        <v>995800</v>
      </c>
      <c r="D20" s="18">
        <f t="shared" si="6"/>
        <v>1055000</v>
      </c>
      <c r="E20" s="18">
        <f t="shared" si="6"/>
        <v>0</v>
      </c>
      <c r="F20" s="18">
        <f t="shared" si="0"/>
        <v>1055000</v>
      </c>
      <c r="G20" s="18">
        <f t="shared" si="6"/>
        <v>545840</v>
      </c>
      <c r="H20" s="125">
        <f t="shared" si="1"/>
        <v>0.51738388625592413</v>
      </c>
    </row>
    <row r="21" spans="1:8" ht="25.5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>
        <v>0</v>
      </c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8.25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5.5">
      <c r="A49" s="16">
        <v>231</v>
      </c>
      <c r="B49" s="17" t="s">
        <v>460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8.25">
      <c r="A50" s="20">
        <v>232</v>
      </c>
      <c r="B50" s="19" t="s">
        <v>459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5.5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5.5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5.5">
      <c r="A56" s="16" t="s">
        <v>253</v>
      </c>
      <c r="B56" s="17" t="s">
        <v>254</v>
      </c>
      <c r="C56" s="18">
        <f t="shared" ref="C56:E56" si="30">C55+C46+C48+C36+C20+C22</f>
        <v>995800</v>
      </c>
      <c r="D56" s="18">
        <f t="shared" si="30"/>
        <v>1055000</v>
      </c>
      <c r="E56" s="18">
        <f t="shared" si="30"/>
        <v>0</v>
      </c>
      <c r="F56" s="18">
        <f t="shared" si="0"/>
        <v>1055000</v>
      </c>
      <c r="G56" s="18">
        <f t="shared" ref="G56" si="31">G55+G46+G48+G36+G20+G22</f>
        <v>545840</v>
      </c>
      <c r="H56" s="125">
        <f t="shared" si="1"/>
        <v>0.51738388625592413</v>
      </c>
    </row>
    <row r="57" spans="1:8" ht="25.5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412</v>
      </c>
      <c r="C60" s="15"/>
      <c r="D60" s="15"/>
      <c r="E60" s="15"/>
      <c r="F60" s="15"/>
      <c r="G60" s="15"/>
      <c r="H60" s="124"/>
    </row>
    <row r="61" spans="1:8" ht="25.5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5.5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995800</v>
      </c>
      <c r="D63" s="18">
        <f t="shared" si="37"/>
        <v>1055000</v>
      </c>
      <c r="E63" s="18">
        <f t="shared" si="37"/>
        <v>0</v>
      </c>
      <c r="F63" s="18">
        <f t="shared" si="0"/>
        <v>1055000</v>
      </c>
      <c r="G63" s="18">
        <f t="shared" ref="G63" si="38">G56+G62</f>
        <v>545840</v>
      </c>
      <c r="H63" s="125">
        <f t="shared" si="1"/>
        <v>0.51738388625592413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457</v>
      </c>
      <c r="G65" s="12" t="s">
        <v>273</v>
      </c>
      <c r="H65" s="123" t="s">
        <v>274</v>
      </c>
    </row>
    <row r="66" spans="1:8" ht="25.5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5.5">
      <c r="A67" s="21" t="s">
        <v>178</v>
      </c>
      <c r="B67" s="14" t="s">
        <v>282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5.5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5.5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8.25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0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5.5">
      <c r="A78" s="16" t="s">
        <v>53</v>
      </c>
      <c r="B78" s="17" t="s">
        <v>54</v>
      </c>
      <c r="C78" s="18">
        <f t="shared" ref="C78:E78" si="47">SUM(C79:C82)</f>
        <v>0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5.5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>
        <v>547</v>
      </c>
      <c r="D84" s="15">
        <v>15000</v>
      </c>
      <c r="E84" s="15"/>
      <c r="F84" s="15">
        <f t="shared" si="41"/>
        <v>15000</v>
      </c>
      <c r="G84" s="15">
        <v>8624</v>
      </c>
      <c r="H84" s="124">
        <f t="shared" si="42"/>
        <v>0.5749333333333333</v>
      </c>
    </row>
    <row r="85" spans="1:8">
      <c r="A85" s="13" t="s">
        <v>67</v>
      </c>
      <c r="B85" s="14" t="s">
        <v>68</v>
      </c>
      <c r="C85" s="15">
        <f t="shared" ref="C85:E85" si="49">SUM(C83:C84)</f>
        <v>547</v>
      </c>
      <c r="D85" s="15">
        <f t="shared" si="49"/>
        <v>15000</v>
      </c>
      <c r="E85" s="15">
        <f t="shared" si="49"/>
        <v>0</v>
      </c>
      <c r="F85" s="15">
        <f t="shared" si="41"/>
        <v>15000</v>
      </c>
      <c r="G85" s="15">
        <f t="shared" ref="G85" si="50">SUM(G83:G84)</f>
        <v>8624</v>
      </c>
      <c r="H85" s="124">
        <f t="shared" si="42"/>
        <v>0.5749333333333333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>
        <v>106784</v>
      </c>
      <c r="D89" s="15">
        <v>100000</v>
      </c>
      <c r="E89" s="15"/>
      <c r="F89" s="15">
        <f t="shared" si="41"/>
        <v>100000</v>
      </c>
      <c r="G89" s="15">
        <v>73333</v>
      </c>
      <c r="H89" s="124">
        <f t="shared" si="42"/>
        <v>0.73333000000000004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276</v>
      </c>
      <c r="B91" s="19" t="s">
        <v>277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9000</v>
      </c>
      <c r="D92" s="15">
        <v>10000</v>
      </c>
      <c r="E92" s="15">
        <v>5000</v>
      </c>
      <c r="F92" s="15">
        <f t="shared" si="41"/>
        <v>15000</v>
      </c>
      <c r="G92" s="15">
        <v>13400</v>
      </c>
      <c r="H92" s="124">
        <f t="shared" si="42"/>
        <v>0.89333333333333331</v>
      </c>
    </row>
    <row r="93" spans="1:8">
      <c r="A93" s="13" t="s">
        <v>81</v>
      </c>
      <c r="B93" s="14" t="s">
        <v>82</v>
      </c>
      <c r="C93" s="15">
        <v>516366</v>
      </c>
      <c r="D93" s="15">
        <v>400000</v>
      </c>
      <c r="E93" s="15"/>
      <c r="F93" s="15">
        <f t="shared" si="41"/>
        <v>400000</v>
      </c>
      <c r="G93" s="15"/>
      <c r="H93" s="124">
        <f t="shared" si="42"/>
        <v>0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5.5">
      <c r="A95" s="13" t="s">
        <v>85</v>
      </c>
      <c r="B95" s="14" t="s">
        <v>86</v>
      </c>
      <c r="C95" s="15"/>
      <c r="D95" s="15">
        <v>150000</v>
      </c>
      <c r="E95" s="15"/>
      <c r="F95" s="15">
        <f t="shared" si="41"/>
        <v>150000</v>
      </c>
      <c r="G95" s="15"/>
      <c r="H95" s="124">
        <f t="shared" si="42"/>
        <v>0</v>
      </c>
    </row>
    <row r="96" spans="1:8">
      <c r="A96" s="13" t="s">
        <v>87</v>
      </c>
      <c r="B96" s="14" t="s">
        <v>88</v>
      </c>
      <c r="C96" s="15">
        <v>51245</v>
      </c>
      <c r="D96" s="15">
        <v>50000</v>
      </c>
      <c r="E96" s="15"/>
      <c r="F96" s="15">
        <f t="shared" si="41"/>
        <v>50000</v>
      </c>
      <c r="G96" s="15"/>
      <c r="H96" s="124">
        <f t="shared" si="42"/>
        <v>0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5.5">
      <c r="A98" s="13" t="s">
        <v>91</v>
      </c>
      <c r="B98" s="14" t="s">
        <v>92</v>
      </c>
      <c r="C98" s="15">
        <f>C89+C90+C92+C93+C95+C96+C91</f>
        <v>683395</v>
      </c>
      <c r="D98" s="15">
        <f t="shared" ref="D98:G98" si="53">D89+D90+D92+D93+D95+D96+D91</f>
        <v>710000</v>
      </c>
      <c r="E98" s="15">
        <f t="shared" si="53"/>
        <v>5000</v>
      </c>
      <c r="F98" s="15">
        <f t="shared" si="53"/>
        <v>715000</v>
      </c>
      <c r="G98" s="15">
        <f t="shared" si="53"/>
        <v>86733</v>
      </c>
      <c r="H98" s="124">
        <f t="shared" si="42"/>
        <v>0.1213048951048951</v>
      </c>
    </row>
    <row r="99" spans="1:8">
      <c r="A99" s="13" t="s">
        <v>280</v>
      </c>
      <c r="B99" s="14" t="s">
        <v>281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5.5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5.5">
      <c r="A102" s="13" t="s">
        <v>97</v>
      </c>
      <c r="B102" s="14" t="s">
        <v>98</v>
      </c>
      <c r="C102" s="15">
        <v>177469</v>
      </c>
      <c r="D102" s="15">
        <v>195000</v>
      </c>
      <c r="E102" s="15">
        <v>-8000</v>
      </c>
      <c r="F102" s="15">
        <f t="shared" si="41"/>
        <v>187000</v>
      </c>
      <c r="G102" s="15">
        <v>24903</v>
      </c>
      <c r="H102" s="124">
        <f t="shared" si="42"/>
        <v>0.13317112299465242</v>
      </c>
    </row>
    <row r="103" spans="1:8" s="122" customFormat="1">
      <c r="A103" s="13">
        <v>52</v>
      </c>
      <c r="B103" s="14" t="s">
        <v>458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5.5">
      <c r="A105" s="13" t="s">
        <v>101</v>
      </c>
      <c r="B105" s="14" t="s">
        <v>102</v>
      </c>
      <c r="C105" s="15">
        <f t="shared" ref="C105:E105" si="55">SUM(C102:C104)</f>
        <v>177469</v>
      </c>
      <c r="D105" s="15">
        <f t="shared" si="55"/>
        <v>195000</v>
      </c>
      <c r="E105" s="15">
        <f t="shared" si="55"/>
        <v>-8000</v>
      </c>
      <c r="F105" s="15">
        <f t="shared" si="41"/>
        <v>187000</v>
      </c>
      <c r="G105" s="15">
        <f t="shared" ref="G105" si="56">SUM(G102:G104)</f>
        <v>24903</v>
      </c>
      <c r="H105" s="124">
        <f t="shared" si="42"/>
        <v>0.13317112299465242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861411</v>
      </c>
      <c r="D106" s="18">
        <f t="shared" si="57"/>
        <v>920000</v>
      </c>
      <c r="E106" s="18">
        <f t="shared" si="57"/>
        <v>-3000</v>
      </c>
      <c r="F106" s="18">
        <f t="shared" si="41"/>
        <v>917000</v>
      </c>
      <c r="G106" s="18">
        <f t="shared" ref="G106" si="58">G85+G88+G98+G101+G105</f>
        <v>120260</v>
      </c>
      <c r="H106" s="125">
        <f t="shared" si="42"/>
        <v>0.13114503816793893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5.5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5.5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5.5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8.25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5.5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5.5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5.5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5.5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5.5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5.5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5.5">
      <c r="A119" s="13" t="s">
        <v>129</v>
      </c>
      <c r="B119" s="14" t="s">
        <v>130</v>
      </c>
      <c r="C119" s="15">
        <f t="shared" ref="C119:E119" si="68">SUM(C120:C122)</f>
        <v>134700</v>
      </c>
      <c r="D119" s="15">
        <f t="shared" si="68"/>
        <v>135000</v>
      </c>
      <c r="E119" s="15">
        <f t="shared" si="68"/>
        <v>3000</v>
      </c>
      <c r="F119" s="15">
        <f t="shared" si="41"/>
        <v>138000</v>
      </c>
      <c r="G119" s="15">
        <f t="shared" ref="G119" si="69">SUM(G120:G122)</f>
        <v>138000</v>
      </c>
      <c r="H119" s="124">
        <f t="shared" si="42"/>
        <v>1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>
        <v>134700</v>
      </c>
      <c r="D122" s="15">
        <v>135000</v>
      </c>
      <c r="E122" s="15">
        <v>3000</v>
      </c>
      <c r="F122" s="15">
        <f t="shared" si="41"/>
        <v>138000</v>
      </c>
      <c r="G122" s="15">
        <v>138000</v>
      </c>
      <c r="H122" s="124">
        <f t="shared" si="42"/>
        <v>1</v>
      </c>
    </row>
    <row r="123" spans="1:8">
      <c r="A123" s="13">
        <v>188</v>
      </c>
      <c r="B123" s="14" t="s">
        <v>275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8.25">
      <c r="A124" s="16" t="s">
        <v>137</v>
      </c>
      <c r="B124" s="17" t="s">
        <v>138</v>
      </c>
      <c r="C124" s="18">
        <f>C116+C118+C119+C123</f>
        <v>134700</v>
      </c>
      <c r="D124" s="18">
        <f t="shared" ref="D124:G124" si="70">D116+D118+D119+D123</f>
        <v>135000</v>
      </c>
      <c r="E124" s="18">
        <f t="shared" si="70"/>
        <v>3000</v>
      </c>
      <c r="F124" s="18">
        <f t="shared" si="70"/>
        <v>138000</v>
      </c>
      <c r="G124" s="18">
        <f t="shared" si="70"/>
        <v>138000</v>
      </c>
      <c r="H124" s="125">
        <f t="shared" si="42"/>
        <v>1</v>
      </c>
    </row>
    <row r="125" spans="1:8" s="128" customFormat="1">
      <c r="A125" s="20">
        <v>192</v>
      </c>
      <c r="B125" s="19" t="s">
        <v>466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5.5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5.5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5.5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5.5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5.5">
      <c r="A135" s="16" t="s">
        <v>157</v>
      </c>
      <c r="B135" s="17" t="s">
        <v>158</v>
      </c>
      <c r="C135" s="18">
        <f t="shared" ref="C135:E135" si="74">C77+C78+C106+C113+C124+C130+C134</f>
        <v>996111</v>
      </c>
      <c r="D135" s="18">
        <f t="shared" si="74"/>
        <v>1055000</v>
      </c>
      <c r="E135" s="18">
        <f t="shared" si="74"/>
        <v>0</v>
      </c>
      <c r="F135" s="18">
        <f t="shared" si="41"/>
        <v>1055000</v>
      </c>
      <c r="G135" s="18">
        <f t="shared" ref="G135" si="75">G77+G78+G106+G113+G124+G130+G134</f>
        <v>258260</v>
      </c>
      <c r="H135" s="125">
        <f t="shared" si="42"/>
        <v>0.24479620853080569</v>
      </c>
    </row>
    <row r="136" spans="1:8" ht="25.5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5.5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5.5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5.5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996111</v>
      </c>
      <c r="D140" s="18">
        <f t="shared" si="80"/>
        <v>1055000</v>
      </c>
      <c r="E140" s="18">
        <f t="shared" si="80"/>
        <v>0</v>
      </c>
      <c r="F140" s="18">
        <f t="shared" si="41"/>
        <v>1055000</v>
      </c>
      <c r="G140" s="18">
        <f t="shared" ref="G140" si="81">G135+G139</f>
        <v>258260</v>
      </c>
      <c r="H140" s="125">
        <f t="shared" si="42"/>
        <v>0.24479620853080569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6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40"/>
  <sheetViews>
    <sheetView view="pageBreakPreview" zoomScaleNormal="100" zoomScaleSheetLayoutView="100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10" customWidth="1"/>
    <col min="6" max="6" width="10.44140625" customWidth="1"/>
    <col min="8" max="8" width="12" style="126" customWidth="1"/>
  </cols>
  <sheetData>
    <row r="1" spans="1:8">
      <c r="A1" s="140" t="s">
        <v>437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18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1828000</v>
      </c>
      <c r="D6" s="15">
        <v>1895000</v>
      </c>
      <c r="E6" s="15">
        <v>0</v>
      </c>
      <c r="F6" s="15">
        <f>SUM(D6:E6)</f>
        <v>1895000</v>
      </c>
      <c r="G6" s="15">
        <v>985400</v>
      </c>
      <c r="H6" s="124">
        <f>G6/F6</f>
        <v>0.52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8.25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5.5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 t="shared" ref="C12:E12" si="2">SUM(C6:C11)</f>
        <v>1828000</v>
      </c>
      <c r="D12" s="15">
        <f t="shared" si="2"/>
        <v>1895000</v>
      </c>
      <c r="E12" s="15">
        <f t="shared" si="2"/>
        <v>0</v>
      </c>
      <c r="F12" s="15">
        <f t="shared" si="0"/>
        <v>1895000</v>
      </c>
      <c r="G12" s="15">
        <f t="shared" ref="G12" si="3">SUM(G6:G11)</f>
        <v>985400</v>
      </c>
      <c r="H12" s="124">
        <f t="shared" si="1"/>
        <v>0.52</v>
      </c>
    </row>
    <row r="13" spans="1:8" ht="25.5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 t="shared" ref="C20:G20" si="6">C12+C13</f>
        <v>1828000</v>
      </c>
      <c r="D20" s="18">
        <f t="shared" si="6"/>
        <v>1895000</v>
      </c>
      <c r="E20" s="18">
        <f t="shared" si="6"/>
        <v>0</v>
      </c>
      <c r="F20" s="18">
        <f t="shared" si="0"/>
        <v>1895000</v>
      </c>
      <c r="G20" s="18">
        <f t="shared" si="6"/>
        <v>985400</v>
      </c>
      <c r="H20" s="125">
        <f t="shared" si="1"/>
        <v>0.52</v>
      </c>
    </row>
    <row r="21" spans="1:8" ht="25.5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8.25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5.5">
      <c r="A49" s="16">
        <v>231</v>
      </c>
      <c r="B49" s="17" t="s">
        <v>460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8.25">
      <c r="A50" s="20">
        <v>232</v>
      </c>
      <c r="B50" s="19" t="s">
        <v>459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5.5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5.5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5.5">
      <c r="A56" s="16" t="s">
        <v>253</v>
      </c>
      <c r="B56" s="17" t="s">
        <v>254</v>
      </c>
      <c r="C56" s="18">
        <f t="shared" ref="C56:E56" si="30">C55+C46+C48+C36+C20+C22</f>
        <v>1828000</v>
      </c>
      <c r="D56" s="18">
        <f t="shared" si="30"/>
        <v>1895000</v>
      </c>
      <c r="E56" s="18">
        <f t="shared" si="30"/>
        <v>0</v>
      </c>
      <c r="F56" s="18">
        <f t="shared" si="0"/>
        <v>1895000</v>
      </c>
      <c r="G56" s="18">
        <f t="shared" ref="G56" si="31">G55+G46+G48+G36+G20+G22</f>
        <v>985400</v>
      </c>
      <c r="H56" s="125">
        <f t="shared" si="1"/>
        <v>0.52</v>
      </c>
    </row>
    <row r="57" spans="1:8" ht="25.5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412</v>
      </c>
      <c r="C60" s="15"/>
      <c r="D60" s="15"/>
      <c r="E60" s="15"/>
      <c r="F60" s="15"/>
      <c r="G60" s="15"/>
      <c r="H60" s="124"/>
    </row>
    <row r="61" spans="1:8" ht="25.5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5.5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1828000</v>
      </c>
      <c r="D63" s="18">
        <f t="shared" si="37"/>
        <v>1895000</v>
      </c>
      <c r="E63" s="18">
        <f t="shared" si="37"/>
        <v>0</v>
      </c>
      <c r="F63" s="18">
        <f t="shared" si="0"/>
        <v>1895000</v>
      </c>
      <c r="G63" s="18">
        <f t="shared" ref="G63" si="38">G56+G62</f>
        <v>985400</v>
      </c>
      <c r="H63" s="125">
        <f t="shared" si="1"/>
        <v>0.52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457</v>
      </c>
      <c r="G65" s="12" t="s">
        <v>273</v>
      </c>
      <c r="H65" s="123" t="s">
        <v>274</v>
      </c>
    </row>
    <row r="66" spans="1:8" ht="25.5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5.5">
      <c r="A67" s="21" t="s">
        <v>178</v>
      </c>
      <c r="B67" s="14" t="s">
        <v>282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5.5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5.5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8.25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0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5.5">
      <c r="A78" s="16" t="s">
        <v>53</v>
      </c>
      <c r="B78" s="17" t="s">
        <v>54</v>
      </c>
      <c r="C78" s="18">
        <f t="shared" ref="C78:E78" si="47">SUM(C79:C82)</f>
        <v>0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5.5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>
        <v>315642</v>
      </c>
      <c r="D84" s="15">
        <v>350000</v>
      </c>
      <c r="E84" s="15"/>
      <c r="F84" s="15">
        <f t="shared" si="41"/>
        <v>350000</v>
      </c>
      <c r="G84" s="15">
        <v>149723</v>
      </c>
      <c r="H84" s="124">
        <f t="shared" si="42"/>
        <v>0.42777999999999999</v>
      </c>
    </row>
    <row r="85" spans="1:8">
      <c r="A85" s="13" t="s">
        <v>67</v>
      </c>
      <c r="B85" s="14" t="s">
        <v>68</v>
      </c>
      <c r="C85" s="15">
        <f t="shared" ref="C85:E85" si="49">SUM(C83:C84)</f>
        <v>315642</v>
      </c>
      <c r="D85" s="15">
        <f t="shared" si="49"/>
        <v>350000</v>
      </c>
      <c r="E85" s="15">
        <f t="shared" si="49"/>
        <v>0</v>
      </c>
      <c r="F85" s="15">
        <f t="shared" si="41"/>
        <v>350000</v>
      </c>
      <c r="G85" s="15">
        <f t="shared" ref="G85" si="50">SUM(G83:G84)</f>
        <v>149723</v>
      </c>
      <c r="H85" s="124">
        <f t="shared" si="42"/>
        <v>0.42777999999999999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/>
      <c r="D89" s="15"/>
      <c r="E89" s="15"/>
      <c r="F89" s="15">
        <f t="shared" si="41"/>
        <v>0</v>
      </c>
      <c r="G89" s="15"/>
      <c r="H89" s="124" t="e">
        <f t="shared" si="42"/>
        <v>#DIV/0!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276</v>
      </c>
      <c r="B91" s="19" t="s">
        <v>277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5.5">
      <c r="A95" s="13" t="s">
        <v>85</v>
      </c>
      <c r="B95" s="14" t="s">
        <v>86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>
        <v>78972</v>
      </c>
      <c r="D96" s="15">
        <v>150000</v>
      </c>
      <c r="E96" s="15">
        <v>-133350</v>
      </c>
      <c r="F96" s="15">
        <f t="shared" si="41"/>
        <v>16650</v>
      </c>
      <c r="G96" s="15"/>
      <c r="H96" s="124">
        <f t="shared" si="42"/>
        <v>0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5.5">
      <c r="A98" s="13" t="s">
        <v>91</v>
      </c>
      <c r="B98" s="14" t="s">
        <v>92</v>
      </c>
      <c r="C98" s="15">
        <f>C89+C90+C92+C93+C95+C96+C91</f>
        <v>78972</v>
      </c>
      <c r="D98" s="15">
        <f t="shared" ref="D98:G98" si="53">D89+D90+D92+D93+D95+D96+D91</f>
        <v>150000</v>
      </c>
      <c r="E98" s="15">
        <f t="shared" si="53"/>
        <v>-133350</v>
      </c>
      <c r="F98" s="15">
        <f t="shared" si="53"/>
        <v>16650</v>
      </c>
      <c r="G98" s="15">
        <f t="shared" si="53"/>
        <v>0</v>
      </c>
      <c r="H98" s="124">
        <f t="shared" si="42"/>
        <v>0</v>
      </c>
    </row>
    <row r="99" spans="1:8">
      <c r="A99" s="13" t="s">
        <v>280</v>
      </c>
      <c r="B99" s="14" t="s">
        <v>281</v>
      </c>
      <c r="C99" s="15"/>
      <c r="D99" s="15"/>
      <c r="E99" s="15"/>
      <c r="F99" s="15">
        <f t="shared" si="41"/>
        <v>0</v>
      </c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5.5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5.5">
      <c r="A102" s="13" t="s">
        <v>97</v>
      </c>
      <c r="B102" s="14" t="s">
        <v>98</v>
      </c>
      <c r="C102" s="15">
        <v>106544</v>
      </c>
      <c r="D102" s="15">
        <v>125000</v>
      </c>
      <c r="E102" s="15"/>
      <c r="F102" s="15">
        <f t="shared" si="41"/>
        <v>125000</v>
      </c>
      <c r="G102" s="15">
        <v>40425</v>
      </c>
      <c r="H102" s="124">
        <f t="shared" si="42"/>
        <v>0.32340000000000002</v>
      </c>
    </row>
    <row r="103" spans="1:8" s="122" customFormat="1">
      <c r="A103" s="13">
        <v>52</v>
      </c>
      <c r="B103" s="14" t="s">
        <v>458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5.5">
      <c r="A105" s="13" t="s">
        <v>101</v>
      </c>
      <c r="B105" s="14" t="s">
        <v>102</v>
      </c>
      <c r="C105" s="15">
        <f t="shared" ref="C105:E105" si="55">SUM(C102:C104)</f>
        <v>106544</v>
      </c>
      <c r="D105" s="15">
        <f t="shared" si="55"/>
        <v>125000</v>
      </c>
      <c r="E105" s="15">
        <f t="shared" si="55"/>
        <v>0</v>
      </c>
      <c r="F105" s="15">
        <f t="shared" si="41"/>
        <v>125000</v>
      </c>
      <c r="G105" s="15">
        <f t="shared" ref="G105" si="56">SUM(G102:G104)</f>
        <v>40425</v>
      </c>
      <c r="H105" s="124">
        <f t="shared" si="42"/>
        <v>0.32340000000000002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501158</v>
      </c>
      <c r="D106" s="18">
        <f t="shared" si="57"/>
        <v>625000</v>
      </c>
      <c r="E106" s="18">
        <f t="shared" si="57"/>
        <v>-133350</v>
      </c>
      <c r="F106" s="18">
        <f t="shared" si="41"/>
        <v>491650</v>
      </c>
      <c r="G106" s="18">
        <f t="shared" ref="G106" si="58">G85+G88+G98+G101+G105</f>
        <v>190148</v>
      </c>
      <c r="H106" s="125">
        <f t="shared" si="42"/>
        <v>0.3867548052476355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5.5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5.5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5.5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8.25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5.5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5.5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5.5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5.5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5.5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5.5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5.5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275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8.25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466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5.5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5.5">
      <c r="A128" s="13" t="s">
        <v>143</v>
      </c>
      <c r="B128" s="14" t="s">
        <v>144</v>
      </c>
      <c r="C128" s="15"/>
      <c r="D128" s="15"/>
      <c r="E128" s="15">
        <v>105000</v>
      </c>
      <c r="F128" s="15">
        <f t="shared" si="41"/>
        <v>105000</v>
      </c>
      <c r="G128" s="15">
        <v>105000</v>
      </c>
      <c r="H128" s="124">
        <f t="shared" si="42"/>
        <v>1</v>
      </c>
    </row>
    <row r="129" spans="1:8" ht="25.5">
      <c r="A129" s="13" t="s">
        <v>145</v>
      </c>
      <c r="B129" s="14" t="s">
        <v>146</v>
      </c>
      <c r="C129" s="15"/>
      <c r="D129" s="15"/>
      <c r="E129" s="15">
        <v>28350</v>
      </c>
      <c r="F129" s="15">
        <f t="shared" si="41"/>
        <v>28350</v>
      </c>
      <c r="G129" s="15">
        <v>28350</v>
      </c>
      <c r="H129" s="124">
        <f t="shared" si="42"/>
        <v>1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133350</v>
      </c>
      <c r="F130" s="18">
        <f t="shared" si="71"/>
        <v>133350</v>
      </c>
      <c r="G130" s="18">
        <f t="shared" si="71"/>
        <v>133350</v>
      </c>
      <c r="H130" s="125">
        <f t="shared" si="42"/>
        <v>1</v>
      </c>
    </row>
    <row r="131" spans="1:8">
      <c r="A131" s="13" t="s">
        <v>149</v>
      </c>
      <c r="B131" s="14" t="s">
        <v>150</v>
      </c>
      <c r="C131" s="15"/>
      <c r="D131" s="15">
        <v>1000000</v>
      </c>
      <c r="E131" s="15"/>
      <c r="F131" s="15">
        <f t="shared" si="41"/>
        <v>1000000</v>
      </c>
      <c r="G131" s="15"/>
      <c r="H131" s="124">
        <f t="shared" si="42"/>
        <v>0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5.5">
      <c r="A133" s="13" t="s">
        <v>153</v>
      </c>
      <c r="B133" s="14" t="s">
        <v>154</v>
      </c>
      <c r="C133" s="15"/>
      <c r="D133" s="15">
        <v>270000</v>
      </c>
      <c r="E133" s="15"/>
      <c r="F133" s="15">
        <f t="shared" si="41"/>
        <v>270000</v>
      </c>
      <c r="G133" s="15"/>
      <c r="H133" s="124">
        <f t="shared" si="42"/>
        <v>0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1270000</v>
      </c>
      <c r="E134" s="18">
        <f t="shared" si="72"/>
        <v>0</v>
      </c>
      <c r="F134" s="18">
        <f t="shared" si="41"/>
        <v>1270000</v>
      </c>
      <c r="G134" s="18">
        <f t="shared" ref="G134" si="73">SUM(G131:G133)</f>
        <v>0</v>
      </c>
      <c r="H134" s="125">
        <f t="shared" si="42"/>
        <v>0</v>
      </c>
    </row>
    <row r="135" spans="1:8" ht="25.5">
      <c r="A135" s="16" t="s">
        <v>157</v>
      </c>
      <c r="B135" s="17" t="s">
        <v>158</v>
      </c>
      <c r="C135" s="18">
        <f t="shared" ref="C135:E135" si="74">C77+C78+C106+C113+C124+C130+C134</f>
        <v>501158</v>
      </c>
      <c r="D135" s="18">
        <f t="shared" si="74"/>
        <v>1895000</v>
      </c>
      <c r="E135" s="18">
        <f t="shared" si="74"/>
        <v>0</v>
      </c>
      <c r="F135" s="18">
        <f t="shared" si="41"/>
        <v>1895000</v>
      </c>
      <c r="G135" s="18">
        <f t="shared" ref="G135" si="75">G77+G78+G106+G113+G124+G130+G134</f>
        <v>323498</v>
      </c>
      <c r="H135" s="125">
        <f t="shared" si="42"/>
        <v>0.170711345646438</v>
      </c>
    </row>
    <row r="136" spans="1:8" ht="25.5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5.5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5.5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5.5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501158</v>
      </c>
      <c r="D140" s="18">
        <f t="shared" si="80"/>
        <v>1895000</v>
      </c>
      <c r="E140" s="18">
        <f t="shared" si="80"/>
        <v>0</v>
      </c>
      <c r="F140" s="18">
        <f t="shared" si="41"/>
        <v>1895000</v>
      </c>
      <c r="G140" s="18">
        <f t="shared" ref="G140" si="81">G135+G139</f>
        <v>323498</v>
      </c>
      <c r="H140" s="125">
        <f t="shared" si="42"/>
        <v>0.170711345646438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6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140"/>
  <sheetViews>
    <sheetView view="pageBreakPreview" zoomScale="70" zoomScaleNormal="100" zoomScaleSheetLayoutView="70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10.21875" customWidth="1"/>
    <col min="6" max="6" width="10.88671875" customWidth="1"/>
    <col min="8" max="8" width="11.5546875" style="126" customWidth="1"/>
  </cols>
  <sheetData>
    <row r="1" spans="1:8">
      <c r="A1" s="140" t="s">
        <v>438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19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8.25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5.5">
      <c r="A9" s="13" t="s">
        <v>178</v>
      </c>
      <c r="B9" s="14" t="s">
        <v>179</v>
      </c>
      <c r="C9" s="15">
        <v>563000</v>
      </c>
      <c r="D9" s="15">
        <v>574000</v>
      </c>
      <c r="E9" s="15">
        <v>0</v>
      </c>
      <c r="F9" s="15">
        <f t="shared" si="0"/>
        <v>574000</v>
      </c>
      <c r="G9" s="15">
        <v>298480</v>
      </c>
      <c r="H9" s="124">
        <f t="shared" si="1"/>
        <v>0.52</v>
      </c>
    </row>
    <row r="10" spans="1:8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 t="shared" ref="C12:E12" si="2">SUM(C6:C11)</f>
        <v>563000</v>
      </c>
      <c r="D12" s="15">
        <f t="shared" si="2"/>
        <v>574000</v>
      </c>
      <c r="E12" s="15">
        <f t="shared" si="2"/>
        <v>0</v>
      </c>
      <c r="F12" s="15">
        <f t="shared" si="0"/>
        <v>574000</v>
      </c>
      <c r="G12" s="15">
        <f t="shared" ref="G12" si="3">SUM(G6:G11)</f>
        <v>298480</v>
      </c>
      <c r="H12" s="124">
        <f t="shared" si="1"/>
        <v>0.52</v>
      </c>
    </row>
    <row r="13" spans="1:8" ht="25.5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 t="shared" ref="C20:G20" si="6">C12+C13</f>
        <v>563000</v>
      </c>
      <c r="D20" s="18">
        <f t="shared" si="6"/>
        <v>574000</v>
      </c>
      <c r="E20" s="18">
        <f t="shared" si="6"/>
        <v>0</v>
      </c>
      <c r="F20" s="18">
        <f t="shared" si="0"/>
        <v>574000</v>
      </c>
      <c r="G20" s="18">
        <f t="shared" si="6"/>
        <v>298480</v>
      </c>
      <c r="H20" s="125">
        <f t="shared" si="1"/>
        <v>0.52</v>
      </c>
    </row>
    <row r="21" spans="1:8" ht="25.5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8.25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5.5">
      <c r="A49" s="16">
        <v>231</v>
      </c>
      <c r="B49" s="17" t="s">
        <v>460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8.25">
      <c r="A50" s="20">
        <v>232</v>
      </c>
      <c r="B50" s="19" t="s">
        <v>459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5.5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5.5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5.5">
      <c r="A56" s="16" t="s">
        <v>253</v>
      </c>
      <c r="B56" s="17" t="s">
        <v>254</v>
      </c>
      <c r="C56" s="18">
        <f t="shared" ref="C56:E56" si="30">C55+C46+C48+C36+C20+C22</f>
        <v>563000</v>
      </c>
      <c r="D56" s="18">
        <f t="shared" si="30"/>
        <v>574000</v>
      </c>
      <c r="E56" s="18">
        <f t="shared" si="30"/>
        <v>0</v>
      </c>
      <c r="F56" s="18">
        <f t="shared" si="0"/>
        <v>574000</v>
      </c>
      <c r="G56" s="18">
        <f t="shared" ref="G56" si="31">G55+G46+G48+G36+G20+G22</f>
        <v>298480</v>
      </c>
      <c r="H56" s="125">
        <f t="shared" si="1"/>
        <v>0.52</v>
      </c>
    </row>
    <row r="57" spans="1:8" ht="25.5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412</v>
      </c>
      <c r="C60" s="15"/>
      <c r="D60" s="15"/>
      <c r="E60" s="15"/>
      <c r="F60" s="15"/>
      <c r="G60" s="15"/>
      <c r="H60" s="124"/>
    </row>
    <row r="61" spans="1:8" ht="25.5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5.5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563000</v>
      </c>
      <c r="D63" s="18">
        <f t="shared" si="37"/>
        <v>574000</v>
      </c>
      <c r="E63" s="18">
        <f t="shared" si="37"/>
        <v>0</v>
      </c>
      <c r="F63" s="18">
        <f t="shared" si="0"/>
        <v>574000</v>
      </c>
      <c r="G63" s="18">
        <f t="shared" ref="G63" si="38">G56+G62</f>
        <v>298480</v>
      </c>
      <c r="H63" s="125">
        <f t="shared" si="1"/>
        <v>0.52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457</v>
      </c>
      <c r="G65" s="12" t="s">
        <v>273</v>
      </c>
      <c r="H65" s="123" t="s">
        <v>274</v>
      </c>
    </row>
    <row r="66" spans="1:8" ht="25.5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5.5">
      <c r="A67" s="21" t="s">
        <v>178</v>
      </c>
      <c r="B67" s="14" t="s">
        <v>282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5.5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5.5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8.25">
      <c r="A74" s="13" t="s">
        <v>45</v>
      </c>
      <c r="B74" s="14" t="s">
        <v>46</v>
      </c>
      <c r="C74" s="15">
        <v>450000</v>
      </c>
      <c r="D74" s="15">
        <v>450000</v>
      </c>
      <c r="E74" s="15">
        <v>-225000</v>
      </c>
      <c r="F74" s="15">
        <f t="shared" si="0"/>
        <v>225000</v>
      </c>
      <c r="G74" s="15">
        <v>225000</v>
      </c>
      <c r="H74" s="124">
        <f t="shared" si="1"/>
        <v>1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450000</v>
      </c>
      <c r="D76" s="15">
        <f t="shared" si="43"/>
        <v>450000</v>
      </c>
      <c r="E76" s="15">
        <f t="shared" si="43"/>
        <v>-225000</v>
      </c>
      <c r="F76" s="15">
        <f t="shared" si="41"/>
        <v>225000</v>
      </c>
      <c r="G76" s="15">
        <f t="shared" ref="G76" si="44">SUM(G73:G75)</f>
        <v>225000</v>
      </c>
      <c r="H76" s="124">
        <f t="shared" si="42"/>
        <v>1</v>
      </c>
    </row>
    <row r="77" spans="1:8">
      <c r="A77" s="16" t="s">
        <v>51</v>
      </c>
      <c r="B77" s="17" t="s">
        <v>52</v>
      </c>
      <c r="C77" s="18">
        <f t="shared" ref="C77:E77" si="45">C72+C76</f>
        <v>450000</v>
      </c>
      <c r="D77" s="18">
        <f t="shared" si="45"/>
        <v>450000</v>
      </c>
      <c r="E77" s="18">
        <f t="shared" si="45"/>
        <v>-225000</v>
      </c>
      <c r="F77" s="18">
        <f t="shared" si="41"/>
        <v>225000</v>
      </c>
      <c r="G77" s="18">
        <f t="shared" ref="G77" si="46">G72+G76</f>
        <v>225000</v>
      </c>
      <c r="H77" s="125">
        <f t="shared" si="42"/>
        <v>1</v>
      </c>
    </row>
    <row r="78" spans="1:8" ht="25.5">
      <c r="A78" s="16" t="s">
        <v>53</v>
      </c>
      <c r="B78" s="17" t="s">
        <v>54</v>
      </c>
      <c r="C78" s="18">
        <f t="shared" ref="C78:E78" si="47">SUM(C79:C82)</f>
        <v>109356</v>
      </c>
      <c r="D78" s="18">
        <f t="shared" si="47"/>
        <v>99000</v>
      </c>
      <c r="E78" s="18">
        <f t="shared" si="47"/>
        <v>0</v>
      </c>
      <c r="F78" s="18">
        <f t="shared" si="41"/>
        <v>99000</v>
      </c>
      <c r="G78" s="18">
        <f t="shared" ref="G78" si="48">SUM(G79:G82)</f>
        <v>46238</v>
      </c>
      <c r="H78" s="125">
        <f t="shared" si="42"/>
        <v>0.46705050505050505</v>
      </c>
    </row>
    <row r="79" spans="1:8">
      <c r="A79" s="13" t="s">
        <v>55</v>
      </c>
      <c r="B79" s="14" t="s">
        <v>56</v>
      </c>
      <c r="C79" s="15">
        <v>109356</v>
      </c>
      <c r="D79" s="15">
        <v>99000</v>
      </c>
      <c r="E79" s="15"/>
      <c r="F79" s="15">
        <f t="shared" si="41"/>
        <v>99000</v>
      </c>
      <c r="G79" s="15">
        <v>46238</v>
      </c>
      <c r="H79" s="124">
        <f t="shared" si="42"/>
        <v>0.46705050505050505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5.5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>
        <v>3087</v>
      </c>
      <c r="D83" s="15">
        <v>20000</v>
      </c>
      <c r="E83" s="15"/>
      <c r="F83" s="15">
        <f t="shared" si="41"/>
        <v>20000</v>
      </c>
      <c r="G83" s="15"/>
      <c r="H83" s="124">
        <f t="shared" si="42"/>
        <v>0</v>
      </c>
    </row>
    <row r="84" spans="1:8">
      <c r="A84" s="13" t="s">
        <v>65</v>
      </c>
      <c r="B84" s="14" t="s">
        <v>66</v>
      </c>
      <c r="C84" s="15"/>
      <c r="D84" s="15"/>
      <c r="E84" s="15"/>
      <c r="F84" s="15">
        <f t="shared" si="41"/>
        <v>0</v>
      </c>
      <c r="G84" s="15"/>
      <c r="H84" s="124" t="e">
        <f t="shared" si="42"/>
        <v>#DIV/0!</v>
      </c>
    </row>
    <row r="85" spans="1:8">
      <c r="A85" s="13" t="s">
        <v>67</v>
      </c>
      <c r="B85" s="14" t="s">
        <v>68</v>
      </c>
      <c r="C85" s="15">
        <f t="shared" ref="C85:E85" si="49">SUM(C83:C84)</f>
        <v>3087</v>
      </c>
      <c r="D85" s="15">
        <f t="shared" si="49"/>
        <v>20000</v>
      </c>
      <c r="E85" s="15">
        <f t="shared" si="49"/>
        <v>0</v>
      </c>
      <c r="F85" s="15">
        <f t="shared" si="41"/>
        <v>20000</v>
      </c>
      <c r="G85" s="15">
        <f t="shared" ref="G85" si="50">SUM(G83:G84)</f>
        <v>0</v>
      </c>
      <c r="H85" s="124">
        <f t="shared" si="42"/>
        <v>0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/>
      <c r="D89" s="15"/>
      <c r="E89" s="15"/>
      <c r="F89" s="15">
        <f t="shared" si="41"/>
        <v>0</v>
      </c>
      <c r="G89" s="15"/>
      <c r="H89" s="124" t="e">
        <f t="shared" si="42"/>
        <v>#DIV/0!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276</v>
      </c>
      <c r="B91" s="19" t="s">
        <v>277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5.5">
      <c r="A95" s="13" t="s">
        <v>85</v>
      </c>
      <c r="B95" s="14" t="s">
        <v>86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/>
      <c r="D96" s="15"/>
      <c r="E96" s="15"/>
      <c r="F96" s="15">
        <f t="shared" si="41"/>
        <v>0</v>
      </c>
      <c r="G96" s="15"/>
      <c r="H96" s="124" t="e">
        <f t="shared" si="42"/>
        <v>#DIV/0!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5.5">
      <c r="A98" s="13" t="s">
        <v>91</v>
      </c>
      <c r="B98" s="14" t="s">
        <v>92</v>
      </c>
      <c r="C98" s="15">
        <f>C89+C90+C92+C93+C95+C96+C91</f>
        <v>0</v>
      </c>
      <c r="D98" s="15">
        <f t="shared" ref="D98:G98" si="53">D89+D90+D92+D93+D95+D96+D91</f>
        <v>0</v>
      </c>
      <c r="E98" s="15">
        <f t="shared" si="53"/>
        <v>0</v>
      </c>
      <c r="F98" s="15">
        <f t="shared" si="53"/>
        <v>0</v>
      </c>
      <c r="G98" s="15">
        <f t="shared" si="53"/>
        <v>0</v>
      </c>
      <c r="H98" s="124" t="e">
        <f t="shared" si="42"/>
        <v>#DIV/0!</v>
      </c>
    </row>
    <row r="99" spans="1:8">
      <c r="A99" s="13" t="s">
        <v>280</v>
      </c>
      <c r="B99" s="14" t="s">
        <v>281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5.5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5.5">
      <c r="A102" s="13" t="s">
        <v>97</v>
      </c>
      <c r="B102" s="14" t="s">
        <v>98</v>
      </c>
      <c r="C102" s="15">
        <v>833</v>
      </c>
      <c r="D102" s="15">
        <v>5000</v>
      </c>
      <c r="E102" s="15"/>
      <c r="F102" s="15">
        <f t="shared" si="41"/>
        <v>5000</v>
      </c>
      <c r="G102" s="15"/>
      <c r="H102" s="124">
        <f t="shared" si="42"/>
        <v>0</v>
      </c>
    </row>
    <row r="103" spans="1:8" s="122" customFormat="1">
      <c r="A103" s="13">
        <v>52</v>
      </c>
      <c r="B103" s="14" t="s">
        <v>458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5.5">
      <c r="A105" s="13" t="s">
        <v>101</v>
      </c>
      <c r="B105" s="14" t="s">
        <v>102</v>
      </c>
      <c r="C105" s="15">
        <f t="shared" ref="C105:E105" si="55">SUM(C102:C104)</f>
        <v>833</v>
      </c>
      <c r="D105" s="15">
        <f t="shared" si="55"/>
        <v>5000</v>
      </c>
      <c r="E105" s="15">
        <f t="shared" si="55"/>
        <v>0</v>
      </c>
      <c r="F105" s="15">
        <f t="shared" si="41"/>
        <v>5000</v>
      </c>
      <c r="G105" s="15">
        <f t="shared" ref="G105" si="56">SUM(G102:G104)</f>
        <v>0</v>
      </c>
      <c r="H105" s="124">
        <f t="shared" si="42"/>
        <v>0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3920</v>
      </c>
      <c r="D106" s="18">
        <f t="shared" si="57"/>
        <v>25000</v>
      </c>
      <c r="E106" s="18">
        <f t="shared" si="57"/>
        <v>0</v>
      </c>
      <c r="F106" s="18">
        <f t="shared" si="41"/>
        <v>25000</v>
      </c>
      <c r="G106" s="18">
        <f t="shared" ref="G106" si="58">G85+G88+G98+G101+G105</f>
        <v>0</v>
      </c>
      <c r="H106" s="125">
        <f t="shared" si="42"/>
        <v>0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5.5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5.5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5.5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8.25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5.5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5.5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5.5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5.5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5.5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5.5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5.5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275</v>
      </c>
      <c r="C123" s="15"/>
      <c r="D123" s="15"/>
      <c r="E123" s="15">
        <v>225000</v>
      </c>
      <c r="F123" s="15">
        <f t="shared" si="41"/>
        <v>225000</v>
      </c>
      <c r="G123" s="15"/>
      <c r="H123" s="124"/>
    </row>
    <row r="124" spans="1:8" ht="38.25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225000</v>
      </c>
      <c r="F124" s="18">
        <f t="shared" si="70"/>
        <v>225000</v>
      </c>
      <c r="G124" s="18">
        <f t="shared" si="70"/>
        <v>0</v>
      </c>
      <c r="H124" s="125">
        <f t="shared" si="42"/>
        <v>0</v>
      </c>
    </row>
    <row r="125" spans="1:8" s="128" customFormat="1">
      <c r="A125" s="20">
        <v>192</v>
      </c>
      <c r="B125" s="19" t="s">
        <v>466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5.5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5.5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5.5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5.5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5.5">
      <c r="A135" s="16" t="s">
        <v>157</v>
      </c>
      <c r="B135" s="17" t="s">
        <v>158</v>
      </c>
      <c r="C135" s="18">
        <f t="shared" ref="C135:E135" si="74">C77+C78+C106+C113+C124+C130+C134</f>
        <v>563276</v>
      </c>
      <c r="D135" s="18">
        <f t="shared" si="74"/>
        <v>574000</v>
      </c>
      <c r="E135" s="18">
        <f t="shared" si="74"/>
        <v>0</v>
      </c>
      <c r="F135" s="18">
        <f t="shared" si="41"/>
        <v>574000</v>
      </c>
      <c r="G135" s="18">
        <f t="shared" ref="G135" si="75">G77+G78+G106+G113+G124+G130+G134</f>
        <v>271238</v>
      </c>
      <c r="H135" s="125">
        <f t="shared" si="42"/>
        <v>0.47254006968641116</v>
      </c>
    </row>
    <row r="136" spans="1:8" ht="25.5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5.5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5.5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5.5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563276</v>
      </c>
      <c r="D140" s="18">
        <f t="shared" si="80"/>
        <v>574000</v>
      </c>
      <c r="E140" s="18">
        <f t="shared" si="80"/>
        <v>0</v>
      </c>
      <c r="F140" s="18">
        <f t="shared" si="41"/>
        <v>574000</v>
      </c>
      <c r="G140" s="18">
        <f t="shared" ref="G140" si="81">G135+G139</f>
        <v>271238</v>
      </c>
      <c r="H140" s="125">
        <f t="shared" si="42"/>
        <v>0.47254006968641116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</sheetPr>
  <dimension ref="A1:H140"/>
  <sheetViews>
    <sheetView view="pageBreakPreview" topLeftCell="A133" zoomScale="85" zoomScaleNormal="100" zoomScaleSheetLayoutView="85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10.44140625" customWidth="1"/>
    <col min="6" max="6" width="12" customWidth="1"/>
    <col min="8" max="8" width="11.5546875" style="126" customWidth="1"/>
  </cols>
  <sheetData>
    <row r="1" spans="1:8">
      <c r="A1" s="140" t="s">
        <v>439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279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9797806</v>
      </c>
      <c r="D6" s="15">
        <v>8143000</v>
      </c>
      <c r="E6" s="15">
        <f>-2006550-60000</f>
        <v>-2066550</v>
      </c>
      <c r="F6" s="15">
        <f>SUM(D6:E6)</f>
        <v>6076450</v>
      </c>
      <c r="G6" s="15">
        <v>3159754</v>
      </c>
      <c r="H6" s="124">
        <f>G6/F6</f>
        <v>0.52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8.25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5.5">
      <c r="A9" s="13" t="s">
        <v>178</v>
      </c>
      <c r="B9" s="14" t="s">
        <v>179</v>
      </c>
      <c r="C9" s="15">
        <v>2314160</v>
      </c>
      <c r="D9" s="15">
        <v>2208040</v>
      </c>
      <c r="E9" s="15">
        <v>0</v>
      </c>
      <c r="F9" s="15">
        <f t="shared" si="0"/>
        <v>2208040</v>
      </c>
      <c r="G9" s="15">
        <v>1148180</v>
      </c>
      <c r="H9" s="124">
        <f t="shared" si="1"/>
        <v>0.51999963768772306</v>
      </c>
    </row>
    <row r="10" spans="1:8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 t="shared" ref="C12:E12" si="2">SUM(C6:C11)</f>
        <v>12111966</v>
      </c>
      <c r="D12" s="15">
        <f t="shared" si="2"/>
        <v>10351040</v>
      </c>
      <c r="E12" s="15">
        <f t="shared" si="2"/>
        <v>-2066550</v>
      </c>
      <c r="F12" s="15">
        <f t="shared" si="0"/>
        <v>8284490</v>
      </c>
      <c r="G12" s="15">
        <f t="shared" ref="G12" si="3">SUM(G6:G11)</f>
        <v>4307934</v>
      </c>
      <c r="H12" s="124">
        <f t="shared" si="1"/>
        <v>0.51999990343400737</v>
      </c>
    </row>
    <row r="13" spans="1:8" ht="25.5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 t="shared" ref="C20:G20" si="6">C12+C13</f>
        <v>12111966</v>
      </c>
      <c r="D20" s="18">
        <f t="shared" si="6"/>
        <v>10351040</v>
      </c>
      <c r="E20" s="18">
        <f t="shared" si="6"/>
        <v>-2066550</v>
      </c>
      <c r="F20" s="18">
        <f t="shared" si="0"/>
        <v>8284490</v>
      </c>
      <c r="G20" s="18">
        <f t="shared" si="6"/>
        <v>4307934</v>
      </c>
      <c r="H20" s="125">
        <f t="shared" si="1"/>
        <v>0.51999990343400737</v>
      </c>
    </row>
    <row r="21" spans="1:8" ht="25.5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>
        <v>0</v>
      </c>
      <c r="D38" s="15"/>
      <c r="E38" s="15"/>
      <c r="F38" s="15">
        <f t="shared" si="0"/>
        <v>0</v>
      </c>
      <c r="G38" s="15">
        <f>26500+57000</f>
        <v>83500</v>
      </c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/>
      <c r="D39" s="15">
        <v>0</v>
      </c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>
        <v>169500</v>
      </c>
      <c r="D40" s="15">
        <v>100000</v>
      </c>
      <c r="E40" s="15"/>
      <c r="F40" s="15">
        <f t="shared" si="0"/>
        <v>100000</v>
      </c>
      <c r="G40" s="15">
        <v>0</v>
      </c>
      <c r="H40" s="124">
        <f t="shared" si="1"/>
        <v>0</v>
      </c>
    </row>
    <row r="41" spans="1:8">
      <c r="A41" s="13" t="s">
        <v>145</v>
      </c>
      <c r="B41" s="14" t="s">
        <v>230</v>
      </c>
      <c r="C41" s="15">
        <v>0</v>
      </c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>
        <v>0</v>
      </c>
      <c r="D42" s="15">
        <v>21000</v>
      </c>
      <c r="E42" s="15"/>
      <c r="F42" s="15">
        <f t="shared" si="0"/>
        <v>21000</v>
      </c>
      <c r="G42" s="15"/>
      <c r="H42" s="124">
        <f t="shared" si="1"/>
        <v>0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8.25">
      <c r="A46" s="16" t="s">
        <v>237</v>
      </c>
      <c r="B46" s="17" t="s">
        <v>238</v>
      </c>
      <c r="C46" s="18">
        <f t="shared" ref="C46:E46" si="22">C37+C38+C39+C40+C41+C42+C44+C45</f>
        <v>169500</v>
      </c>
      <c r="D46" s="18">
        <f t="shared" si="22"/>
        <v>121000</v>
      </c>
      <c r="E46" s="18">
        <f t="shared" si="22"/>
        <v>0</v>
      </c>
      <c r="F46" s="18">
        <f t="shared" si="0"/>
        <v>121000</v>
      </c>
      <c r="G46" s="18">
        <f t="shared" ref="G46" si="23">G37+G38+G39+G40+G41+G42+G44+G45</f>
        <v>83500</v>
      </c>
      <c r="H46" s="125">
        <f t="shared" si="1"/>
        <v>0.69008264462809921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5.5">
      <c r="A49" s="16">
        <v>231</v>
      </c>
      <c r="B49" s="17" t="s">
        <v>460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8.25">
      <c r="A50" s="20">
        <v>232</v>
      </c>
      <c r="B50" s="19" t="s">
        <v>459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5.5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5.5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5.5">
      <c r="A56" s="16" t="s">
        <v>253</v>
      </c>
      <c r="B56" s="17" t="s">
        <v>254</v>
      </c>
      <c r="C56" s="18">
        <f t="shared" ref="C56:E56" si="30">C55+C46+C48+C36+C20+C22</f>
        <v>12281466</v>
      </c>
      <c r="D56" s="18">
        <f t="shared" si="30"/>
        <v>10472040</v>
      </c>
      <c r="E56" s="18">
        <f t="shared" si="30"/>
        <v>-2066550</v>
      </c>
      <c r="F56" s="18">
        <f t="shared" si="0"/>
        <v>8405490</v>
      </c>
      <c r="G56" s="18">
        <f t="shared" ref="G56" si="31">G55+G46+G48+G36+G20+G22</f>
        <v>4391434</v>
      </c>
      <c r="H56" s="125">
        <f t="shared" si="1"/>
        <v>0.52244830461995673</v>
      </c>
    </row>
    <row r="57" spans="1:8" ht="25.5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412</v>
      </c>
      <c r="C60" s="15"/>
      <c r="D60" s="15"/>
      <c r="E60" s="15"/>
      <c r="F60" s="15"/>
      <c r="G60" s="15"/>
      <c r="H60" s="124"/>
    </row>
    <row r="61" spans="1:8" ht="25.5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5.5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12281466</v>
      </c>
      <c r="D63" s="18">
        <f t="shared" si="37"/>
        <v>10472040</v>
      </c>
      <c r="E63" s="18">
        <f t="shared" si="37"/>
        <v>-2066550</v>
      </c>
      <c r="F63" s="18">
        <f t="shared" si="0"/>
        <v>8405490</v>
      </c>
      <c r="G63" s="18">
        <f t="shared" ref="G63" si="38">G56+G62</f>
        <v>4391434</v>
      </c>
      <c r="H63" s="125">
        <f t="shared" si="1"/>
        <v>0.52244830461995673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457</v>
      </c>
      <c r="G65" s="12" t="s">
        <v>273</v>
      </c>
      <c r="H65" s="123" t="s">
        <v>274</v>
      </c>
    </row>
    <row r="66" spans="1:8" ht="25.5">
      <c r="A66" s="13" t="s">
        <v>31</v>
      </c>
      <c r="B66" s="14" t="s">
        <v>32</v>
      </c>
      <c r="C66" s="15">
        <v>3435005</v>
      </c>
      <c r="D66" s="15">
        <v>5243000</v>
      </c>
      <c r="E66" s="15">
        <v>-2000000</v>
      </c>
      <c r="F66" s="15">
        <f>SUM(D66:E66)</f>
        <v>3243000</v>
      </c>
      <c r="G66" s="15">
        <v>1920000</v>
      </c>
      <c r="H66" s="124">
        <f>G66/F66</f>
        <v>0.59204440333024977</v>
      </c>
    </row>
    <row r="67" spans="1:8" ht="25.5">
      <c r="A67" s="21" t="s">
        <v>178</v>
      </c>
      <c r="B67" s="14" t="s">
        <v>282</v>
      </c>
      <c r="C67" s="15"/>
      <c r="D67" s="15"/>
      <c r="E67" s="15">
        <v>140000</v>
      </c>
      <c r="F67" s="15">
        <f>SUM(D67:E67)</f>
        <v>140000</v>
      </c>
      <c r="G67" s="15">
        <v>140000</v>
      </c>
      <c r="H67" s="124"/>
    </row>
    <row r="68" spans="1:8">
      <c r="A68" s="13" t="s">
        <v>33</v>
      </c>
      <c r="B68" s="14" t="s">
        <v>34</v>
      </c>
      <c r="C68" s="15">
        <v>170000</v>
      </c>
      <c r="D68" s="15">
        <v>180000</v>
      </c>
      <c r="E68" s="15"/>
      <c r="F68" s="15">
        <f t="shared" si="0"/>
        <v>180000</v>
      </c>
      <c r="G68" s="15">
        <v>60000</v>
      </c>
      <c r="H68" s="124">
        <f t="shared" si="1"/>
        <v>0.33333333333333331</v>
      </c>
    </row>
    <row r="69" spans="1:8">
      <c r="A69" s="13" t="s">
        <v>35</v>
      </c>
      <c r="B69" s="14" t="s">
        <v>36</v>
      </c>
      <c r="C69" s="15">
        <v>60264</v>
      </c>
      <c r="D69" s="15">
        <v>97000</v>
      </c>
      <c r="E69" s="15"/>
      <c r="F69" s="15">
        <f t="shared" si="0"/>
        <v>97000</v>
      </c>
      <c r="G69" s="15">
        <v>38313</v>
      </c>
      <c r="H69" s="124">
        <f t="shared" si="1"/>
        <v>0.39497938144329897</v>
      </c>
    </row>
    <row r="70" spans="1:8">
      <c r="A70" s="13" t="s">
        <v>37</v>
      </c>
      <c r="B70" s="14" t="s">
        <v>38</v>
      </c>
      <c r="C70" s="15">
        <v>24000</v>
      </c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5.5">
      <c r="A71" s="13" t="s">
        <v>39</v>
      </c>
      <c r="B71" s="14" t="s">
        <v>40</v>
      </c>
      <c r="C71" s="15"/>
      <c r="D71" s="15">
        <v>24000</v>
      </c>
      <c r="E71" s="15"/>
      <c r="F71" s="15">
        <f t="shared" si="0"/>
        <v>24000</v>
      </c>
      <c r="G71" s="15"/>
      <c r="H71" s="124">
        <f t="shared" si="1"/>
        <v>0</v>
      </c>
    </row>
    <row r="72" spans="1:8" ht="25.5">
      <c r="A72" s="13" t="s">
        <v>41</v>
      </c>
      <c r="B72" s="14" t="s">
        <v>42</v>
      </c>
      <c r="C72" s="15">
        <f t="shared" ref="C72:E72" si="39">SUM(C66:C71)</f>
        <v>3689269</v>
      </c>
      <c r="D72" s="15">
        <f t="shared" si="39"/>
        <v>5544000</v>
      </c>
      <c r="E72" s="15">
        <f t="shared" si="39"/>
        <v>-1860000</v>
      </c>
      <c r="F72" s="15">
        <f t="shared" si="0"/>
        <v>3684000</v>
      </c>
      <c r="G72" s="15">
        <f t="shared" ref="G72" si="40">SUM(G66:G71)</f>
        <v>2158313</v>
      </c>
      <c r="H72" s="124">
        <f t="shared" si="1"/>
        <v>0.58586129207383275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8.25">
      <c r="A74" s="13" t="s">
        <v>45</v>
      </c>
      <c r="B74" s="14" t="s">
        <v>46</v>
      </c>
      <c r="C74" s="15">
        <v>40000</v>
      </c>
      <c r="D74" s="15">
        <v>100000</v>
      </c>
      <c r="E74" s="15">
        <v>-60000</v>
      </c>
      <c r="F74" s="15">
        <f t="shared" si="0"/>
        <v>40000</v>
      </c>
      <c r="G74" s="15">
        <v>40000</v>
      </c>
      <c r="H74" s="124">
        <f t="shared" si="1"/>
        <v>1</v>
      </c>
    </row>
    <row r="75" spans="1:8">
      <c r="A75" s="13" t="s">
        <v>47</v>
      </c>
      <c r="B75" s="14" t="s">
        <v>48</v>
      </c>
      <c r="C75" s="15">
        <v>87481</v>
      </c>
      <c r="D75" s="15">
        <v>50000</v>
      </c>
      <c r="E75" s="15"/>
      <c r="F75" s="15">
        <f t="shared" ref="F75:F140" si="41">SUM(D75:E75)</f>
        <v>50000</v>
      </c>
      <c r="G75" s="15">
        <v>17700</v>
      </c>
      <c r="H75" s="124">
        <f t="shared" ref="H75:H140" si="42">G75/F75</f>
        <v>0.35399999999999998</v>
      </c>
    </row>
    <row r="76" spans="1:8">
      <c r="A76" s="13" t="s">
        <v>49</v>
      </c>
      <c r="B76" s="14" t="s">
        <v>50</v>
      </c>
      <c r="C76" s="15">
        <f t="shared" ref="C76:E76" si="43">SUM(C73:C75)</f>
        <v>127481</v>
      </c>
      <c r="D76" s="15">
        <f t="shared" si="43"/>
        <v>150000</v>
      </c>
      <c r="E76" s="15">
        <f t="shared" si="43"/>
        <v>-60000</v>
      </c>
      <c r="F76" s="15">
        <f t="shared" si="41"/>
        <v>90000</v>
      </c>
      <c r="G76" s="15">
        <f t="shared" ref="G76" si="44">SUM(G73:G75)</f>
        <v>57700</v>
      </c>
      <c r="H76" s="124">
        <f t="shared" si="42"/>
        <v>0.64111111111111108</v>
      </c>
    </row>
    <row r="77" spans="1:8">
      <c r="A77" s="16" t="s">
        <v>51</v>
      </c>
      <c r="B77" s="17" t="s">
        <v>52</v>
      </c>
      <c r="C77" s="18">
        <f t="shared" ref="C77:E77" si="45">C72+C76</f>
        <v>3816750</v>
      </c>
      <c r="D77" s="18">
        <f t="shared" si="45"/>
        <v>5694000</v>
      </c>
      <c r="E77" s="18">
        <f t="shared" si="45"/>
        <v>-1920000</v>
      </c>
      <c r="F77" s="18">
        <f t="shared" si="41"/>
        <v>3774000</v>
      </c>
      <c r="G77" s="18">
        <f t="shared" ref="G77" si="46">G72+G76</f>
        <v>2216013</v>
      </c>
      <c r="H77" s="125">
        <f t="shared" si="42"/>
        <v>0.58717885532591418</v>
      </c>
    </row>
    <row r="78" spans="1:8" ht="25.5">
      <c r="A78" s="16" t="s">
        <v>53</v>
      </c>
      <c r="B78" s="17" t="s">
        <v>54</v>
      </c>
      <c r="C78" s="18">
        <f t="shared" ref="C78:E78" si="47">SUM(C79:C82)</f>
        <v>1059579</v>
      </c>
      <c r="D78" s="18">
        <f t="shared" si="47"/>
        <v>1531000</v>
      </c>
      <c r="E78" s="18">
        <f t="shared" si="47"/>
        <v>-500000</v>
      </c>
      <c r="F78" s="18">
        <f t="shared" si="41"/>
        <v>1031000</v>
      </c>
      <c r="G78" s="18">
        <f t="shared" ref="G78" si="48">SUM(G79:G82)</f>
        <v>517373</v>
      </c>
      <c r="H78" s="125">
        <f t="shared" si="42"/>
        <v>0.50181668283220171</v>
      </c>
    </row>
    <row r="79" spans="1:8">
      <c r="A79" s="13" t="s">
        <v>55</v>
      </c>
      <c r="B79" s="14" t="s">
        <v>56</v>
      </c>
      <c r="C79" s="15">
        <v>943650</v>
      </c>
      <c r="D79" s="15">
        <v>1463000</v>
      </c>
      <c r="E79" s="15">
        <v>-500000</v>
      </c>
      <c r="F79" s="15">
        <f t="shared" si="41"/>
        <v>963000</v>
      </c>
      <c r="G79" s="15">
        <v>491845</v>
      </c>
      <c r="H79" s="124">
        <f t="shared" si="42"/>
        <v>0.51074247144340601</v>
      </c>
    </row>
    <row r="80" spans="1:8">
      <c r="A80" s="13" t="s">
        <v>57</v>
      </c>
      <c r="B80" s="14" t="s">
        <v>58</v>
      </c>
      <c r="C80" s="15">
        <v>67095</v>
      </c>
      <c r="D80" s="15">
        <v>30000</v>
      </c>
      <c r="E80" s="15"/>
      <c r="F80" s="15">
        <f t="shared" si="41"/>
        <v>30000</v>
      </c>
      <c r="G80" s="15">
        <v>12888</v>
      </c>
      <c r="H80" s="124">
        <f t="shared" si="42"/>
        <v>0.42959999999999998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5.5">
      <c r="A82" s="13" t="s">
        <v>61</v>
      </c>
      <c r="B82" s="14" t="s">
        <v>62</v>
      </c>
      <c r="C82" s="15">
        <v>48834</v>
      </c>
      <c r="D82" s="15">
        <v>38000</v>
      </c>
      <c r="E82" s="15"/>
      <c r="F82" s="15">
        <f t="shared" si="41"/>
        <v>38000</v>
      </c>
      <c r="G82" s="15">
        <v>12640</v>
      </c>
      <c r="H82" s="124">
        <f t="shared" si="42"/>
        <v>0.33263157894736844</v>
      </c>
    </row>
    <row r="83" spans="1:8">
      <c r="A83" s="13" t="s">
        <v>63</v>
      </c>
      <c r="B83" s="14" t="s">
        <v>64</v>
      </c>
      <c r="C83" s="15">
        <v>38611</v>
      </c>
      <c r="D83" s="15">
        <v>40040</v>
      </c>
      <c r="E83" s="15"/>
      <c r="F83" s="15">
        <f t="shared" si="41"/>
        <v>40040</v>
      </c>
      <c r="G83" s="15">
        <v>37847</v>
      </c>
      <c r="H83" s="124">
        <f t="shared" si="42"/>
        <v>0.94522977022977028</v>
      </c>
    </row>
    <row r="84" spans="1:8">
      <c r="A84" s="13" t="s">
        <v>65</v>
      </c>
      <c r="B84" s="14" t="s">
        <v>66</v>
      </c>
      <c r="C84" s="15">
        <v>216119</v>
      </c>
      <c r="D84" s="15">
        <v>225000</v>
      </c>
      <c r="E84" s="15">
        <v>5000</v>
      </c>
      <c r="F84" s="15">
        <f t="shared" si="41"/>
        <v>230000</v>
      </c>
      <c r="G84" s="15">
        <v>120912</v>
      </c>
      <c r="H84" s="124">
        <f t="shared" si="42"/>
        <v>0.52570434782608699</v>
      </c>
    </row>
    <row r="85" spans="1:8">
      <c r="A85" s="13" t="s">
        <v>67</v>
      </c>
      <c r="B85" s="14" t="s">
        <v>68</v>
      </c>
      <c r="C85" s="15">
        <f t="shared" ref="C85:E85" si="49">SUM(C83:C84)</f>
        <v>254730</v>
      </c>
      <c r="D85" s="15">
        <f t="shared" si="49"/>
        <v>265040</v>
      </c>
      <c r="E85" s="15">
        <f t="shared" si="49"/>
        <v>5000</v>
      </c>
      <c r="F85" s="15">
        <f t="shared" si="41"/>
        <v>270040</v>
      </c>
      <c r="G85" s="15">
        <f t="shared" ref="G85" si="50">SUM(G83:G84)</f>
        <v>158759</v>
      </c>
      <c r="H85" s="124">
        <f t="shared" si="42"/>
        <v>0.58790919863723889</v>
      </c>
    </row>
    <row r="86" spans="1:8">
      <c r="A86" s="13" t="s">
        <v>69</v>
      </c>
      <c r="B86" s="14" t="s">
        <v>70</v>
      </c>
      <c r="C86" s="15">
        <v>76932</v>
      </c>
      <c r="D86" s="15">
        <v>50000</v>
      </c>
      <c r="E86" s="15"/>
      <c r="F86" s="15">
        <f t="shared" si="41"/>
        <v>50000</v>
      </c>
      <c r="G86" s="15">
        <v>7000</v>
      </c>
      <c r="H86" s="124">
        <f t="shared" si="42"/>
        <v>0.14000000000000001</v>
      </c>
    </row>
    <row r="87" spans="1:8">
      <c r="A87" s="13" t="s">
        <v>71</v>
      </c>
      <c r="B87" s="14" t="s">
        <v>72</v>
      </c>
      <c r="C87" s="15">
        <v>62836</v>
      </c>
      <c r="D87" s="15">
        <v>68000</v>
      </c>
      <c r="E87" s="15"/>
      <c r="F87" s="15">
        <f t="shared" si="41"/>
        <v>68000</v>
      </c>
      <c r="G87" s="15">
        <v>11257</v>
      </c>
      <c r="H87" s="124">
        <f t="shared" si="42"/>
        <v>0.16554411764705881</v>
      </c>
    </row>
    <row r="88" spans="1:8">
      <c r="A88" s="13" t="s">
        <v>73</v>
      </c>
      <c r="B88" s="14" t="s">
        <v>74</v>
      </c>
      <c r="C88" s="15">
        <f t="shared" ref="C88:E88" si="51">SUM(C86:C87)</f>
        <v>139768</v>
      </c>
      <c r="D88" s="15">
        <f t="shared" si="51"/>
        <v>118000</v>
      </c>
      <c r="E88" s="15">
        <f t="shared" si="51"/>
        <v>0</v>
      </c>
      <c r="F88" s="15">
        <f t="shared" si="41"/>
        <v>118000</v>
      </c>
      <c r="G88" s="15">
        <f t="shared" ref="G88" si="52">SUM(G86:G87)</f>
        <v>18257</v>
      </c>
      <c r="H88" s="124">
        <f t="shared" si="42"/>
        <v>0.15472033898305085</v>
      </c>
    </row>
    <row r="89" spans="1:8">
      <c r="A89" s="13" t="s">
        <v>75</v>
      </c>
      <c r="B89" s="14" t="s">
        <v>76</v>
      </c>
      <c r="C89" s="15">
        <v>996164</v>
      </c>
      <c r="D89" s="15">
        <v>1200000</v>
      </c>
      <c r="E89" s="15"/>
      <c r="F89" s="15">
        <f t="shared" si="41"/>
        <v>1200000</v>
      </c>
      <c r="G89" s="15">
        <v>730279</v>
      </c>
      <c r="H89" s="124">
        <f t="shared" si="42"/>
        <v>0.60856583333333336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276</v>
      </c>
      <c r="B91" s="19" t="s">
        <v>277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/>
      <c r="D92" s="15">
        <v>75000</v>
      </c>
      <c r="E92" s="15">
        <v>0</v>
      </c>
      <c r="F92" s="15">
        <f t="shared" si="41"/>
        <v>75000</v>
      </c>
      <c r="G92" s="15">
        <v>0</v>
      </c>
      <c r="H92" s="124">
        <f t="shared" si="42"/>
        <v>0</v>
      </c>
    </row>
    <row r="93" spans="1:8">
      <c r="A93" s="13" t="s">
        <v>81</v>
      </c>
      <c r="B93" s="14" t="s">
        <v>82</v>
      </c>
      <c r="C93" s="15">
        <v>14518</v>
      </c>
      <c r="D93" s="15">
        <v>13000</v>
      </c>
      <c r="E93" s="15"/>
      <c r="F93" s="15">
        <f t="shared" si="41"/>
        <v>13000</v>
      </c>
      <c r="G93" s="15"/>
      <c r="H93" s="124">
        <f t="shared" si="42"/>
        <v>0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5.5">
      <c r="A95" s="13" t="s">
        <v>85</v>
      </c>
      <c r="B95" s="14" t="s">
        <v>86</v>
      </c>
      <c r="C95" s="15"/>
      <c r="D95" s="15"/>
      <c r="E95" s="15">
        <v>250000</v>
      </c>
      <c r="F95" s="15">
        <f t="shared" si="41"/>
        <v>250000</v>
      </c>
      <c r="G95" s="15">
        <v>134768</v>
      </c>
      <c r="H95" s="124">
        <f t="shared" si="42"/>
        <v>0.539072</v>
      </c>
    </row>
    <row r="96" spans="1:8">
      <c r="A96" s="13" t="s">
        <v>87</v>
      </c>
      <c r="B96" s="14" t="s">
        <v>88</v>
      </c>
      <c r="C96" s="15">
        <v>295473</v>
      </c>
      <c r="D96" s="15">
        <v>325000</v>
      </c>
      <c r="E96" s="15">
        <v>100000</v>
      </c>
      <c r="F96" s="15">
        <f t="shared" si="41"/>
        <v>425000</v>
      </c>
      <c r="G96" s="15">
        <f>340949+1597</f>
        <v>342546</v>
      </c>
      <c r="H96" s="124">
        <f t="shared" si="42"/>
        <v>0.80599058823529413</v>
      </c>
    </row>
    <row r="97" spans="1:8">
      <c r="A97" s="13" t="s">
        <v>89</v>
      </c>
      <c r="B97" s="14" t="s">
        <v>90</v>
      </c>
      <c r="C97" s="15">
        <v>38338</v>
      </c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5.5">
      <c r="A98" s="13" t="s">
        <v>91</v>
      </c>
      <c r="B98" s="14" t="s">
        <v>92</v>
      </c>
      <c r="C98" s="15">
        <f>C89+C90+C92+C93+C95+C96+C91</f>
        <v>1306155</v>
      </c>
      <c r="D98" s="15">
        <f t="shared" ref="D98:G98" si="53">D89+D90+D92+D93+D95+D96+D91</f>
        <v>1613000</v>
      </c>
      <c r="E98" s="15">
        <f t="shared" si="53"/>
        <v>350000</v>
      </c>
      <c r="F98" s="15">
        <f t="shared" si="53"/>
        <v>1963000</v>
      </c>
      <c r="G98" s="15">
        <f t="shared" si="53"/>
        <v>1207593</v>
      </c>
      <c r="H98" s="124">
        <f t="shared" si="42"/>
        <v>0.6151772796739684</v>
      </c>
    </row>
    <row r="99" spans="1:8">
      <c r="A99" s="13" t="s">
        <v>280</v>
      </c>
      <c r="B99" s="14" t="s">
        <v>281</v>
      </c>
      <c r="C99" s="15"/>
      <c r="D99" s="15">
        <v>4000</v>
      </c>
      <c r="E99" s="15">
        <v>-1550</v>
      </c>
      <c r="F99" s="15">
        <f t="shared" si="41"/>
        <v>2450</v>
      </c>
      <c r="G99" s="15"/>
      <c r="H99" s="124"/>
    </row>
    <row r="100" spans="1:8">
      <c r="A100" s="13" t="s">
        <v>93</v>
      </c>
      <c r="B100" s="14" t="s">
        <v>94</v>
      </c>
      <c r="C100" s="15"/>
      <c r="D100" s="15">
        <v>10000</v>
      </c>
      <c r="E100" s="15"/>
      <c r="F100" s="15">
        <f t="shared" si="41"/>
        <v>10000</v>
      </c>
      <c r="G100" s="15"/>
      <c r="H100" s="124">
        <f t="shared" si="42"/>
        <v>0</v>
      </c>
    </row>
    <row r="101" spans="1:8" ht="25.5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14000</v>
      </c>
      <c r="E101" s="15">
        <f t="shared" si="54"/>
        <v>-1550</v>
      </c>
      <c r="F101" s="15">
        <f t="shared" si="54"/>
        <v>12450</v>
      </c>
      <c r="G101" s="15">
        <f t="shared" si="54"/>
        <v>0</v>
      </c>
      <c r="H101" s="124">
        <f t="shared" si="42"/>
        <v>0</v>
      </c>
    </row>
    <row r="102" spans="1:8" ht="25.5">
      <c r="A102" s="13" t="s">
        <v>97</v>
      </c>
      <c r="B102" s="14" t="s">
        <v>98</v>
      </c>
      <c r="C102" s="15">
        <v>514567</v>
      </c>
      <c r="D102" s="15">
        <v>542000</v>
      </c>
      <c r="E102" s="15"/>
      <c r="F102" s="15">
        <f t="shared" si="41"/>
        <v>542000</v>
      </c>
      <c r="G102" s="15">
        <f>335913+431</f>
        <v>336344</v>
      </c>
      <c r="H102" s="124">
        <f t="shared" si="42"/>
        <v>0.62056088560885614</v>
      </c>
    </row>
    <row r="103" spans="1:8" s="122" customFormat="1">
      <c r="A103" s="13">
        <v>52</v>
      </c>
      <c r="B103" s="14" t="s">
        <v>458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>
        <v>57468</v>
      </c>
      <c r="D104" s="15">
        <v>60000</v>
      </c>
      <c r="E104" s="15"/>
      <c r="F104" s="15">
        <f t="shared" si="41"/>
        <v>60000</v>
      </c>
      <c r="G104" s="15"/>
      <c r="H104" s="124">
        <f t="shared" si="42"/>
        <v>0</v>
      </c>
    </row>
    <row r="105" spans="1:8" ht="25.5">
      <c r="A105" s="13" t="s">
        <v>101</v>
      </c>
      <c r="B105" s="14" t="s">
        <v>102</v>
      </c>
      <c r="C105" s="15">
        <f t="shared" ref="C105:E105" si="55">SUM(C102:C104)</f>
        <v>572035</v>
      </c>
      <c r="D105" s="15">
        <f t="shared" si="55"/>
        <v>602000</v>
      </c>
      <c r="E105" s="15">
        <f t="shared" si="55"/>
        <v>0</v>
      </c>
      <c r="F105" s="15">
        <f t="shared" si="41"/>
        <v>602000</v>
      </c>
      <c r="G105" s="15">
        <f t="shared" ref="G105" si="56">SUM(G102:G104)</f>
        <v>336344</v>
      </c>
      <c r="H105" s="124">
        <f t="shared" si="42"/>
        <v>0.55871096345514948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2272688</v>
      </c>
      <c r="D106" s="18">
        <f t="shared" si="57"/>
        <v>2612040</v>
      </c>
      <c r="E106" s="18">
        <f t="shared" si="57"/>
        <v>353450</v>
      </c>
      <c r="F106" s="18">
        <f t="shared" si="41"/>
        <v>2965490</v>
      </c>
      <c r="G106" s="18">
        <f t="shared" ref="G106" si="58">G85+G88+G98+G101+G105</f>
        <v>1720953</v>
      </c>
      <c r="H106" s="125">
        <f t="shared" si="42"/>
        <v>0.58032669137309512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5.5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5.5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5.5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8.25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5.5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5.5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5.5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5.5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5.5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5.5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5.5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275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8.25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466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5.5">
      <c r="A127" s="13" t="s">
        <v>141</v>
      </c>
      <c r="B127" s="14" t="s">
        <v>142</v>
      </c>
      <c r="C127" s="15">
        <v>120472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5.5">
      <c r="A128" s="13" t="s">
        <v>143</v>
      </c>
      <c r="B128" s="14" t="s">
        <v>144</v>
      </c>
      <c r="C128" s="15">
        <v>38000</v>
      </c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5.5">
      <c r="A129" s="13" t="s">
        <v>145</v>
      </c>
      <c r="B129" s="14" t="s">
        <v>146</v>
      </c>
      <c r="C129" s="15">
        <v>42788</v>
      </c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201260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>
        <v>500000</v>
      </c>
      <c r="E131" s="15"/>
      <c r="F131" s="15">
        <f t="shared" si="41"/>
        <v>500000</v>
      </c>
      <c r="G131" s="15"/>
      <c r="H131" s="124">
        <f t="shared" si="42"/>
        <v>0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5.5">
      <c r="A133" s="13" t="s">
        <v>153</v>
      </c>
      <c r="B133" s="14" t="s">
        <v>154</v>
      </c>
      <c r="C133" s="15"/>
      <c r="D133" s="15">
        <v>135000</v>
      </c>
      <c r="E133" s="15"/>
      <c r="F133" s="15">
        <f t="shared" si="41"/>
        <v>135000</v>
      </c>
      <c r="G133" s="15"/>
      <c r="H133" s="124">
        <f t="shared" si="42"/>
        <v>0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635000</v>
      </c>
      <c r="E134" s="18">
        <f t="shared" si="72"/>
        <v>0</v>
      </c>
      <c r="F134" s="18">
        <f t="shared" si="41"/>
        <v>635000</v>
      </c>
      <c r="G134" s="18">
        <f t="shared" ref="G134" si="73">SUM(G131:G133)</f>
        <v>0</v>
      </c>
      <c r="H134" s="125">
        <f t="shared" si="42"/>
        <v>0</v>
      </c>
    </row>
    <row r="135" spans="1:8" ht="25.5">
      <c r="A135" s="16" t="s">
        <v>157</v>
      </c>
      <c r="B135" s="17" t="s">
        <v>158</v>
      </c>
      <c r="C135" s="18">
        <f t="shared" ref="C135:E135" si="74">C77+C78+C106+C113+C124+C130+C134</f>
        <v>7350277</v>
      </c>
      <c r="D135" s="18">
        <f t="shared" si="74"/>
        <v>10472040</v>
      </c>
      <c r="E135" s="18">
        <f t="shared" si="74"/>
        <v>-2066550</v>
      </c>
      <c r="F135" s="18">
        <f t="shared" si="41"/>
        <v>8405490</v>
      </c>
      <c r="G135" s="18">
        <f t="shared" ref="G135" si="75">G77+G78+G106+G113+G124+G130+G134</f>
        <v>4454339</v>
      </c>
      <c r="H135" s="125">
        <f t="shared" si="42"/>
        <v>0.52993210389876144</v>
      </c>
    </row>
    <row r="136" spans="1:8" ht="25.5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5.5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5.5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5.5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7350277</v>
      </c>
      <c r="D140" s="18">
        <f t="shared" si="80"/>
        <v>10472040</v>
      </c>
      <c r="E140" s="18">
        <f t="shared" si="80"/>
        <v>-2066550</v>
      </c>
      <c r="F140" s="18">
        <f t="shared" si="41"/>
        <v>8405490</v>
      </c>
      <c r="G140" s="18">
        <f t="shared" ref="G140" si="81">G135+G139</f>
        <v>4454339</v>
      </c>
      <c r="H140" s="125">
        <f t="shared" si="42"/>
        <v>0.52993210389876144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</sheetPr>
  <dimension ref="A1:H140"/>
  <sheetViews>
    <sheetView view="pageBreakPreview" zoomScale="70" zoomScaleNormal="100" zoomScaleSheetLayoutView="70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9.88671875" customWidth="1"/>
    <col min="6" max="6" width="11.21875" customWidth="1"/>
    <col min="8" max="8" width="12.109375" style="126" customWidth="1"/>
  </cols>
  <sheetData>
    <row r="1" spans="1:8">
      <c r="A1" s="140" t="s">
        <v>440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278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2594194</v>
      </c>
      <c r="D6" s="15">
        <v>2910000</v>
      </c>
      <c r="E6" s="15">
        <v>0</v>
      </c>
      <c r="F6" s="15">
        <f>SUM(D6:E6)</f>
        <v>2910000</v>
      </c>
      <c r="G6" s="15">
        <v>1513200</v>
      </c>
      <c r="H6" s="124">
        <f>G6/F6</f>
        <v>0.52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8.25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5.5">
      <c r="A9" s="13" t="s">
        <v>178</v>
      </c>
      <c r="B9" s="14" t="s">
        <v>179</v>
      </c>
      <c r="C9" s="15">
        <v>650000</v>
      </c>
      <c r="D9" s="15">
        <v>736000</v>
      </c>
      <c r="E9" s="15">
        <v>0</v>
      </c>
      <c r="F9" s="15">
        <f t="shared" si="0"/>
        <v>736000</v>
      </c>
      <c r="G9" s="15">
        <v>382720</v>
      </c>
      <c r="H9" s="124">
        <f t="shared" si="1"/>
        <v>0.52</v>
      </c>
    </row>
    <row r="10" spans="1:8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 t="shared" ref="C12:E12" si="2">SUM(C6:C11)</f>
        <v>3244194</v>
      </c>
      <c r="D12" s="15">
        <f t="shared" si="2"/>
        <v>3646000</v>
      </c>
      <c r="E12" s="15">
        <f t="shared" si="2"/>
        <v>0</v>
      </c>
      <c r="F12" s="15">
        <f t="shared" si="0"/>
        <v>3646000</v>
      </c>
      <c r="G12" s="15">
        <f t="shared" ref="G12" si="3">SUM(G6:G11)</f>
        <v>1895920</v>
      </c>
      <c r="H12" s="124">
        <f t="shared" si="1"/>
        <v>0.52</v>
      </c>
    </row>
    <row r="13" spans="1:8" ht="25.5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 t="shared" ref="C20:G20" si="6">C12+C13</f>
        <v>3244194</v>
      </c>
      <c r="D20" s="18">
        <f t="shared" si="6"/>
        <v>3646000</v>
      </c>
      <c r="E20" s="18">
        <f t="shared" si="6"/>
        <v>0</v>
      </c>
      <c r="F20" s="18">
        <f t="shared" si="0"/>
        <v>3646000</v>
      </c>
      <c r="G20" s="18">
        <f t="shared" si="6"/>
        <v>1895920</v>
      </c>
      <c r="H20" s="125">
        <f t="shared" si="1"/>
        <v>0.52</v>
      </c>
    </row>
    <row r="21" spans="1:8" ht="25.5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>
        <v>0</v>
      </c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>
        <v>25742</v>
      </c>
      <c r="D39" s="15">
        <v>25000</v>
      </c>
      <c r="E39" s="15"/>
      <c r="F39" s="15">
        <f t="shared" si="0"/>
        <v>25000</v>
      </c>
      <c r="G39" s="15"/>
      <c r="H39" s="124">
        <f t="shared" si="1"/>
        <v>0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>
        <v>0</v>
      </c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>
        <v>6950</v>
      </c>
      <c r="D42" s="15">
        <v>6000</v>
      </c>
      <c r="E42" s="15"/>
      <c r="F42" s="15">
        <f t="shared" si="0"/>
        <v>6000</v>
      </c>
      <c r="G42" s="15"/>
      <c r="H42" s="124">
        <f t="shared" si="1"/>
        <v>0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8.25">
      <c r="A46" s="16" t="s">
        <v>237</v>
      </c>
      <c r="B46" s="17" t="s">
        <v>238</v>
      </c>
      <c r="C46" s="18">
        <f t="shared" ref="C46:E46" si="22">C37+C38+C39+C40+C41+C42+C44+C45</f>
        <v>32692</v>
      </c>
      <c r="D46" s="18">
        <f t="shared" si="22"/>
        <v>31000</v>
      </c>
      <c r="E46" s="18">
        <f t="shared" si="22"/>
        <v>0</v>
      </c>
      <c r="F46" s="18">
        <f t="shared" si="0"/>
        <v>31000</v>
      </c>
      <c r="G46" s="18">
        <f t="shared" ref="G46" si="23">G37+G38+G39+G40+G41+G42+G44+G45</f>
        <v>0</v>
      </c>
      <c r="H46" s="125">
        <f t="shared" si="1"/>
        <v>0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5.5">
      <c r="A49" s="16">
        <v>231</v>
      </c>
      <c r="B49" s="17" t="s">
        <v>460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8.25">
      <c r="A50" s="20">
        <v>232</v>
      </c>
      <c r="B50" s="19" t="s">
        <v>459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5.5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5.5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5.5">
      <c r="A56" s="16" t="s">
        <v>253</v>
      </c>
      <c r="B56" s="17" t="s">
        <v>254</v>
      </c>
      <c r="C56" s="18">
        <f t="shared" ref="C56:E56" si="30">C55+C46+C48+C36+C20+C22</f>
        <v>3276886</v>
      </c>
      <c r="D56" s="18">
        <f t="shared" si="30"/>
        <v>3677000</v>
      </c>
      <c r="E56" s="18">
        <f t="shared" si="30"/>
        <v>0</v>
      </c>
      <c r="F56" s="18">
        <f t="shared" si="0"/>
        <v>3677000</v>
      </c>
      <c r="G56" s="18">
        <f t="shared" ref="G56" si="31">G55+G46+G48+G36+G20+G22</f>
        <v>1895920</v>
      </c>
      <c r="H56" s="125">
        <f t="shared" si="1"/>
        <v>0.51561599129725322</v>
      </c>
    </row>
    <row r="57" spans="1:8" ht="25.5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412</v>
      </c>
      <c r="C60" s="15"/>
      <c r="D60" s="15"/>
      <c r="E60" s="15"/>
      <c r="F60" s="15"/>
      <c r="G60" s="15"/>
      <c r="H60" s="124"/>
    </row>
    <row r="61" spans="1:8" ht="25.5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5.5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3276886</v>
      </c>
      <c r="D63" s="18">
        <f t="shared" si="37"/>
        <v>3677000</v>
      </c>
      <c r="E63" s="18">
        <f t="shared" si="37"/>
        <v>0</v>
      </c>
      <c r="F63" s="18">
        <f t="shared" si="0"/>
        <v>3677000</v>
      </c>
      <c r="G63" s="18">
        <f t="shared" ref="G63" si="38">G56+G62</f>
        <v>1895920</v>
      </c>
      <c r="H63" s="125">
        <f t="shared" si="1"/>
        <v>0.51561599129725322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457</v>
      </c>
      <c r="G65" s="12" t="s">
        <v>273</v>
      </c>
      <c r="H65" s="123" t="s">
        <v>274</v>
      </c>
    </row>
    <row r="66" spans="1:8" ht="25.5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5.5">
      <c r="A67" s="21" t="s">
        <v>178</v>
      </c>
      <c r="B67" s="14" t="s">
        <v>282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5.5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5.5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8.25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0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5.5">
      <c r="A78" s="16" t="s">
        <v>53</v>
      </c>
      <c r="B78" s="17" t="s">
        <v>54</v>
      </c>
      <c r="C78" s="18">
        <f t="shared" ref="C78:E78" si="47">SUM(C79:C82)</f>
        <v>0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5.5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>
        <v>665426</v>
      </c>
      <c r="D84" s="15">
        <v>675000</v>
      </c>
      <c r="E84" s="15"/>
      <c r="F84" s="15">
        <f t="shared" si="41"/>
        <v>675000</v>
      </c>
      <c r="G84" s="15">
        <v>190459</v>
      </c>
      <c r="H84" s="124">
        <f t="shared" si="42"/>
        <v>0.28216148148148146</v>
      </c>
    </row>
    <row r="85" spans="1:8">
      <c r="A85" s="13" t="s">
        <v>67</v>
      </c>
      <c r="B85" s="14" t="s">
        <v>68</v>
      </c>
      <c r="C85" s="15">
        <f t="shared" ref="C85:E85" si="49">SUM(C83:C84)</f>
        <v>665426</v>
      </c>
      <c r="D85" s="15">
        <f t="shared" si="49"/>
        <v>675000</v>
      </c>
      <c r="E85" s="15">
        <f t="shared" si="49"/>
        <v>0</v>
      </c>
      <c r="F85" s="15">
        <f t="shared" si="41"/>
        <v>675000</v>
      </c>
      <c r="G85" s="15">
        <f t="shared" ref="G85" si="50">SUM(G83:G84)</f>
        <v>190459</v>
      </c>
      <c r="H85" s="124">
        <f t="shared" si="42"/>
        <v>0.28216148148148146</v>
      </c>
    </row>
    <row r="86" spans="1:8">
      <c r="A86" s="13" t="s">
        <v>69</v>
      </c>
      <c r="B86" s="14" t="s">
        <v>70</v>
      </c>
      <c r="C86" s="15"/>
      <c r="D86" s="15">
        <v>50000</v>
      </c>
      <c r="E86" s="15"/>
      <c r="F86" s="15">
        <f t="shared" si="41"/>
        <v>50000</v>
      </c>
      <c r="G86" s="15">
        <v>45452</v>
      </c>
      <c r="H86" s="124">
        <f t="shared" si="42"/>
        <v>0.90903999999999996</v>
      </c>
    </row>
    <row r="87" spans="1:8">
      <c r="A87" s="13" t="s">
        <v>71</v>
      </c>
      <c r="B87" s="14" t="s">
        <v>72</v>
      </c>
      <c r="C87" s="15">
        <v>89762</v>
      </c>
      <c r="D87" s="15">
        <v>102000</v>
      </c>
      <c r="E87" s="15"/>
      <c r="F87" s="15">
        <f t="shared" si="41"/>
        <v>102000</v>
      </c>
      <c r="G87" s="15">
        <v>36633</v>
      </c>
      <c r="H87" s="124">
        <f t="shared" si="42"/>
        <v>0.35914705882352943</v>
      </c>
    </row>
    <row r="88" spans="1:8">
      <c r="A88" s="13" t="s">
        <v>73</v>
      </c>
      <c r="B88" s="14" t="s">
        <v>74</v>
      </c>
      <c r="C88" s="15">
        <f t="shared" ref="C88:E88" si="51">SUM(C86:C87)</f>
        <v>89762</v>
      </c>
      <c r="D88" s="15">
        <f t="shared" si="51"/>
        <v>152000</v>
      </c>
      <c r="E88" s="15">
        <f t="shared" si="51"/>
        <v>0</v>
      </c>
      <c r="F88" s="15">
        <f t="shared" si="41"/>
        <v>152000</v>
      </c>
      <c r="G88" s="15">
        <f t="shared" ref="G88" si="52">SUM(G86:G87)</f>
        <v>82085</v>
      </c>
      <c r="H88" s="124">
        <f t="shared" si="42"/>
        <v>0.54003289473684213</v>
      </c>
    </row>
    <row r="89" spans="1:8">
      <c r="A89" s="13" t="s">
        <v>75</v>
      </c>
      <c r="B89" s="14" t="s">
        <v>76</v>
      </c>
      <c r="C89" s="15">
        <v>1624405</v>
      </c>
      <c r="D89" s="15">
        <v>1800000</v>
      </c>
      <c r="E89" s="15">
        <f>-34474-546</f>
        <v>-35020</v>
      </c>
      <c r="F89" s="15">
        <f t="shared" si="41"/>
        <v>1764980</v>
      </c>
      <c r="G89" s="15">
        <v>760014</v>
      </c>
      <c r="H89" s="124">
        <f t="shared" si="42"/>
        <v>0.43060771226869426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276</v>
      </c>
      <c r="B91" s="19" t="s">
        <v>277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78993</v>
      </c>
      <c r="D92" s="15">
        <v>75000</v>
      </c>
      <c r="E92" s="15">
        <v>0</v>
      </c>
      <c r="F92" s="15">
        <f t="shared" si="41"/>
        <v>75000</v>
      </c>
      <c r="G92" s="15">
        <v>5000</v>
      </c>
      <c r="H92" s="124">
        <f t="shared" si="42"/>
        <v>6.6666666666666666E-2</v>
      </c>
    </row>
    <row r="93" spans="1:8">
      <c r="A93" s="13" t="s">
        <v>81</v>
      </c>
      <c r="B93" s="14" t="s">
        <v>82</v>
      </c>
      <c r="C93" s="15"/>
      <c r="D93" s="15">
        <v>12000</v>
      </c>
      <c r="E93" s="15"/>
      <c r="F93" s="15">
        <f t="shared" si="41"/>
        <v>12000</v>
      </c>
      <c r="G93" s="15">
        <v>947</v>
      </c>
      <c r="H93" s="124">
        <f t="shared" si="42"/>
        <v>7.8916666666666663E-2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5.5">
      <c r="A95" s="13" t="s">
        <v>85</v>
      </c>
      <c r="B95" s="14" t="s">
        <v>86</v>
      </c>
      <c r="C95" s="15"/>
      <c r="D95" s="15"/>
      <c r="E95" s="15">
        <v>90000</v>
      </c>
      <c r="F95" s="15">
        <f t="shared" si="41"/>
        <v>90000</v>
      </c>
      <c r="G95" s="15">
        <v>47256</v>
      </c>
      <c r="H95" s="124">
        <f t="shared" si="42"/>
        <v>0.52506666666666668</v>
      </c>
    </row>
    <row r="96" spans="1:8">
      <c r="A96" s="13" t="s">
        <v>87</v>
      </c>
      <c r="B96" s="14" t="s">
        <v>88</v>
      </c>
      <c r="C96" s="15">
        <v>156781</v>
      </c>
      <c r="D96" s="15">
        <v>175000</v>
      </c>
      <c r="E96" s="15">
        <f>-55526+546</f>
        <v>-54980</v>
      </c>
      <c r="F96" s="15">
        <f t="shared" si="41"/>
        <v>120020</v>
      </c>
      <c r="G96" s="15">
        <v>9468</v>
      </c>
      <c r="H96" s="124">
        <f t="shared" si="42"/>
        <v>7.8886852191301454E-2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5.5">
      <c r="A98" s="13" t="s">
        <v>91</v>
      </c>
      <c r="B98" s="14" t="s">
        <v>92</v>
      </c>
      <c r="C98" s="15">
        <f>C89+C90+C92+C93+C95+C96+C91</f>
        <v>1860179</v>
      </c>
      <c r="D98" s="15">
        <f t="shared" ref="D98:G98" si="53">D89+D90+D92+D93+D95+D96+D91</f>
        <v>2062000</v>
      </c>
      <c r="E98" s="15">
        <f t="shared" si="53"/>
        <v>0</v>
      </c>
      <c r="F98" s="15">
        <f t="shared" si="53"/>
        <v>2062000</v>
      </c>
      <c r="G98" s="15">
        <f t="shared" si="53"/>
        <v>822685</v>
      </c>
      <c r="H98" s="124">
        <f t="shared" si="42"/>
        <v>0.39897429679922408</v>
      </c>
    </row>
    <row r="99" spans="1:8">
      <c r="A99" s="13" t="s">
        <v>280</v>
      </c>
      <c r="B99" s="14" t="s">
        <v>281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>
        <v>10000</v>
      </c>
      <c r="E100" s="15"/>
      <c r="F100" s="15">
        <f t="shared" si="41"/>
        <v>10000</v>
      </c>
      <c r="G100" s="15"/>
      <c r="H100" s="124">
        <f t="shared" si="42"/>
        <v>0</v>
      </c>
    </row>
    <row r="101" spans="1:8" ht="25.5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10000</v>
      </c>
      <c r="E101" s="15">
        <f t="shared" si="54"/>
        <v>0</v>
      </c>
      <c r="F101" s="15">
        <f t="shared" si="54"/>
        <v>10000</v>
      </c>
      <c r="G101" s="15">
        <f t="shared" si="54"/>
        <v>0</v>
      </c>
      <c r="H101" s="124">
        <f t="shared" si="42"/>
        <v>0</v>
      </c>
    </row>
    <row r="102" spans="1:8" ht="25.5">
      <c r="A102" s="13" t="s">
        <v>97</v>
      </c>
      <c r="B102" s="14" t="s">
        <v>98</v>
      </c>
      <c r="C102" s="15">
        <v>661519</v>
      </c>
      <c r="D102" s="15">
        <v>778000</v>
      </c>
      <c r="E102" s="15"/>
      <c r="F102" s="15">
        <f t="shared" si="41"/>
        <v>778000</v>
      </c>
      <c r="G102" s="15">
        <v>277259</v>
      </c>
      <c r="H102" s="124">
        <f t="shared" si="42"/>
        <v>0.35637403598971723</v>
      </c>
    </row>
    <row r="103" spans="1:8" s="122" customFormat="1">
      <c r="A103" s="13">
        <v>52</v>
      </c>
      <c r="B103" s="14" t="s">
        <v>458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5.5">
      <c r="A105" s="13" t="s">
        <v>101</v>
      </c>
      <c r="B105" s="14" t="s">
        <v>102</v>
      </c>
      <c r="C105" s="15">
        <f t="shared" ref="C105:E105" si="55">SUM(C102:C104)</f>
        <v>661519</v>
      </c>
      <c r="D105" s="15">
        <f t="shared" si="55"/>
        <v>778000</v>
      </c>
      <c r="E105" s="15">
        <f t="shared" si="55"/>
        <v>0</v>
      </c>
      <c r="F105" s="15">
        <f t="shared" si="41"/>
        <v>778000</v>
      </c>
      <c r="G105" s="15">
        <f t="shared" ref="G105" si="56">SUM(G102:G104)</f>
        <v>277259</v>
      </c>
      <c r="H105" s="124">
        <f t="shared" si="42"/>
        <v>0.35637403598971723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3276886</v>
      </c>
      <c r="D106" s="18">
        <f t="shared" si="57"/>
        <v>3677000</v>
      </c>
      <c r="E106" s="18">
        <f t="shared" si="57"/>
        <v>0</v>
      </c>
      <c r="F106" s="18">
        <f t="shared" si="41"/>
        <v>3677000</v>
      </c>
      <c r="G106" s="18">
        <f t="shared" ref="G106" si="58">G85+G88+G98+G101+G105</f>
        <v>1372488</v>
      </c>
      <c r="H106" s="125">
        <f t="shared" si="42"/>
        <v>0.37326298612999725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5.5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5.5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5.5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8.25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5.5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5.5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5.5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5.5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5.5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5.5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5.5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275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8.25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466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5.5">
      <c r="A127" s="13" t="s">
        <v>141</v>
      </c>
      <c r="B127" s="14" t="s">
        <v>142</v>
      </c>
      <c r="C127" s="15"/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5.5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5.5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5.5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5.5">
      <c r="A135" s="16" t="s">
        <v>157</v>
      </c>
      <c r="B135" s="17" t="s">
        <v>158</v>
      </c>
      <c r="C135" s="18">
        <f t="shared" ref="C135:E135" si="74">C77+C78+C106+C113+C124+C130+C134</f>
        <v>3276886</v>
      </c>
      <c r="D135" s="18">
        <f t="shared" si="74"/>
        <v>3677000</v>
      </c>
      <c r="E135" s="18">
        <f t="shared" si="74"/>
        <v>0</v>
      </c>
      <c r="F135" s="18">
        <f t="shared" si="41"/>
        <v>3677000</v>
      </c>
      <c r="G135" s="18">
        <f t="shared" ref="G135" si="75">G77+G78+G106+G113+G124+G130+G134</f>
        <v>1372488</v>
      </c>
      <c r="H135" s="125">
        <f t="shared" si="42"/>
        <v>0.37326298612999725</v>
      </c>
    </row>
    <row r="136" spans="1:8" ht="25.5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5.5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5.5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5.5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3276886</v>
      </c>
      <c r="D140" s="18">
        <f t="shared" si="80"/>
        <v>3677000</v>
      </c>
      <c r="E140" s="18">
        <f t="shared" si="80"/>
        <v>0</v>
      </c>
      <c r="F140" s="18">
        <f t="shared" si="41"/>
        <v>3677000</v>
      </c>
      <c r="G140" s="18">
        <f t="shared" ref="G140" si="81">G135+G139</f>
        <v>1372488</v>
      </c>
      <c r="H140" s="125">
        <f t="shared" si="42"/>
        <v>0.37326298612999725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40"/>
  <sheetViews>
    <sheetView view="pageBreakPreview" topLeftCell="A116" zoomScale="70" zoomScaleNormal="100" zoomScaleSheetLayoutView="70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9.21875" customWidth="1"/>
    <col min="6" max="6" width="10.21875" customWidth="1"/>
    <col min="8" max="8" width="12" style="126" customWidth="1"/>
  </cols>
  <sheetData>
    <row r="1" spans="1:8">
      <c r="A1" s="140" t="s">
        <v>441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22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8.25">
      <c r="A8" s="13" t="s">
        <v>176</v>
      </c>
      <c r="B8" s="14" t="s">
        <v>177</v>
      </c>
      <c r="C8" s="15">
        <v>8520000</v>
      </c>
      <c r="D8" s="15">
        <v>319000</v>
      </c>
      <c r="E8" s="15">
        <v>0</v>
      </c>
      <c r="F8" s="15">
        <f t="shared" si="0"/>
        <v>319000</v>
      </c>
      <c r="G8" s="15">
        <v>319000</v>
      </c>
      <c r="H8" s="124">
        <f t="shared" si="1"/>
        <v>1</v>
      </c>
    </row>
    <row r="9" spans="1:8" ht="25.5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 t="shared" ref="C12:E12" si="2">SUM(C6:C11)</f>
        <v>8520000</v>
      </c>
      <c r="D12" s="15">
        <f t="shared" si="2"/>
        <v>319000</v>
      </c>
      <c r="E12" s="15">
        <f t="shared" si="2"/>
        <v>0</v>
      </c>
      <c r="F12" s="15">
        <f t="shared" si="0"/>
        <v>319000</v>
      </c>
      <c r="G12" s="15">
        <f t="shared" ref="G12" si="3">SUM(G6:G11)</f>
        <v>319000</v>
      </c>
      <c r="H12" s="124">
        <f t="shared" si="1"/>
        <v>1</v>
      </c>
    </row>
    <row r="13" spans="1:8" ht="25.5">
      <c r="A13" s="13" t="s">
        <v>67</v>
      </c>
      <c r="B13" s="14" t="s">
        <v>185</v>
      </c>
      <c r="C13" s="15">
        <f t="shared" ref="C13:E13" si="4">SUM(C14:C19)</f>
        <v>61407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61407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 t="shared" ref="C20:G20" si="6">C12+C13</f>
        <v>8581407</v>
      </c>
      <c r="D20" s="18">
        <f t="shared" si="6"/>
        <v>319000</v>
      </c>
      <c r="E20" s="18">
        <f t="shared" si="6"/>
        <v>0</v>
      </c>
      <c r="F20" s="18">
        <f t="shared" si="0"/>
        <v>319000</v>
      </c>
      <c r="G20" s="18">
        <f t="shared" si="6"/>
        <v>319000</v>
      </c>
      <c r="H20" s="125">
        <f t="shared" si="1"/>
        <v>1</v>
      </c>
    </row>
    <row r="21" spans="1:8" ht="25.5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/>
      <c r="D39" s="15">
        <v>500000</v>
      </c>
      <c r="E39" s="15">
        <v>-500000</v>
      </c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/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>
        <v>135000</v>
      </c>
      <c r="E42" s="15">
        <v>-135000</v>
      </c>
      <c r="F42" s="15">
        <f t="shared" si="0"/>
        <v>0</v>
      </c>
      <c r="G42" s="15"/>
      <c r="H42" s="124" t="e">
        <f t="shared" si="1"/>
        <v>#DIV/0!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8.25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635000</v>
      </c>
      <c r="E46" s="18">
        <f t="shared" si="22"/>
        <v>-635000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5.5">
      <c r="A49" s="16">
        <v>231</v>
      </c>
      <c r="B49" s="17" t="s">
        <v>460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8.25">
      <c r="A50" s="20">
        <v>232</v>
      </c>
      <c r="B50" s="19" t="s">
        <v>459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5.5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5.5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5.5">
      <c r="A56" s="16" t="s">
        <v>253</v>
      </c>
      <c r="B56" s="17" t="s">
        <v>254</v>
      </c>
      <c r="C56" s="18">
        <f t="shared" ref="C56:E56" si="30">C55+C46+C48+C36+C20+C22</f>
        <v>8581407</v>
      </c>
      <c r="D56" s="18">
        <f t="shared" si="30"/>
        <v>954000</v>
      </c>
      <c r="E56" s="18">
        <f t="shared" si="30"/>
        <v>-635000</v>
      </c>
      <c r="F56" s="18">
        <f t="shared" si="0"/>
        <v>319000</v>
      </c>
      <c r="G56" s="18">
        <f t="shared" ref="G56" si="31">G55+G46+G48+G36+G20+G22</f>
        <v>319000</v>
      </c>
      <c r="H56" s="125">
        <f t="shared" si="1"/>
        <v>1</v>
      </c>
    </row>
    <row r="57" spans="1:8" ht="25.5">
      <c r="A57" s="13" t="s">
        <v>255</v>
      </c>
      <c r="B57" s="14" t="s">
        <v>256</v>
      </c>
      <c r="C57" s="15"/>
      <c r="D57" s="15">
        <v>0</v>
      </c>
      <c r="E57" s="15">
        <f>1165938+100</f>
        <v>1166038</v>
      </c>
      <c r="F57" s="15">
        <f t="shared" si="0"/>
        <v>1166038</v>
      </c>
      <c r="G57" s="15">
        <v>1166038</v>
      </c>
      <c r="H57" s="124">
        <f t="shared" si="1"/>
        <v>1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1166038</v>
      </c>
      <c r="F58" s="15">
        <f t="shared" si="0"/>
        <v>1166038</v>
      </c>
      <c r="G58" s="15">
        <f t="shared" ref="G58" si="33">SUM(G57)</f>
        <v>1166038</v>
      </c>
      <c r="H58" s="124">
        <f t="shared" si="1"/>
        <v>1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412</v>
      </c>
      <c r="C60" s="15"/>
      <c r="D60" s="15"/>
      <c r="E60" s="15"/>
      <c r="F60" s="15"/>
      <c r="G60" s="15"/>
      <c r="H60" s="124"/>
    </row>
    <row r="61" spans="1:8" ht="25.5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1166038</v>
      </c>
      <c r="F61" s="15">
        <f t="shared" si="0"/>
        <v>1166038</v>
      </c>
      <c r="G61" s="15">
        <f>SUM(G58:G60)</f>
        <v>1166038</v>
      </c>
      <c r="H61" s="124">
        <f t="shared" si="1"/>
        <v>1</v>
      </c>
    </row>
    <row r="62" spans="1:8" ht="25.5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1166038</v>
      </c>
      <c r="F62" s="18">
        <f t="shared" si="0"/>
        <v>1166038</v>
      </c>
      <c r="G62" s="18">
        <f t="shared" ref="G62" si="36">SUM(G61)</f>
        <v>1166038</v>
      </c>
      <c r="H62" s="125">
        <f t="shared" si="1"/>
        <v>1</v>
      </c>
    </row>
    <row r="63" spans="1:8">
      <c r="A63" s="16" t="s">
        <v>264</v>
      </c>
      <c r="B63" s="17" t="s">
        <v>265</v>
      </c>
      <c r="C63" s="18">
        <f t="shared" ref="C63:E63" si="37">C56+C62</f>
        <v>8581407</v>
      </c>
      <c r="D63" s="18">
        <f t="shared" si="37"/>
        <v>954000</v>
      </c>
      <c r="E63" s="18">
        <f t="shared" si="37"/>
        <v>531038</v>
      </c>
      <c r="F63" s="18">
        <f t="shared" si="0"/>
        <v>1485038</v>
      </c>
      <c r="G63" s="18">
        <f t="shared" ref="G63" si="38">G56+G62</f>
        <v>1485038</v>
      </c>
      <c r="H63" s="125">
        <f t="shared" si="1"/>
        <v>1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457</v>
      </c>
      <c r="G65" s="12" t="s">
        <v>273</v>
      </c>
      <c r="H65" s="123" t="s">
        <v>274</v>
      </c>
    </row>
    <row r="66" spans="1:8" ht="25.5">
      <c r="A66" s="13" t="s">
        <v>31</v>
      </c>
      <c r="B66" s="14" t="s">
        <v>32</v>
      </c>
      <c r="C66" s="15">
        <v>1623059</v>
      </c>
      <c r="D66" s="15">
        <v>143000</v>
      </c>
      <c r="E66" s="15">
        <v>100</v>
      </c>
      <c r="F66" s="15">
        <f t="shared" si="0"/>
        <v>143100</v>
      </c>
      <c r="G66" s="15">
        <v>143100</v>
      </c>
      <c r="H66" s="124">
        <f t="shared" si="1"/>
        <v>1</v>
      </c>
    </row>
    <row r="67" spans="1:8" ht="25.5">
      <c r="A67" s="21" t="s">
        <v>178</v>
      </c>
      <c r="B67" s="14" t="s">
        <v>282</v>
      </c>
      <c r="C67" s="15"/>
      <c r="D67" s="15">
        <v>40000</v>
      </c>
      <c r="E67" s="15"/>
      <c r="F67" s="15">
        <f t="shared" si="0"/>
        <v>40000</v>
      </c>
      <c r="G67" s="15">
        <v>40000</v>
      </c>
      <c r="H67" s="124"/>
    </row>
    <row r="68" spans="1:8">
      <c r="A68" s="13" t="s">
        <v>33</v>
      </c>
      <c r="B68" s="14" t="s">
        <v>34</v>
      </c>
      <c r="C68" s="15">
        <v>72500</v>
      </c>
      <c r="D68" s="15">
        <v>5000</v>
      </c>
      <c r="E68" s="15"/>
      <c r="F68" s="15">
        <f t="shared" si="0"/>
        <v>5000</v>
      </c>
      <c r="G68" s="15">
        <v>5000</v>
      </c>
      <c r="H68" s="124">
        <f t="shared" si="1"/>
        <v>1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>
        <v>9000</v>
      </c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5.5">
      <c r="A71" s="13" t="s">
        <v>39</v>
      </c>
      <c r="B71" s="14" t="s">
        <v>40</v>
      </c>
      <c r="C71" s="15">
        <v>12900</v>
      </c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5.5">
      <c r="A72" s="13" t="s">
        <v>41</v>
      </c>
      <c r="B72" s="14" t="s">
        <v>42</v>
      </c>
      <c r="C72" s="15">
        <f t="shared" ref="C72:E72" si="39">SUM(C66:C71)</f>
        <v>1717459</v>
      </c>
      <c r="D72" s="15">
        <f t="shared" si="39"/>
        <v>188000</v>
      </c>
      <c r="E72" s="15">
        <f t="shared" si="39"/>
        <v>100</v>
      </c>
      <c r="F72" s="15">
        <f t="shared" si="0"/>
        <v>188100</v>
      </c>
      <c r="G72" s="15">
        <f t="shared" ref="G72" si="40">SUM(G66:G71)</f>
        <v>188100</v>
      </c>
      <c r="H72" s="124">
        <f t="shared" si="1"/>
        <v>1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8.25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1717459</v>
      </c>
      <c r="D77" s="18">
        <f t="shared" si="45"/>
        <v>188000</v>
      </c>
      <c r="E77" s="18">
        <f t="shared" si="45"/>
        <v>100</v>
      </c>
      <c r="F77" s="18">
        <f t="shared" si="41"/>
        <v>188100</v>
      </c>
      <c r="G77" s="18">
        <f t="shared" ref="G77" si="46">G72+G76</f>
        <v>188100</v>
      </c>
      <c r="H77" s="125">
        <f t="shared" si="42"/>
        <v>1</v>
      </c>
    </row>
    <row r="78" spans="1:8" ht="25.5">
      <c r="A78" s="16" t="s">
        <v>53</v>
      </c>
      <c r="B78" s="17" t="s">
        <v>54</v>
      </c>
      <c r="C78" s="18">
        <f t="shared" ref="C78:E78" si="47">SUM(C79:C82)</f>
        <v>469876</v>
      </c>
      <c r="D78" s="18">
        <f t="shared" si="47"/>
        <v>51000</v>
      </c>
      <c r="E78" s="18">
        <f t="shared" si="47"/>
        <v>546</v>
      </c>
      <c r="F78" s="18">
        <f t="shared" si="41"/>
        <v>51546</v>
      </c>
      <c r="G78" s="18">
        <f t="shared" ref="G78" si="48">SUM(G79:G82)</f>
        <v>51546</v>
      </c>
      <c r="H78" s="125">
        <f t="shared" si="42"/>
        <v>1</v>
      </c>
    </row>
    <row r="79" spans="1:8">
      <c r="A79" s="13" t="s">
        <v>55</v>
      </c>
      <c r="B79" s="14" t="s">
        <v>56</v>
      </c>
      <c r="C79" s="15">
        <v>439983</v>
      </c>
      <c r="D79" s="15">
        <v>49000</v>
      </c>
      <c r="E79" s="15">
        <v>437</v>
      </c>
      <c r="F79" s="15">
        <f t="shared" si="41"/>
        <v>49437</v>
      </c>
      <c r="G79" s="15">
        <v>49437</v>
      </c>
      <c r="H79" s="124">
        <f t="shared" si="42"/>
        <v>1</v>
      </c>
    </row>
    <row r="80" spans="1:8">
      <c r="A80" s="13" t="s">
        <v>57</v>
      </c>
      <c r="B80" s="14" t="s">
        <v>58</v>
      </c>
      <c r="C80" s="15">
        <v>15680</v>
      </c>
      <c r="D80" s="15">
        <v>1000</v>
      </c>
      <c r="E80" s="15">
        <v>80</v>
      </c>
      <c r="F80" s="15">
        <f t="shared" si="41"/>
        <v>1080</v>
      </c>
      <c r="G80" s="15">
        <v>1080</v>
      </c>
      <c r="H80" s="124">
        <f t="shared" si="42"/>
        <v>1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5.5">
      <c r="A82" s="13" t="s">
        <v>61</v>
      </c>
      <c r="B82" s="14" t="s">
        <v>62</v>
      </c>
      <c r="C82" s="15">
        <v>14213</v>
      </c>
      <c r="D82" s="15">
        <v>1000</v>
      </c>
      <c r="E82" s="15">
        <v>29</v>
      </c>
      <c r="F82" s="15">
        <f t="shared" si="41"/>
        <v>1029</v>
      </c>
      <c r="G82" s="15">
        <v>1029</v>
      </c>
      <c r="H82" s="124">
        <f t="shared" si="42"/>
        <v>1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>
        <v>571023</v>
      </c>
      <c r="D84" s="15"/>
      <c r="E84" s="15">
        <f>10000-5650</f>
        <v>4350</v>
      </c>
      <c r="F84" s="15">
        <f t="shared" si="41"/>
        <v>4350</v>
      </c>
      <c r="G84" s="15">
        <v>4350</v>
      </c>
      <c r="H84" s="124">
        <f t="shared" si="42"/>
        <v>1</v>
      </c>
    </row>
    <row r="85" spans="1:8">
      <c r="A85" s="13" t="s">
        <v>67</v>
      </c>
      <c r="B85" s="14" t="s">
        <v>68</v>
      </c>
      <c r="C85" s="15">
        <f t="shared" ref="C85:E85" si="49">SUM(C83:C84)</f>
        <v>571023</v>
      </c>
      <c r="D85" s="15">
        <f t="shared" si="49"/>
        <v>0</v>
      </c>
      <c r="E85" s="15">
        <f t="shared" si="49"/>
        <v>4350</v>
      </c>
      <c r="F85" s="15">
        <f t="shared" si="41"/>
        <v>4350</v>
      </c>
      <c r="G85" s="15">
        <f t="shared" ref="G85" si="50">SUM(G83:G84)</f>
        <v>4350</v>
      </c>
      <c r="H85" s="124">
        <f t="shared" si="42"/>
        <v>1</v>
      </c>
    </row>
    <row r="86" spans="1:8">
      <c r="A86" s="13" t="s">
        <v>69</v>
      </c>
      <c r="B86" s="14" t="s">
        <v>70</v>
      </c>
      <c r="C86" s="15">
        <v>46125</v>
      </c>
      <c r="D86" s="15">
        <v>5000</v>
      </c>
      <c r="E86" s="15">
        <v>-3600</v>
      </c>
      <c r="F86" s="15">
        <f t="shared" si="41"/>
        <v>1400</v>
      </c>
      <c r="G86" s="15">
        <v>1400</v>
      </c>
      <c r="H86" s="124">
        <f t="shared" si="42"/>
        <v>1</v>
      </c>
    </row>
    <row r="87" spans="1:8">
      <c r="A87" s="13" t="s">
        <v>71</v>
      </c>
      <c r="B87" s="14" t="s">
        <v>72</v>
      </c>
      <c r="C87" s="15">
        <v>111195</v>
      </c>
      <c r="D87" s="15">
        <v>10000</v>
      </c>
      <c r="E87" s="15">
        <v>-7475</v>
      </c>
      <c r="F87" s="15">
        <f t="shared" si="41"/>
        <v>2525</v>
      </c>
      <c r="G87" s="15">
        <v>2525</v>
      </c>
      <c r="H87" s="124">
        <f t="shared" si="42"/>
        <v>1</v>
      </c>
    </row>
    <row r="88" spans="1:8">
      <c r="A88" s="13" t="s">
        <v>73</v>
      </c>
      <c r="B88" s="14" t="s">
        <v>74</v>
      </c>
      <c r="C88" s="15">
        <f t="shared" ref="C88:E88" si="51">SUM(C86:C87)</f>
        <v>157320</v>
      </c>
      <c r="D88" s="15">
        <f t="shared" si="51"/>
        <v>15000</v>
      </c>
      <c r="E88" s="15">
        <f t="shared" si="51"/>
        <v>-11075</v>
      </c>
      <c r="F88" s="15">
        <f t="shared" si="41"/>
        <v>3925</v>
      </c>
      <c r="G88" s="15">
        <f t="shared" ref="G88" si="52">SUM(G86:G87)</f>
        <v>3925</v>
      </c>
      <c r="H88" s="124">
        <f t="shared" si="42"/>
        <v>1</v>
      </c>
    </row>
    <row r="89" spans="1:8">
      <c r="A89" s="13" t="s">
        <v>75</v>
      </c>
      <c r="B89" s="14" t="s">
        <v>76</v>
      </c>
      <c r="C89" s="15">
        <v>2414125</v>
      </c>
      <c r="D89" s="15">
        <v>50000</v>
      </c>
      <c r="E89" s="15">
        <v>658499</v>
      </c>
      <c r="F89" s="15">
        <f t="shared" si="41"/>
        <v>708499</v>
      </c>
      <c r="G89" s="15">
        <f>1259727-551228</f>
        <v>708499</v>
      </c>
      <c r="H89" s="124">
        <f t="shared" si="42"/>
        <v>1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276</v>
      </c>
      <c r="B91" s="19" t="s">
        <v>277</v>
      </c>
      <c r="C91" s="15"/>
      <c r="D91" s="15"/>
      <c r="E91" s="15">
        <v>3139</v>
      </c>
      <c r="F91" s="15">
        <f t="shared" si="41"/>
        <v>3139</v>
      </c>
      <c r="G91" s="15">
        <v>3139</v>
      </c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24000</v>
      </c>
      <c r="F92" s="15">
        <f t="shared" si="41"/>
        <v>24000</v>
      </c>
      <c r="G92" s="15">
        <v>24000</v>
      </c>
      <c r="H92" s="124">
        <f t="shared" si="42"/>
        <v>1</v>
      </c>
    </row>
    <row r="93" spans="1:8">
      <c r="A93" s="13" t="s">
        <v>81</v>
      </c>
      <c r="B93" s="14" t="s">
        <v>82</v>
      </c>
      <c r="C93" s="15"/>
      <c r="D93" s="15">
        <v>500000</v>
      </c>
      <c r="E93" s="15">
        <v>-500000</v>
      </c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5.5">
      <c r="A95" s="13" t="s">
        <v>85</v>
      </c>
      <c r="B95" s="14" t="s">
        <v>86</v>
      </c>
      <c r="C95" s="15"/>
      <c r="D95" s="15"/>
      <c r="E95" s="15">
        <v>2400</v>
      </c>
      <c r="F95" s="15">
        <f t="shared" si="41"/>
        <v>2400</v>
      </c>
      <c r="G95" s="15">
        <v>2400</v>
      </c>
      <c r="H95" s="124">
        <f t="shared" si="42"/>
        <v>1</v>
      </c>
    </row>
    <row r="96" spans="1:8">
      <c r="A96" s="13" t="s">
        <v>87</v>
      </c>
      <c r="B96" s="14" t="s">
        <v>88</v>
      </c>
      <c r="C96" s="15">
        <v>810639</v>
      </c>
      <c r="D96" s="15"/>
      <c r="E96" s="15">
        <v>120161</v>
      </c>
      <c r="F96" s="15">
        <f t="shared" si="41"/>
        <v>120161</v>
      </c>
      <c r="G96" s="15">
        <v>120161</v>
      </c>
      <c r="H96" s="124">
        <f t="shared" si="42"/>
        <v>1</v>
      </c>
    </row>
    <row r="97" spans="1:8">
      <c r="A97" s="13" t="s">
        <v>89</v>
      </c>
      <c r="B97" s="14" t="s">
        <v>90</v>
      </c>
      <c r="C97" s="15">
        <v>214244</v>
      </c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5.5">
      <c r="A98" s="13" t="s">
        <v>91</v>
      </c>
      <c r="B98" s="14" t="s">
        <v>92</v>
      </c>
      <c r="C98" s="15">
        <f>C89+C90+C92+C93+C95+C96+C91</f>
        <v>3224764</v>
      </c>
      <c r="D98" s="15">
        <f t="shared" ref="D98:G98" si="53">D89+D90+D92+D93+D95+D96+D91</f>
        <v>550000</v>
      </c>
      <c r="E98" s="15">
        <f t="shared" si="53"/>
        <v>308199</v>
      </c>
      <c r="F98" s="15">
        <f t="shared" si="53"/>
        <v>858199</v>
      </c>
      <c r="G98" s="15">
        <f t="shared" si="53"/>
        <v>858199</v>
      </c>
      <c r="H98" s="124">
        <f t="shared" si="42"/>
        <v>1</v>
      </c>
    </row>
    <row r="99" spans="1:8">
      <c r="A99" s="13" t="s">
        <v>280</v>
      </c>
      <c r="B99" s="14" t="s">
        <v>281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5.5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5.5">
      <c r="A102" s="13" t="s">
        <v>97</v>
      </c>
      <c r="B102" s="14" t="s">
        <v>98</v>
      </c>
      <c r="C102" s="15">
        <v>990592</v>
      </c>
      <c r="D102" s="15">
        <v>150000</v>
      </c>
      <c r="E102" s="15">
        <v>228918</v>
      </c>
      <c r="F102" s="15">
        <f t="shared" si="41"/>
        <v>378918</v>
      </c>
      <c r="G102" s="15">
        <v>378918</v>
      </c>
      <c r="H102" s="124">
        <f t="shared" si="42"/>
        <v>1</v>
      </c>
    </row>
    <row r="103" spans="1:8" s="122" customFormat="1">
      <c r="A103" s="13">
        <v>52</v>
      </c>
      <c r="B103" s="14" t="s">
        <v>458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>
        <v>0</v>
      </c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5.5">
      <c r="A105" s="13" t="s">
        <v>101</v>
      </c>
      <c r="B105" s="14" t="s">
        <v>102</v>
      </c>
      <c r="C105" s="15">
        <f t="shared" ref="C105:E105" si="55">SUM(C102:C104)</f>
        <v>990592</v>
      </c>
      <c r="D105" s="15">
        <f t="shared" si="55"/>
        <v>150000</v>
      </c>
      <c r="E105" s="15">
        <f t="shared" si="55"/>
        <v>228918</v>
      </c>
      <c r="F105" s="15">
        <f t="shared" si="41"/>
        <v>378918</v>
      </c>
      <c r="G105" s="15">
        <f t="shared" ref="G105" si="56">SUM(G102:G104)</f>
        <v>378918</v>
      </c>
      <c r="H105" s="124">
        <f t="shared" si="42"/>
        <v>1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4943699</v>
      </c>
      <c r="D106" s="18">
        <f t="shared" si="57"/>
        <v>715000</v>
      </c>
      <c r="E106" s="18">
        <f t="shared" si="57"/>
        <v>530392</v>
      </c>
      <c r="F106" s="18">
        <f t="shared" si="41"/>
        <v>1245392</v>
      </c>
      <c r="G106" s="18">
        <f t="shared" ref="G106" si="58">G85+G88+G98+G101+G105</f>
        <v>1245392</v>
      </c>
      <c r="H106" s="125">
        <f t="shared" si="42"/>
        <v>1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5.5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5.5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5.5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8.25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5.5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5.5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5.5">
      <c r="A115" s="13" t="s">
        <v>121</v>
      </c>
      <c r="B115" s="14" t="s">
        <v>122</v>
      </c>
      <c r="C115" s="15">
        <v>1710867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5.5">
      <c r="A116" s="13" t="s">
        <v>123</v>
      </c>
      <c r="B116" s="14" t="s">
        <v>124</v>
      </c>
      <c r="C116" s="15">
        <f t="shared" ref="C116:E116" si="64">SUM(C114:C115)</f>
        <v>1710867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5.5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5.5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5.5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275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8.25">
      <c r="A124" s="16" t="s">
        <v>137</v>
      </c>
      <c r="B124" s="17" t="s">
        <v>138</v>
      </c>
      <c r="C124" s="18">
        <f>C116+C118+C119+C123</f>
        <v>1710867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466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5.5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5.5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5.5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5.5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5.5">
      <c r="A135" s="16" t="s">
        <v>157</v>
      </c>
      <c r="B135" s="17" t="s">
        <v>158</v>
      </c>
      <c r="C135" s="18">
        <f t="shared" ref="C135:E135" si="74">C77+C78+C106+C113+C124+C130+C134</f>
        <v>8841901</v>
      </c>
      <c r="D135" s="18">
        <f t="shared" si="74"/>
        <v>954000</v>
      </c>
      <c r="E135" s="18">
        <f t="shared" si="74"/>
        <v>531038</v>
      </c>
      <c r="F135" s="18">
        <f t="shared" si="41"/>
        <v>1485038</v>
      </c>
      <c r="G135" s="18">
        <f t="shared" ref="G135" si="75">G77+G78+G106+G113+G124+G130+G134</f>
        <v>1485038</v>
      </c>
      <c r="H135" s="125">
        <f t="shared" si="42"/>
        <v>1</v>
      </c>
    </row>
    <row r="136" spans="1:8" ht="25.5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5.5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5.5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5.5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8841901</v>
      </c>
      <c r="D140" s="18">
        <f t="shared" si="80"/>
        <v>954000</v>
      </c>
      <c r="E140" s="18">
        <f t="shared" si="80"/>
        <v>531038</v>
      </c>
      <c r="F140" s="18">
        <f t="shared" si="41"/>
        <v>1485038</v>
      </c>
      <c r="G140" s="18">
        <f t="shared" ref="G140" si="81">G135+G139</f>
        <v>1485038</v>
      </c>
      <c r="H140" s="125">
        <f t="shared" si="42"/>
        <v>1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2" orientation="portrait" r:id="rId1"/>
  <rowBreaks count="1" manualBreakCount="1">
    <brk id="91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A1:H140"/>
  <sheetViews>
    <sheetView view="pageBreakPreview" zoomScale="70" zoomScaleNormal="100" zoomScaleSheetLayoutView="70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10.5546875" customWidth="1"/>
    <col min="6" max="6" width="11.88671875" customWidth="1"/>
    <col min="8" max="8" width="11.77734375" style="126" customWidth="1"/>
  </cols>
  <sheetData>
    <row r="1" spans="1:8">
      <c r="A1" s="140" t="s">
        <v>442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23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3900000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8.25">
      <c r="A8" s="13" t="s">
        <v>176</v>
      </c>
      <c r="B8" s="14" t="s">
        <v>177</v>
      </c>
      <c r="C8" s="15">
        <v>2821000</v>
      </c>
      <c r="D8" s="15">
        <v>285000</v>
      </c>
      <c r="E8" s="15">
        <v>-58461</v>
      </c>
      <c r="F8" s="15">
        <f t="shared" si="0"/>
        <v>226539</v>
      </c>
      <c r="G8" s="15">
        <v>226539</v>
      </c>
      <c r="H8" s="124">
        <f t="shared" si="1"/>
        <v>1</v>
      </c>
    </row>
    <row r="9" spans="1:8" ht="25.5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 t="shared" ref="C12:E12" si="2">SUM(C6:C11)</f>
        <v>6721000</v>
      </c>
      <c r="D12" s="15">
        <f t="shared" si="2"/>
        <v>285000</v>
      </c>
      <c r="E12" s="15">
        <f t="shared" si="2"/>
        <v>-58461</v>
      </c>
      <c r="F12" s="15">
        <f t="shared" si="0"/>
        <v>226539</v>
      </c>
      <c r="G12" s="15">
        <f t="shared" ref="G12" si="3">SUM(G6:G11)</f>
        <v>226539</v>
      </c>
      <c r="H12" s="124">
        <f t="shared" si="1"/>
        <v>1</v>
      </c>
    </row>
    <row r="13" spans="1:8" ht="25.5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 t="shared" ref="C20:G20" si="6">C12+C13</f>
        <v>6721000</v>
      </c>
      <c r="D20" s="18">
        <f t="shared" si="6"/>
        <v>285000</v>
      </c>
      <c r="E20" s="18">
        <f t="shared" si="6"/>
        <v>-58461</v>
      </c>
      <c r="F20" s="18">
        <f t="shared" si="0"/>
        <v>226539</v>
      </c>
      <c r="G20" s="18">
        <f t="shared" si="6"/>
        <v>226539</v>
      </c>
      <c r="H20" s="125">
        <f t="shared" si="1"/>
        <v>1</v>
      </c>
    </row>
    <row r="21" spans="1:8" ht="25.5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/>
      <c r="D39" s="15">
        <v>500000</v>
      </c>
      <c r="E39" s="15">
        <v>-500000</v>
      </c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/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>
        <v>135000</v>
      </c>
      <c r="E42" s="15">
        <v>-135000</v>
      </c>
      <c r="F42" s="15">
        <f t="shared" si="0"/>
        <v>0</v>
      </c>
      <c r="G42" s="15"/>
      <c r="H42" s="124" t="e">
        <f t="shared" si="1"/>
        <v>#DIV/0!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8.25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635000</v>
      </c>
      <c r="E46" s="18">
        <f t="shared" si="22"/>
        <v>-635000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5.5">
      <c r="A49" s="16">
        <v>231</v>
      </c>
      <c r="B49" s="17" t="s">
        <v>460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8.25">
      <c r="A50" s="20">
        <v>232</v>
      </c>
      <c r="B50" s="19" t="s">
        <v>459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5.5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5.5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5.5">
      <c r="A56" s="16" t="s">
        <v>253</v>
      </c>
      <c r="B56" s="17" t="s">
        <v>254</v>
      </c>
      <c r="C56" s="18">
        <f t="shared" ref="C56:E56" si="30">C55+C46+C48+C36+C20+C22</f>
        <v>6721000</v>
      </c>
      <c r="D56" s="18">
        <f t="shared" si="30"/>
        <v>920000</v>
      </c>
      <c r="E56" s="18">
        <f t="shared" si="30"/>
        <v>-693461</v>
      </c>
      <c r="F56" s="18">
        <f t="shared" si="0"/>
        <v>226539</v>
      </c>
      <c r="G56" s="18">
        <f t="shared" ref="G56" si="31">G55+G46+G48+G36+G20+G22</f>
        <v>226539</v>
      </c>
      <c r="H56" s="125">
        <f t="shared" si="1"/>
        <v>1</v>
      </c>
    </row>
    <row r="57" spans="1:8" ht="25.5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412</v>
      </c>
      <c r="C60" s="15"/>
      <c r="D60" s="15"/>
      <c r="E60" s="15"/>
      <c r="F60" s="15"/>
      <c r="G60" s="15"/>
      <c r="H60" s="124"/>
    </row>
    <row r="61" spans="1:8" ht="25.5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5.5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6721000</v>
      </c>
      <c r="D63" s="18">
        <f t="shared" si="37"/>
        <v>920000</v>
      </c>
      <c r="E63" s="18">
        <f t="shared" si="37"/>
        <v>-693461</v>
      </c>
      <c r="F63" s="18">
        <f t="shared" si="0"/>
        <v>226539</v>
      </c>
      <c r="G63" s="18">
        <f t="shared" ref="G63" si="38">G56+G62</f>
        <v>226539</v>
      </c>
      <c r="H63" s="125">
        <f t="shared" si="1"/>
        <v>1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457</v>
      </c>
      <c r="G65" s="12" t="s">
        <v>273</v>
      </c>
      <c r="H65" s="123" t="s">
        <v>274</v>
      </c>
    </row>
    <row r="66" spans="1:8" ht="25.5">
      <c r="A66" s="13" t="s">
        <v>31</v>
      </c>
      <c r="B66" s="14" t="s">
        <v>32</v>
      </c>
      <c r="C66" s="15">
        <v>1603563</v>
      </c>
      <c r="D66" s="15">
        <v>106000</v>
      </c>
      <c r="E66" s="15">
        <v>-115</v>
      </c>
      <c r="F66" s="15">
        <f t="shared" si="0"/>
        <v>105885</v>
      </c>
      <c r="G66" s="15">
        <v>105885</v>
      </c>
      <c r="H66" s="124">
        <f t="shared" si="1"/>
        <v>1</v>
      </c>
    </row>
    <row r="67" spans="1:8" ht="25.5">
      <c r="A67" s="21" t="s">
        <v>178</v>
      </c>
      <c r="B67" s="14" t="s">
        <v>282</v>
      </c>
      <c r="C67" s="15"/>
      <c r="D67" s="15">
        <v>40000</v>
      </c>
      <c r="E67" s="15"/>
      <c r="F67" s="15">
        <f t="shared" si="0"/>
        <v>40000</v>
      </c>
      <c r="G67" s="15">
        <v>40000</v>
      </c>
      <c r="H67" s="124"/>
    </row>
    <row r="68" spans="1:8">
      <c r="A68" s="13" t="s">
        <v>33</v>
      </c>
      <c r="B68" s="14" t="s">
        <v>34</v>
      </c>
      <c r="C68" s="15">
        <v>72500</v>
      </c>
      <c r="D68" s="15">
        <v>5000</v>
      </c>
      <c r="E68" s="15"/>
      <c r="F68" s="15">
        <f t="shared" si="0"/>
        <v>5000</v>
      </c>
      <c r="G68" s="15">
        <v>5000</v>
      </c>
      <c r="H68" s="124">
        <f t="shared" si="1"/>
        <v>1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>
        <v>9000</v>
      </c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5.5">
      <c r="A71" s="13" t="s">
        <v>39</v>
      </c>
      <c r="B71" s="14" t="s">
        <v>40</v>
      </c>
      <c r="C71" s="15">
        <v>12900</v>
      </c>
      <c r="D71" s="15">
        <v>9000</v>
      </c>
      <c r="E71" s="15">
        <v>-400</v>
      </c>
      <c r="F71" s="15">
        <f t="shared" si="0"/>
        <v>8600</v>
      </c>
      <c r="G71" s="15">
        <v>8600</v>
      </c>
      <c r="H71" s="124">
        <f t="shared" si="1"/>
        <v>1</v>
      </c>
    </row>
    <row r="72" spans="1:8" ht="25.5">
      <c r="A72" s="13" t="s">
        <v>41</v>
      </c>
      <c r="B72" s="14" t="s">
        <v>42</v>
      </c>
      <c r="C72" s="15">
        <f t="shared" ref="C72:E72" si="39">SUM(C66:C71)</f>
        <v>1697963</v>
      </c>
      <c r="D72" s="15">
        <f t="shared" si="39"/>
        <v>160000</v>
      </c>
      <c r="E72" s="15">
        <f t="shared" si="39"/>
        <v>-515</v>
      </c>
      <c r="F72" s="15">
        <f t="shared" si="0"/>
        <v>159485</v>
      </c>
      <c r="G72" s="15">
        <f t="shared" ref="G72" si="40">SUM(G66:G71)</f>
        <v>159485</v>
      </c>
      <c r="H72" s="124">
        <f t="shared" si="1"/>
        <v>1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8.25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1697963</v>
      </c>
      <c r="D77" s="18">
        <f t="shared" si="45"/>
        <v>160000</v>
      </c>
      <c r="E77" s="18">
        <f t="shared" si="45"/>
        <v>-515</v>
      </c>
      <c r="F77" s="18">
        <f t="shared" si="41"/>
        <v>159485</v>
      </c>
      <c r="G77" s="18">
        <f t="shared" ref="G77" si="46">G72+G76</f>
        <v>159485</v>
      </c>
      <c r="H77" s="125">
        <f t="shared" si="42"/>
        <v>1</v>
      </c>
    </row>
    <row r="78" spans="1:8" ht="25.5">
      <c r="A78" s="16" t="s">
        <v>53</v>
      </c>
      <c r="B78" s="17" t="s">
        <v>54</v>
      </c>
      <c r="C78" s="18">
        <f t="shared" ref="C78:E78" si="47">SUM(C79:C82)</f>
        <v>464846</v>
      </c>
      <c r="D78" s="18">
        <f t="shared" si="47"/>
        <v>47000</v>
      </c>
      <c r="E78" s="18">
        <f t="shared" si="47"/>
        <v>-755</v>
      </c>
      <c r="F78" s="18">
        <f t="shared" si="41"/>
        <v>46245</v>
      </c>
      <c r="G78" s="18">
        <f t="shared" ref="G78" si="48">SUM(G79:G82)</f>
        <v>46245</v>
      </c>
      <c r="H78" s="125">
        <f t="shared" si="42"/>
        <v>1</v>
      </c>
    </row>
    <row r="79" spans="1:8">
      <c r="A79" s="13" t="s">
        <v>55</v>
      </c>
      <c r="B79" s="14" t="s">
        <v>56</v>
      </c>
      <c r="C79" s="15">
        <v>434715</v>
      </c>
      <c r="D79" s="15">
        <v>42000</v>
      </c>
      <c r="E79" s="15">
        <v>-289</v>
      </c>
      <c r="F79" s="15">
        <f t="shared" si="41"/>
        <v>41711</v>
      </c>
      <c r="G79" s="15">
        <v>41711</v>
      </c>
      <c r="H79" s="124">
        <f t="shared" si="42"/>
        <v>1</v>
      </c>
    </row>
    <row r="80" spans="1:8">
      <c r="A80" s="13" t="s">
        <v>57</v>
      </c>
      <c r="B80" s="14" t="s">
        <v>58</v>
      </c>
      <c r="C80" s="15">
        <v>15840</v>
      </c>
      <c r="D80" s="15">
        <v>1000</v>
      </c>
      <c r="E80" s="15">
        <v>-60</v>
      </c>
      <c r="F80" s="15">
        <f t="shared" si="41"/>
        <v>940</v>
      </c>
      <c r="G80" s="15">
        <v>940</v>
      </c>
      <c r="H80" s="124">
        <f t="shared" si="42"/>
        <v>1</v>
      </c>
    </row>
    <row r="81" spans="1:8">
      <c r="A81" s="13" t="s">
        <v>59</v>
      </c>
      <c r="B81" s="14" t="s">
        <v>60</v>
      </c>
      <c r="C81" s="15"/>
      <c r="D81" s="15">
        <v>3000</v>
      </c>
      <c r="E81" s="15">
        <v>-372</v>
      </c>
      <c r="F81" s="15">
        <f t="shared" si="41"/>
        <v>2628</v>
      </c>
      <c r="G81" s="15">
        <v>2628</v>
      </c>
      <c r="H81" s="124">
        <f t="shared" si="42"/>
        <v>1</v>
      </c>
    </row>
    <row r="82" spans="1:8" ht="25.5">
      <c r="A82" s="13" t="s">
        <v>61</v>
      </c>
      <c r="B82" s="14" t="s">
        <v>62</v>
      </c>
      <c r="C82" s="15">
        <v>14291</v>
      </c>
      <c r="D82" s="15">
        <v>1000</v>
      </c>
      <c r="E82" s="15">
        <v>-34</v>
      </c>
      <c r="F82" s="15">
        <f t="shared" si="41"/>
        <v>966</v>
      </c>
      <c r="G82" s="15">
        <v>966</v>
      </c>
      <c r="H82" s="124">
        <f t="shared" si="42"/>
        <v>1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>
        <v>576379</v>
      </c>
      <c r="D84" s="15"/>
      <c r="E84" s="15"/>
      <c r="F84" s="15">
        <f t="shared" si="41"/>
        <v>0</v>
      </c>
      <c r="G84" s="15"/>
      <c r="H84" s="124" t="e">
        <f t="shared" si="42"/>
        <v>#DIV/0!</v>
      </c>
    </row>
    <row r="85" spans="1:8">
      <c r="A85" s="13" t="s">
        <v>67</v>
      </c>
      <c r="B85" s="14" t="s">
        <v>68</v>
      </c>
      <c r="C85" s="15">
        <f t="shared" ref="C85:E85" si="49">SUM(C83:C84)</f>
        <v>576379</v>
      </c>
      <c r="D85" s="15">
        <f t="shared" si="49"/>
        <v>0</v>
      </c>
      <c r="E85" s="15">
        <f t="shared" si="49"/>
        <v>0</v>
      </c>
      <c r="F85" s="15">
        <f t="shared" si="41"/>
        <v>0</v>
      </c>
      <c r="G85" s="15">
        <f t="shared" ref="G85" si="50">SUM(G83:G84)</f>
        <v>0</v>
      </c>
      <c r="H85" s="124" t="e">
        <f t="shared" si="42"/>
        <v>#DIV/0!</v>
      </c>
    </row>
    <row r="86" spans="1:8">
      <c r="A86" s="13" t="s">
        <v>69</v>
      </c>
      <c r="B86" s="14" t="s">
        <v>70</v>
      </c>
      <c r="C86" s="15">
        <v>55350</v>
      </c>
      <c r="D86" s="15">
        <v>5000</v>
      </c>
      <c r="E86" s="15">
        <v>-5000</v>
      </c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>
        <v>94201</v>
      </c>
      <c r="D87" s="15">
        <v>8000</v>
      </c>
      <c r="E87" s="15">
        <v>-8000</v>
      </c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149551</v>
      </c>
      <c r="D88" s="15">
        <f t="shared" si="51"/>
        <v>13000</v>
      </c>
      <c r="E88" s="15">
        <f t="shared" si="51"/>
        <v>-13000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>
        <v>2448880</v>
      </c>
      <c r="D89" s="15">
        <v>50000</v>
      </c>
      <c r="E89" s="15">
        <v>-39464</v>
      </c>
      <c r="F89" s="15">
        <f t="shared" si="41"/>
        <v>10536</v>
      </c>
      <c r="G89" s="15">
        <v>10536</v>
      </c>
      <c r="H89" s="124">
        <f t="shared" si="42"/>
        <v>1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276</v>
      </c>
      <c r="B91" s="19" t="s">
        <v>277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161017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>
        <v>500000</v>
      </c>
      <c r="E93" s="15">
        <v>-500000</v>
      </c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5.5">
      <c r="A95" s="13" t="s">
        <v>85</v>
      </c>
      <c r="B95" s="14" t="s">
        <v>86</v>
      </c>
      <c r="C95" s="15"/>
      <c r="D95" s="15"/>
      <c r="E95" s="15">
        <v>6000</v>
      </c>
      <c r="F95" s="15">
        <f t="shared" si="41"/>
        <v>6000</v>
      </c>
      <c r="G95" s="15">
        <v>6000</v>
      </c>
      <c r="H95" s="124">
        <f t="shared" si="42"/>
        <v>1</v>
      </c>
    </row>
    <row r="96" spans="1:8">
      <c r="A96" s="13" t="s">
        <v>87</v>
      </c>
      <c r="B96" s="14" t="s">
        <v>88</v>
      </c>
      <c r="C96" s="15">
        <v>228487</v>
      </c>
      <c r="D96" s="15"/>
      <c r="E96" s="15"/>
      <c r="F96" s="15">
        <f t="shared" si="41"/>
        <v>0</v>
      </c>
      <c r="G96" s="15"/>
      <c r="H96" s="124" t="e">
        <f t="shared" si="42"/>
        <v>#DIV/0!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5.5">
      <c r="A98" s="13" t="s">
        <v>91</v>
      </c>
      <c r="B98" s="14" t="s">
        <v>92</v>
      </c>
      <c r="C98" s="15">
        <f>C89+C90+C92+C93+C95+C96+C91</f>
        <v>2838384</v>
      </c>
      <c r="D98" s="15">
        <f t="shared" ref="D98:G98" si="53">D89+D90+D92+D93+D95+D96+D91</f>
        <v>550000</v>
      </c>
      <c r="E98" s="15">
        <f t="shared" si="53"/>
        <v>-533464</v>
      </c>
      <c r="F98" s="15">
        <f t="shared" si="53"/>
        <v>16536</v>
      </c>
      <c r="G98" s="15">
        <f t="shared" si="53"/>
        <v>16536</v>
      </c>
      <c r="H98" s="124">
        <f t="shared" si="42"/>
        <v>1</v>
      </c>
    </row>
    <row r="99" spans="1:8">
      <c r="A99" s="13" t="s">
        <v>280</v>
      </c>
      <c r="B99" s="14" t="s">
        <v>281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5.5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5.5">
      <c r="A102" s="13" t="s">
        <v>97</v>
      </c>
      <c r="B102" s="14" t="s">
        <v>98</v>
      </c>
      <c r="C102" s="15">
        <v>944367</v>
      </c>
      <c r="D102" s="15">
        <v>150000</v>
      </c>
      <c r="E102" s="15">
        <v>-145727</v>
      </c>
      <c r="F102" s="15">
        <f t="shared" si="41"/>
        <v>4273</v>
      </c>
      <c r="G102" s="15">
        <v>4273</v>
      </c>
      <c r="H102" s="124">
        <f t="shared" si="42"/>
        <v>1</v>
      </c>
    </row>
    <row r="103" spans="1:8" s="122" customFormat="1">
      <c r="A103" s="13">
        <v>52</v>
      </c>
      <c r="B103" s="14" t="s">
        <v>458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>
        <v>7850</v>
      </c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5.5">
      <c r="A105" s="13" t="s">
        <v>101</v>
      </c>
      <c r="B105" s="14" t="s">
        <v>102</v>
      </c>
      <c r="C105" s="15">
        <f t="shared" ref="C105:E105" si="55">SUM(C102:C104)</f>
        <v>952217</v>
      </c>
      <c r="D105" s="15">
        <f t="shared" si="55"/>
        <v>150000</v>
      </c>
      <c r="E105" s="15">
        <f t="shared" si="55"/>
        <v>-145727</v>
      </c>
      <c r="F105" s="15">
        <f t="shared" si="41"/>
        <v>4273</v>
      </c>
      <c r="G105" s="15">
        <f t="shared" ref="G105" si="56">SUM(G102:G104)</f>
        <v>4273</v>
      </c>
      <c r="H105" s="124">
        <f t="shared" si="42"/>
        <v>1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4516531</v>
      </c>
      <c r="D106" s="18">
        <f t="shared" si="57"/>
        <v>713000</v>
      </c>
      <c r="E106" s="18">
        <f t="shared" si="57"/>
        <v>-692191</v>
      </c>
      <c r="F106" s="18">
        <f t="shared" si="41"/>
        <v>20809</v>
      </c>
      <c r="G106" s="18">
        <f t="shared" ref="G106" si="58">G85+G88+G98+G101+G105</f>
        <v>20809</v>
      </c>
      <c r="H106" s="125">
        <f t="shared" si="42"/>
        <v>1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5.5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5.5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5.5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8.25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5.5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5.5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5.5">
      <c r="A115" s="13" t="s">
        <v>121</v>
      </c>
      <c r="B115" s="14" t="s">
        <v>122</v>
      </c>
      <c r="C115" s="15">
        <v>1710868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5.5">
      <c r="A116" s="13" t="s">
        <v>123</v>
      </c>
      <c r="B116" s="14" t="s">
        <v>124</v>
      </c>
      <c r="C116" s="15">
        <f t="shared" ref="C116:E116" si="64">SUM(C114:C115)</f>
        <v>1710868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5.5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5.5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5.5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275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8.25">
      <c r="A124" s="16" t="s">
        <v>137</v>
      </c>
      <c r="B124" s="17" t="s">
        <v>138</v>
      </c>
      <c r="C124" s="18">
        <f>C116+C118+C119+C123</f>
        <v>1710868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466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5.5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5.5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5.5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5.5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5.5">
      <c r="A135" s="16" t="s">
        <v>157</v>
      </c>
      <c r="B135" s="17" t="s">
        <v>158</v>
      </c>
      <c r="C135" s="18">
        <f t="shared" ref="C135:E135" si="74">C77+C78+C106+C113+C124+C130+C134</f>
        <v>8390208</v>
      </c>
      <c r="D135" s="18">
        <f t="shared" si="74"/>
        <v>920000</v>
      </c>
      <c r="E135" s="18">
        <f t="shared" si="74"/>
        <v>-693461</v>
      </c>
      <c r="F135" s="18">
        <f t="shared" si="41"/>
        <v>226539</v>
      </c>
      <c r="G135" s="18">
        <f t="shared" ref="G135" si="75">G77+G78+G106+G113+G124+G130+G134</f>
        <v>226539</v>
      </c>
      <c r="H135" s="125">
        <f t="shared" si="42"/>
        <v>1</v>
      </c>
    </row>
    <row r="136" spans="1:8" ht="25.5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5.5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5.5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5.5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8390208</v>
      </c>
      <c r="D140" s="18">
        <f t="shared" si="80"/>
        <v>920000</v>
      </c>
      <c r="E140" s="18">
        <f t="shared" si="80"/>
        <v>-693461</v>
      </c>
      <c r="F140" s="18">
        <f t="shared" si="41"/>
        <v>226539</v>
      </c>
      <c r="G140" s="18">
        <f t="shared" ref="G140" si="81">G135+G139</f>
        <v>226539</v>
      </c>
      <c r="H140" s="125">
        <f t="shared" si="42"/>
        <v>1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41"/>
  <sheetViews>
    <sheetView view="pageBreakPreview" topLeftCell="A136" zoomScale="70" zoomScaleNormal="100" zoomScaleSheetLayoutView="70" workbookViewId="0">
      <selection activeCell="M17" sqref="M17"/>
    </sheetView>
  </sheetViews>
  <sheetFormatPr defaultRowHeight="15"/>
  <cols>
    <col min="2" max="2" width="33.21875" customWidth="1"/>
    <col min="3" max="7" width="13.44140625" customWidth="1"/>
    <col min="8" max="8" width="13.44140625" style="126" customWidth="1"/>
  </cols>
  <sheetData>
    <row r="1" spans="1:16" ht="15" customHeight="1">
      <c r="A1" s="140" t="s">
        <v>425</v>
      </c>
      <c r="B1" s="140"/>
      <c r="C1" s="140"/>
      <c r="D1" s="140"/>
      <c r="E1" s="140"/>
      <c r="F1" s="140"/>
      <c r="G1" s="140"/>
      <c r="H1" s="140"/>
      <c r="I1" s="8"/>
      <c r="J1" s="8"/>
      <c r="K1" s="8"/>
      <c r="L1" s="8"/>
      <c r="M1" s="8"/>
      <c r="N1" s="8"/>
      <c r="O1" s="8"/>
      <c r="P1" s="8"/>
    </row>
    <row r="2" spans="1:16">
      <c r="A2" s="141" t="s">
        <v>267</v>
      </c>
      <c r="B2" s="141"/>
      <c r="C2" s="141"/>
      <c r="D2" s="141"/>
      <c r="E2" s="141"/>
      <c r="F2" s="141"/>
      <c r="G2" s="141"/>
      <c r="H2" s="141"/>
      <c r="I2" s="9"/>
      <c r="J2" s="9"/>
      <c r="K2" s="9"/>
      <c r="L2" s="9"/>
      <c r="M2" s="9"/>
      <c r="N2" s="9"/>
      <c r="O2" s="9"/>
      <c r="P2" s="9"/>
    </row>
    <row r="3" spans="1:16" ht="15" customHeight="1">
      <c r="A3" s="141" t="s">
        <v>4</v>
      </c>
      <c r="B3" s="141"/>
      <c r="C3" s="141"/>
      <c r="D3" s="141"/>
      <c r="E3" s="141"/>
      <c r="F3" s="141"/>
      <c r="G3" s="141"/>
      <c r="H3" s="141"/>
      <c r="I3" s="10"/>
      <c r="J3" s="10"/>
      <c r="K3" s="10"/>
      <c r="L3" s="10"/>
      <c r="M3" s="10"/>
      <c r="N3" s="10"/>
      <c r="O3" s="10"/>
      <c r="P3" s="10"/>
    </row>
    <row r="5" spans="1:16" ht="45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16" ht="25.5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16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5" si="0">SUM(D7:E7)</f>
        <v>0</v>
      </c>
      <c r="G7" s="15">
        <v>0</v>
      </c>
      <c r="H7" s="124" t="e">
        <f t="shared" ref="H7:H75" si="1">G7/F7</f>
        <v>#DIV/0!</v>
      </c>
    </row>
    <row r="8" spans="1:16" ht="38.25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16" ht="25.5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16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16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16" ht="25.5">
      <c r="A12" s="13" t="s">
        <v>33</v>
      </c>
      <c r="B12" s="14" t="s">
        <v>184</v>
      </c>
      <c r="C12" s="15">
        <f>SUM(C6:C11)</f>
        <v>0</v>
      </c>
      <c r="D12" s="15">
        <f t="shared" ref="D12:E12" si="2">SUM(D6:D11)</f>
        <v>0</v>
      </c>
      <c r="E12" s="15">
        <f t="shared" si="2"/>
        <v>0</v>
      </c>
      <c r="F12" s="15">
        <f t="shared" si="0"/>
        <v>0</v>
      </c>
      <c r="G12" s="15">
        <f t="shared" ref="G12" si="3">SUM(G6:G11)</f>
        <v>0</v>
      </c>
      <c r="H12" s="124" t="e">
        <f t="shared" si="1"/>
        <v>#DIV/0!</v>
      </c>
    </row>
    <row r="13" spans="1:16" ht="25.5">
      <c r="A13" s="13" t="s">
        <v>67</v>
      </c>
      <c r="B13" s="14" t="s">
        <v>185</v>
      </c>
      <c r="C13" s="15">
        <f>SUM(C14:C19)</f>
        <v>0</v>
      </c>
      <c r="D13" s="15">
        <f t="shared" ref="D13:E13" si="4">SUM(D14:D19)</f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16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16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16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>C12+C13</f>
        <v>0</v>
      </c>
      <c r="D20" s="18">
        <f t="shared" ref="D20:G20" si="6">D12+D13</f>
        <v>0</v>
      </c>
      <c r="E20" s="18">
        <f t="shared" si="6"/>
        <v>0</v>
      </c>
      <c r="F20" s="18">
        <f t="shared" si="0"/>
        <v>0</v>
      </c>
      <c r="G20" s="18">
        <f t="shared" si="6"/>
        <v>0</v>
      </c>
      <c r="H20" s="125" t="e">
        <f t="shared" si="1"/>
        <v>#DIV/0!</v>
      </c>
    </row>
    <row r="21" spans="1:8" ht="25.5">
      <c r="A21" s="13" t="s">
        <v>87</v>
      </c>
      <c r="B21" s="14" t="s">
        <v>194</v>
      </c>
      <c r="C21" s="15">
        <v>0</v>
      </c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>SUM(C21)</f>
        <v>0</v>
      </c>
      <c r="D22" s="18">
        <f t="shared" ref="D22:E22" si="7">SUM(D21)</f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>
        <v>33913</v>
      </c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>
        <v>33913</v>
      </c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>SUM(C23)</f>
        <v>33913</v>
      </c>
      <c r="D25" s="15">
        <f t="shared" ref="D25:G25" si="9">SUM(D23)</f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>SUM(C27)</f>
        <v>6244021</v>
      </c>
      <c r="D26" s="15">
        <v>4000000</v>
      </c>
      <c r="E26" s="15">
        <f t="shared" ref="E26" si="10">SUM(E27)</f>
        <v>2494470</v>
      </c>
      <c r="F26" s="15">
        <f t="shared" si="0"/>
        <v>6494470</v>
      </c>
      <c r="G26" s="15">
        <f t="shared" ref="G26" si="11">SUM(G27)</f>
        <v>2125349</v>
      </c>
      <c r="H26" s="124">
        <f t="shared" si="1"/>
        <v>0.32725518787522306</v>
      </c>
    </row>
    <row r="27" spans="1:8">
      <c r="A27" s="13" t="s">
        <v>205</v>
      </c>
      <c r="B27" s="14" t="s">
        <v>206</v>
      </c>
      <c r="C27" s="15">
        <v>6244021</v>
      </c>
      <c r="D27" s="15">
        <v>4000000</v>
      </c>
      <c r="E27" s="15">
        <v>2494470</v>
      </c>
      <c r="F27" s="15">
        <f t="shared" si="0"/>
        <v>6494470</v>
      </c>
      <c r="G27" s="15">
        <v>2125349</v>
      </c>
      <c r="H27" s="124">
        <f t="shared" si="1"/>
        <v>0.32725518787522306</v>
      </c>
    </row>
    <row r="28" spans="1:8" ht="25.5">
      <c r="A28" s="13" t="s">
        <v>207</v>
      </c>
      <c r="B28" s="14" t="s">
        <v>208</v>
      </c>
      <c r="C28" s="15">
        <f>SUM(C29)</f>
        <v>14383846</v>
      </c>
      <c r="D28" s="15">
        <f t="shared" ref="D28:E28" si="12">SUM(D29)</f>
        <v>12000000</v>
      </c>
      <c r="E28" s="15">
        <f t="shared" si="12"/>
        <v>0</v>
      </c>
      <c r="F28" s="15">
        <f t="shared" si="0"/>
        <v>12000000</v>
      </c>
      <c r="G28" s="15">
        <f t="shared" ref="G28" si="13">SUM(G29)</f>
        <v>4899221</v>
      </c>
      <c r="H28" s="124">
        <f t="shared" si="1"/>
        <v>0.40826841666666669</v>
      </c>
    </row>
    <row r="29" spans="1:8" ht="38.25">
      <c r="A29" s="13" t="s">
        <v>119</v>
      </c>
      <c r="B29" s="14" t="s">
        <v>209</v>
      </c>
      <c r="C29" s="15">
        <v>14383846</v>
      </c>
      <c r="D29" s="15">
        <v>12000000</v>
      </c>
      <c r="E29" s="15">
        <v>0</v>
      </c>
      <c r="F29" s="15">
        <f t="shared" si="0"/>
        <v>12000000</v>
      </c>
      <c r="G29" s="15">
        <v>4899221</v>
      </c>
      <c r="H29" s="124">
        <f t="shared" si="1"/>
        <v>0.40826841666666669</v>
      </c>
    </row>
    <row r="30" spans="1:8">
      <c r="A30" s="13" t="s">
        <v>210</v>
      </c>
      <c r="B30" s="14" t="s">
        <v>211</v>
      </c>
      <c r="C30" s="15">
        <f>SUM(C31)</f>
        <v>5012523</v>
      </c>
      <c r="D30" s="15">
        <f t="shared" ref="D30:E30" si="14">SUM(D31)</f>
        <v>4500000</v>
      </c>
      <c r="E30" s="15">
        <f t="shared" si="14"/>
        <v>2730286</v>
      </c>
      <c r="F30" s="15">
        <f t="shared" si="0"/>
        <v>7230286</v>
      </c>
      <c r="G30" s="15">
        <f t="shared" ref="G30" si="15">SUM(G31)</f>
        <v>2368566</v>
      </c>
      <c r="H30" s="124">
        <f t="shared" si="1"/>
        <v>0.3275895310365316</v>
      </c>
    </row>
    <row r="31" spans="1:8" ht="25.5">
      <c r="A31" s="13" t="s">
        <v>212</v>
      </c>
      <c r="B31" s="14" t="s">
        <v>213</v>
      </c>
      <c r="C31" s="15">
        <v>5012523</v>
      </c>
      <c r="D31" s="15">
        <v>4500000</v>
      </c>
      <c r="E31" s="15">
        <v>2730286</v>
      </c>
      <c r="F31" s="15">
        <f t="shared" si="0"/>
        <v>7230286</v>
      </c>
      <c r="G31" s="15">
        <v>2368566</v>
      </c>
      <c r="H31" s="124">
        <f t="shared" si="1"/>
        <v>0.3275895310365316</v>
      </c>
    </row>
    <row r="32" spans="1:8" s="122" customFormat="1">
      <c r="A32" s="13">
        <v>148</v>
      </c>
      <c r="B32" s="19" t="s">
        <v>461</v>
      </c>
      <c r="C32" s="15"/>
      <c r="D32" s="15">
        <v>100000</v>
      </c>
      <c r="E32" s="15">
        <v>474888</v>
      </c>
      <c r="F32" s="15">
        <f t="shared" si="0"/>
        <v>574888</v>
      </c>
      <c r="G32" s="15">
        <v>217260</v>
      </c>
      <c r="H32" s="124">
        <f t="shared" si="1"/>
        <v>0.37791708993751827</v>
      </c>
    </row>
    <row r="33" spans="1:8" ht="25.5">
      <c r="A33" s="13" t="s">
        <v>214</v>
      </c>
      <c r="B33" s="14" t="s">
        <v>215</v>
      </c>
      <c r="C33" s="15">
        <f>C29+C30+C32</f>
        <v>19396369</v>
      </c>
      <c r="D33" s="15">
        <f t="shared" ref="D33:G33" si="16">D29+D30+D32</f>
        <v>16600000</v>
      </c>
      <c r="E33" s="15">
        <f t="shared" si="16"/>
        <v>3205174</v>
      </c>
      <c r="F33" s="15">
        <f t="shared" si="16"/>
        <v>19805174</v>
      </c>
      <c r="G33" s="15">
        <f t="shared" si="16"/>
        <v>7485047</v>
      </c>
      <c r="H33" s="124">
        <f t="shared" si="1"/>
        <v>0.3779339176722204</v>
      </c>
    </row>
    <row r="34" spans="1:8" ht="25.5">
      <c r="A34" s="13" t="s">
        <v>216</v>
      </c>
      <c r="B34" s="14" t="s">
        <v>217</v>
      </c>
      <c r="C34" s="15">
        <v>1033663</v>
      </c>
      <c r="D34" s="15">
        <f t="shared" ref="D34:E34" si="17">SUM(D35:D36)</f>
        <v>205000</v>
      </c>
      <c r="E34" s="15">
        <f t="shared" si="17"/>
        <v>714611</v>
      </c>
      <c r="F34" s="15">
        <f t="shared" si="0"/>
        <v>919611</v>
      </c>
      <c r="G34" s="15">
        <f t="shared" ref="G34" si="18">SUM(G35:G36)</f>
        <v>93474</v>
      </c>
      <c r="H34" s="124">
        <f t="shared" si="1"/>
        <v>0.10164515213497881</v>
      </c>
    </row>
    <row r="35" spans="1:8">
      <c r="A35" s="13" t="s">
        <v>131</v>
      </c>
      <c r="B35" s="14" t="s">
        <v>218</v>
      </c>
      <c r="C35" s="15">
        <v>260591</v>
      </c>
      <c r="D35" s="15">
        <v>205000</v>
      </c>
      <c r="E35" s="15"/>
      <c r="F35" s="15">
        <f t="shared" si="0"/>
        <v>205000</v>
      </c>
      <c r="G35" s="15">
        <v>55000</v>
      </c>
      <c r="H35" s="124">
        <f t="shared" si="1"/>
        <v>0.26829268292682928</v>
      </c>
    </row>
    <row r="36" spans="1:8">
      <c r="A36" s="13" t="s">
        <v>219</v>
      </c>
      <c r="B36" s="14" t="s">
        <v>220</v>
      </c>
      <c r="C36" s="15">
        <v>6000</v>
      </c>
      <c r="D36" s="15">
        <v>0</v>
      </c>
      <c r="E36" s="15">
        <v>714611</v>
      </c>
      <c r="F36" s="15">
        <f t="shared" si="0"/>
        <v>714611</v>
      </c>
      <c r="G36" s="15">
        <v>38474</v>
      </c>
      <c r="H36" s="124">
        <f t="shared" si="1"/>
        <v>5.3839081682201924E-2</v>
      </c>
    </row>
    <row r="37" spans="1:8" ht="25.5">
      <c r="A37" s="16" t="s">
        <v>221</v>
      </c>
      <c r="B37" s="17" t="s">
        <v>222</v>
      </c>
      <c r="C37" s="18">
        <f>C25+C26+C33+C34</f>
        <v>26707966</v>
      </c>
      <c r="D37" s="18">
        <f t="shared" ref="D37:G37" si="19">D25+D26+D33+D34</f>
        <v>20805000</v>
      </c>
      <c r="E37" s="18">
        <f t="shared" si="19"/>
        <v>6414255</v>
      </c>
      <c r="F37" s="18">
        <f t="shared" si="0"/>
        <v>27219255</v>
      </c>
      <c r="G37" s="18">
        <f t="shared" si="19"/>
        <v>9703870</v>
      </c>
      <c r="H37" s="125">
        <f t="shared" si="1"/>
        <v>0.35650755320084992</v>
      </c>
    </row>
    <row r="38" spans="1:8">
      <c r="A38" s="13" t="s">
        <v>223</v>
      </c>
      <c r="B38" s="14" t="s">
        <v>224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>
      <c r="A39" s="13" t="s">
        <v>135</v>
      </c>
      <c r="B39" s="14" t="s">
        <v>225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 ht="25.5">
      <c r="A40" s="13" t="s">
        <v>226</v>
      </c>
      <c r="B40" s="14" t="s">
        <v>227</v>
      </c>
      <c r="C40" s="15"/>
      <c r="D40" s="15"/>
      <c r="E40" s="15"/>
      <c r="F40" s="15">
        <f t="shared" si="0"/>
        <v>0</v>
      </c>
      <c r="G40" s="15"/>
      <c r="H40" s="124" t="e">
        <f t="shared" si="1"/>
        <v>#DIV/0!</v>
      </c>
    </row>
    <row r="41" spans="1:8">
      <c r="A41" s="13" t="s">
        <v>228</v>
      </c>
      <c r="B41" s="14" t="s">
        <v>229</v>
      </c>
      <c r="C41" s="15">
        <v>0</v>
      </c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145</v>
      </c>
      <c r="B42" s="14" t="s">
        <v>230</v>
      </c>
      <c r="C42" s="15">
        <v>0</v>
      </c>
      <c r="D42" s="15">
        <v>0</v>
      </c>
      <c r="E42" s="15">
        <v>0</v>
      </c>
      <c r="F42" s="15">
        <f t="shared" si="0"/>
        <v>0</v>
      </c>
      <c r="G42" s="15">
        <v>0</v>
      </c>
      <c r="H42" s="124" t="e">
        <f t="shared" si="1"/>
        <v>#DIV/0!</v>
      </c>
    </row>
    <row r="43" spans="1:8">
      <c r="A43" s="13" t="s">
        <v>147</v>
      </c>
      <c r="B43" s="14" t="s">
        <v>231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155</v>
      </c>
      <c r="B44" s="14" t="s">
        <v>232</v>
      </c>
      <c r="C44" s="15"/>
      <c r="D44" s="15"/>
      <c r="E44" s="15"/>
      <c r="F44" s="15">
        <f t="shared" si="0"/>
        <v>0</v>
      </c>
      <c r="G44" s="15"/>
      <c r="H44" s="124" t="e">
        <f t="shared" si="1"/>
        <v>#DIV/0!</v>
      </c>
    </row>
    <row r="45" spans="1:8" ht="25.5">
      <c r="A45" s="13" t="s">
        <v>233</v>
      </c>
      <c r="B45" s="14" t="s">
        <v>234</v>
      </c>
      <c r="C45" s="15">
        <f>SUM(C44)</f>
        <v>0</v>
      </c>
      <c r="D45" s="15">
        <f t="shared" ref="D45:E45" si="20">SUM(D44)</f>
        <v>0</v>
      </c>
      <c r="E45" s="15">
        <f t="shared" si="20"/>
        <v>0</v>
      </c>
      <c r="F45" s="15">
        <f t="shared" si="0"/>
        <v>0</v>
      </c>
      <c r="G45" s="15">
        <f t="shared" ref="G45" si="21">SUM(G44)</f>
        <v>0</v>
      </c>
      <c r="H45" s="124" t="e">
        <f t="shared" si="1"/>
        <v>#DIV/0!</v>
      </c>
    </row>
    <row r="46" spans="1:8">
      <c r="A46" s="13" t="s">
        <v>235</v>
      </c>
      <c r="B46" s="14" t="s">
        <v>236</v>
      </c>
      <c r="C46" s="15"/>
      <c r="D46" s="15"/>
      <c r="E46" s="15"/>
      <c r="F46" s="15">
        <f t="shared" si="0"/>
        <v>0</v>
      </c>
      <c r="G46" s="15"/>
      <c r="H46" s="124" t="e">
        <f t="shared" si="1"/>
        <v>#DIV/0!</v>
      </c>
    </row>
    <row r="47" spans="1:8" ht="38.25">
      <c r="A47" s="16" t="s">
        <v>237</v>
      </c>
      <c r="B47" s="17" t="s">
        <v>238</v>
      </c>
      <c r="C47" s="18">
        <f>C38+C39+C40+C41+C42+C43+C45+C46</f>
        <v>0</v>
      </c>
      <c r="D47" s="18">
        <f t="shared" ref="D47:E47" si="22">D38+D39+D40+D41+D42+D43+D45+D46</f>
        <v>0</v>
      </c>
      <c r="E47" s="18">
        <f t="shared" si="22"/>
        <v>0</v>
      </c>
      <c r="F47" s="18">
        <f t="shared" si="0"/>
        <v>0</v>
      </c>
      <c r="G47" s="18">
        <f t="shared" ref="G47" si="23">G38+G39+G40+G41+G42+G43+G45+G46</f>
        <v>0</v>
      </c>
      <c r="H47" s="125" t="e">
        <f t="shared" si="1"/>
        <v>#DIV/0!</v>
      </c>
    </row>
    <row r="48" spans="1:8">
      <c r="A48" s="13" t="s">
        <v>239</v>
      </c>
      <c r="B48" s="14" t="s">
        <v>240</v>
      </c>
      <c r="C48" s="15">
        <v>0</v>
      </c>
      <c r="D48" s="15">
        <v>0</v>
      </c>
      <c r="E48" s="15">
        <v>0</v>
      </c>
      <c r="F48" s="15">
        <f t="shared" si="0"/>
        <v>0</v>
      </c>
      <c r="G48" s="15">
        <v>0</v>
      </c>
      <c r="H48" s="124" t="e">
        <f t="shared" si="1"/>
        <v>#DIV/0!</v>
      </c>
    </row>
    <row r="49" spans="1:8" ht="25.5">
      <c r="A49" s="16" t="s">
        <v>241</v>
      </c>
      <c r="B49" s="17" t="s">
        <v>242</v>
      </c>
      <c r="C49" s="18">
        <f>SUM(C48)</f>
        <v>0</v>
      </c>
      <c r="D49" s="18">
        <f t="shared" ref="D49:E49" si="24">SUM(D48)</f>
        <v>0</v>
      </c>
      <c r="E49" s="18">
        <f t="shared" si="24"/>
        <v>0</v>
      </c>
      <c r="F49" s="18">
        <f t="shared" si="0"/>
        <v>0</v>
      </c>
      <c r="G49" s="18">
        <f t="shared" ref="G49" si="25">SUM(G48)</f>
        <v>0</v>
      </c>
      <c r="H49" s="125" t="e">
        <f t="shared" si="1"/>
        <v>#DIV/0!</v>
      </c>
    </row>
    <row r="50" spans="1:8" s="122" customFormat="1" ht="25.5">
      <c r="A50" s="16">
        <v>231</v>
      </c>
      <c r="B50" s="17" t="s">
        <v>460</v>
      </c>
      <c r="C50" s="18">
        <f>SUM(C51)</f>
        <v>0</v>
      </c>
      <c r="D50" s="18">
        <f t="shared" ref="D50:G50" si="26">SUM(D51)</f>
        <v>0</v>
      </c>
      <c r="E50" s="18">
        <f t="shared" si="26"/>
        <v>0</v>
      </c>
      <c r="F50" s="18">
        <f t="shared" si="26"/>
        <v>0</v>
      </c>
      <c r="G50" s="18">
        <f t="shared" si="26"/>
        <v>0</v>
      </c>
      <c r="H50" s="125" t="e">
        <f t="shared" si="1"/>
        <v>#DIV/0!</v>
      </c>
    </row>
    <row r="51" spans="1:8" s="130" customFormat="1" ht="38.25">
      <c r="A51" s="20">
        <v>232</v>
      </c>
      <c r="B51" s="19" t="s">
        <v>459</v>
      </c>
      <c r="C51" s="129"/>
      <c r="D51" s="129"/>
      <c r="E51" s="129"/>
      <c r="F51" s="129">
        <f>SUM(D51:E51)</f>
        <v>0</v>
      </c>
      <c r="G51" s="129"/>
      <c r="H51" s="125" t="e">
        <f t="shared" si="1"/>
        <v>#DIV/0!</v>
      </c>
    </row>
    <row r="52" spans="1:8" ht="25.5">
      <c r="A52" s="13" t="s">
        <v>243</v>
      </c>
      <c r="B52" s="14" t="s">
        <v>244</v>
      </c>
      <c r="C52" s="15">
        <f>SUM(C53:C55)</f>
        <v>0</v>
      </c>
      <c r="D52" s="15">
        <f t="shared" ref="D52:E52" si="27">SUM(D53:D55)</f>
        <v>0</v>
      </c>
      <c r="E52" s="15">
        <f t="shared" si="27"/>
        <v>0</v>
      </c>
      <c r="F52" s="15">
        <f t="shared" si="0"/>
        <v>0</v>
      </c>
      <c r="G52" s="15">
        <f t="shared" ref="G52" si="28">SUM(G53:G55)</f>
        <v>0</v>
      </c>
      <c r="H52" s="124" t="e">
        <f t="shared" si="1"/>
        <v>#DIV/0!</v>
      </c>
    </row>
    <row r="53" spans="1:8">
      <c r="A53" s="13" t="s">
        <v>245</v>
      </c>
      <c r="B53" s="14" t="s">
        <v>246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247</v>
      </c>
      <c r="B54" s="14" t="s">
        <v>248</v>
      </c>
      <c r="C54" s="15"/>
      <c r="D54" s="15"/>
      <c r="E54" s="15"/>
      <c r="F54" s="15">
        <f t="shared" si="0"/>
        <v>0</v>
      </c>
      <c r="G54" s="15"/>
      <c r="H54" s="124" t="e">
        <f t="shared" si="1"/>
        <v>#DIV/0!</v>
      </c>
    </row>
    <row r="55" spans="1:8">
      <c r="A55" s="13" t="s">
        <v>249</v>
      </c>
      <c r="B55" s="14" t="s">
        <v>250</v>
      </c>
      <c r="C55" s="15">
        <v>0</v>
      </c>
      <c r="D55" s="15">
        <v>0</v>
      </c>
      <c r="E55" s="15">
        <v>0</v>
      </c>
      <c r="F55" s="15">
        <f t="shared" si="0"/>
        <v>0</v>
      </c>
      <c r="G55" s="15">
        <v>0</v>
      </c>
      <c r="H55" s="124" t="e">
        <f t="shared" si="1"/>
        <v>#DIV/0!</v>
      </c>
    </row>
    <row r="56" spans="1:8" ht="25.5">
      <c r="A56" s="16" t="s">
        <v>251</v>
      </c>
      <c r="B56" s="17" t="s">
        <v>252</v>
      </c>
      <c r="C56" s="18">
        <f>C52+C50</f>
        <v>0</v>
      </c>
      <c r="D56" s="18">
        <f t="shared" ref="D56:G56" si="29">D52+D50</f>
        <v>0</v>
      </c>
      <c r="E56" s="18">
        <f t="shared" si="29"/>
        <v>0</v>
      </c>
      <c r="F56" s="18">
        <f t="shared" si="29"/>
        <v>0</v>
      </c>
      <c r="G56" s="18">
        <f t="shared" si="29"/>
        <v>0</v>
      </c>
      <c r="H56" s="125" t="e">
        <f t="shared" si="1"/>
        <v>#DIV/0!</v>
      </c>
    </row>
    <row r="57" spans="1:8" ht="25.5">
      <c r="A57" s="16" t="s">
        <v>253</v>
      </c>
      <c r="B57" s="17" t="s">
        <v>254</v>
      </c>
      <c r="C57" s="18">
        <f>C56+C47+C49+C37+C20+C22</f>
        <v>26707966</v>
      </c>
      <c r="D57" s="18">
        <f t="shared" ref="D57:E57" si="30">D56+D47+D49+D37+D20+D22</f>
        <v>20805000</v>
      </c>
      <c r="E57" s="18">
        <f t="shared" si="30"/>
        <v>6414255</v>
      </c>
      <c r="F57" s="18">
        <f t="shared" si="0"/>
        <v>27219255</v>
      </c>
      <c r="G57" s="18">
        <f t="shared" ref="G57" si="31">G56+G47+G49+G37+G20+G22</f>
        <v>9703870</v>
      </c>
      <c r="H57" s="125">
        <f t="shared" si="1"/>
        <v>0.35650755320084992</v>
      </c>
    </row>
    <row r="58" spans="1:8" ht="25.5">
      <c r="A58" s="13" t="s">
        <v>255</v>
      </c>
      <c r="B58" s="14" t="s">
        <v>256</v>
      </c>
      <c r="C58" s="15">
        <v>0</v>
      </c>
      <c r="D58" s="15">
        <v>0</v>
      </c>
      <c r="E58" s="15">
        <v>0</v>
      </c>
      <c r="F58" s="15">
        <f t="shared" si="0"/>
        <v>0</v>
      </c>
      <c r="G58" s="15">
        <v>0</v>
      </c>
      <c r="H58" s="124" t="e">
        <f t="shared" si="1"/>
        <v>#DIV/0!</v>
      </c>
    </row>
    <row r="59" spans="1:8">
      <c r="A59" s="13" t="s">
        <v>163</v>
      </c>
      <c r="B59" s="14" t="s">
        <v>257</v>
      </c>
      <c r="C59" s="15">
        <f>SUM(C58)</f>
        <v>0</v>
      </c>
      <c r="D59" s="15">
        <f t="shared" ref="D59:E59" si="32">SUM(D58)</f>
        <v>0</v>
      </c>
      <c r="E59" s="15">
        <f t="shared" si="32"/>
        <v>0</v>
      </c>
      <c r="F59" s="15">
        <f t="shared" si="0"/>
        <v>0</v>
      </c>
      <c r="G59" s="15">
        <f t="shared" ref="G59" si="33">SUM(G58)</f>
        <v>0</v>
      </c>
      <c r="H59" s="124" t="e">
        <f t="shared" si="1"/>
        <v>#DIV/0!</v>
      </c>
    </row>
    <row r="60" spans="1:8">
      <c r="A60" s="13" t="s">
        <v>258</v>
      </c>
      <c r="B60" s="14" t="s">
        <v>259</v>
      </c>
      <c r="C60" s="15">
        <v>0</v>
      </c>
      <c r="D60" s="15">
        <v>0</v>
      </c>
      <c r="E60" s="15">
        <v>0</v>
      </c>
      <c r="F60" s="15">
        <f t="shared" si="0"/>
        <v>0</v>
      </c>
      <c r="G60" s="15">
        <v>0</v>
      </c>
      <c r="H60" s="124" t="e">
        <f t="shared" si="1"/>
        <v>#DIV/0!</v>
      </c>
    </row>
    <row r="61" spans="1:8">
      <c r="A61" s="13">
        <v>300</v>
      </c>
      <c r="B61" s="19" t="s">
        <v>412</v>
      </c>
      <c r="C61" s="15"/>
      <c r="D61" s="15"/>
      <c r="E61" s="15"/>
      <c r="F61" s="15"/>
      <c r="G61" s="15"/>
      <c r="H61" s="124"/>
    </row>
    <row r="62" spans="1:8" ht="25.5">
      <c r="A62" s="13" t="s">
        <v>260</v>
      </c>
      <c r="B62" s="14" t="s">
        <v>261</v>
      </c>
      <c r="C62" s="15">
        <f>SUM(C59:C61)</f>
        <v>0</v>
      </c>
      <c r="D62" s="15">
        <f t="shared" ref="D62:E62" si="34">SUM(D59:D61)</f>
        <v>0</v>
      </c>
      <c r="E62" s="15">
        <f t="shared" si="34"/>
        <v>0</v>
      </c>
      <c r="F62" s="15">
        <f t="shared" si="0"/>
        <v>0</v>
      </c>
      <c r="G62" s="15">
        <f>SUM(G59:G61)</f>
        <v>0</v>
      </c>
      <c r="H62" s="124" t="e">
        <f t="shared" si="1"/>
        <v>#DIV/0!</v>
      </c>
    </row>
    <row r="63" spans="1:8" ht="25.5">
      <c r="A63" s="16" t="s">
        <v>262</v>
      </c>
      <c r="B63" s="17" t="s">
        <v>263</v>
      </c>
      <c r="C63" s="18">
        <f>SUM(C62)</f>
        <v>0</v>
      </c>
      <c r="D63" s="18">
        <f t="shared" ref="D63:E63" si="35">SUM(D62)</f>
        <v>0</v>
      </c>
      <c r="E63" s="18">
        <f t="shared" si="35"/>
        <v>0</v>
      </c>
      <c r="F63" s="18">
        <f t="shared" si="0"/>
        <v>0</v>
      </c>
      <c r="G63" s="18">
        <f t="shared" ref="G63" si="36">SUM(G62)</f>
        <v>0</v>
      </c>
      <c r="H63" s="125" t="e">
        <f t="shared" si="1"/>
        <v>#DIV/0!</v>
      </c>
    </row>
    <row r="64" spans="1:8">
      <c r="A64" s="16" t="s">
        <v>264</v>
      </c>
      <c r="B64" s="17" t="s">
        <v>265</v>
      </c>
      <c r="C64" s="18">
        <f>C57+C63</f>
        <v>26707966</v>
      </c>
      <c r="D64" s="18">
        <f t="shared" ref="D64:E64" si="37">D57+D63</f>
        <v>20805000</v>
      </c>
      <c r="E64" s="18">
        <f t="shared" si="37"/>
        <v>6414255</v>
      </c>
      <c r="F64" s="18">
        <f t="shared" si="0"/>
        <v>27219255</v>
      </c>
      <c r="G64" s="18">
        <f t="shared" ref="G64" si="38">G57+G63</f>
        <v>9703870</v>
      </c>
      <c r="H64" s="125">
        <f t="shared" si="1"/>
        <v>0.35650755320084992</v>
      </c>
    </row>
    <row r="66" spans="1:8" ht="45">
      <c r="A66" s="12" t="s">
        <v>0</v>
      </c>
      <c r="B66" s="12" t="s">
        <v>1</v>
      </c>
      <c r="C66" s="12" t="s">
        <v>269</v>
      </c>
      <c r="D66" s="12" t="s">
        <v>270</v>
      </c>
      <c r="E66" s="12" t="s">
        <v>271</v>
      </c>
      <c r="F66" s="12" t="s">
        <v>457</v>
      </c>
      <c r="G66" s="12" t="s">
        <v>273</v>
      </c>
      <c r="H66" s="123" t="s">
        <v>274</v>
      </c>
    </row>
    <row r="67" spans="1:8" ht="25.5">
      <c r="A67" s="13" t="s">
        <v>31</v>
      </c>
      <c r="B67" s="14" t="s">
        <v>32</v>
      </c>
      <c r="C67" s="15"/>
      <c r="D67" s="15"/>
      <c r="E67" s="15"/>
      <c r="F67" s="15">
        <f t="shared" si="0"/>
        <v>0</v>
      </c>
      <c r="G67" s="15"/>
      <c r="H67" s="124" t="e">
        <f t="shared" si="1"/>
        <v>#DIV/0!</v>
      </c>
    </row>
    <row r="68" spans="1:8" ht="25.5">
      <c r="A68" s="21" t="s">
        <v>178</v>
      </c>
      <c r="B68" s="14" t="s">
        <v>282</v>
      </c>
      <c r="C68" s="15"/>
      <c r="D68" s="15"/>
      <c r="E68" s="15"/>
      <c r="F68" s="15"/>
      <c r="G68" s="15"/>
      <c r="H68" s="124"/>
    </row>
    <row r="69" spans="1:8">
      <c r="A69" s="13" t="s">
        <v>33</v>
      </c>
      <c r="B69" s="14" t="s">
        <v>34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35</v>
      </c>
      <c r="B70" s="14" t="s">
        <v>36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>
      <c r="A71" s="13" t="s">
        <v>37</v>
      </c>
      <c r="B71" s="14" t="s">
        <v>38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5.5">
      <c r="A72" s="13" t="s">
        <v>39</v>
      </c>
      <c r="B72" s="14" t="s">
        <v>40</v>
      </c>
      <c r="C72" s="15"/>
      <c r="D72" s="15"/>
      <c r="E72" s="15"/>
      <c r="F72" s="15">
        <f t="shared" si="0"/>
        <v>0</v>
      </c>
      <c r="G72" s="15"/>
      <c r="H72" s="124" t="e">
        <f t="shared" si="1"/>
        <v>#DIV/0!</v>
      </c>
    </row>
    <row r="73" spans="1:8" ht="25.5">
      <c r="A73" s="13" t="s">
        <v>41</v>
      </c>
      <c r="B73" s="14" t="s">
        <v>42</v>
      </c>
      <c r="C73" s="15">
        <f>SUM(C67:C72)</f>
        <v>0</v>
      </c>
      <c r="D73" s="15">
        <f t="shared" ref="D73:E73" si="39">SUM(D67:D72)</f>
        <v>0</v>
      </c>
      <c r="E73" s="15">
        <f t="shared" si="39"/>
        <v>0</v>
      </c>
      <c r="F73" s="15">
        <f t="shared" si="0"/>
        <v>0</v>
      </c>
      <c r="G73" s="15">
        <f t="shared" ref="G73" si="40">SUM(G67:G72)</f>
        <v>0</v>
      </c>
      <c r="H73" s="124" t="e">
        <f t="shared" si="1"/>
        <v>#DIV/0!</v>
      </c>
    </row>
    <row r="74" spans="1:8">
      <c r="A74" s="13" t="s">
        <v>43</v>
      </c>
      <c r="B74" s="14" t="s">
        <v>44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 ht="38.25">
      <c r="A75" s="13" t="s">
        <v>45</v>
      </c>
      <c r="B75" s="14" t="s">
        <v>46</v>
      </c>
      <c r="C75" s="15"/>
      <c r="D75" s="15"/>
      <c r="E75" s="15"/>
      <c r="F75" s="15">
        <f t="shared" si="0"/>
        <v>0</v>
      </c>
      <c r="G75" s="15"/>
      <c r="H75" s="124" t="e">
        <f t="shared" si="1"/>
        <v>#DIV/0!</v>
      </c>
    </row>
    <row r="76" spans="1:8">
      <c r="A76" s="13" t="s">
        <v>47</v>
      </c>
      <c r="B76" s="14" t="s">
        <v>48</v>
      </c>
      <c r="C76" s="15"/>
      <c r="D76" s="15"/>
      <c r="E76" s="15"/>
      <c r="F76" s="15">
        <f t="shared" ref="F76:F141" si="41">SUM(D76:E76)</f>
        <v>0</v>
      </c>
      <c r="G76" s="15"/>
      <c r="H76" s="124" t="e">
        <f t="shared" ref="H76:H141" si="42">G76/F76</f>
        <v>#DIV/0!</v>
      </c>
    </row>
    <row r="77" spans="1:8">
      <c r="A77" s="13" t="s">
        <v>49</v>
      </c>
      <c r="B77" s="14" t="s">
        <v>50</v>
      </c>
      <c r="C77" s="15">
        <f>SUM(C74:C76)</f>
        <v>0</v>
      </c>
      <c r="D77" s="15">
        <f t="shared" ref="D77:E77" si="43">SUM(D74:D76)</f>
        <v>0</v>
      </c>
      <c r="E77" s="15">
        <f t="shared" si="43"/>
        <v>0</v>
      </c>
      <c r="F77" s="15">
        <f t="shared" si="41"/>
        <v>0</v>
      </c>
      <c r="G77" s="15">
        <f t="shared" ref="G77" si="44">SUM(G74:G76)</f>
        <v>0</v>
      </c>
      <c r="H77" s="124" t="e">
        <f t="shared" si="42"/>
        <v>#DIV/0!</v>
      </c>
    </row>
    <row r="78" spans="1:8">
      <c r="A78" s="16" t="s">
        <v>51</v>
      </c>
      <c r="B78" s="17" t="s">
        <v>52</v>
      </c>
      <c r="C78" s="18">
        <f>C73+C77</f>
        <v>0</v>
      </c>
      <c r="D78" s="18">
        <f t="shared" ref="D78:E78" si="45">D73+D77</f>
        <v>0</v>
      </c>
      <c r="E78" s="18">
        <f t="shared" si="45"/>
        <v>0</v>
      </c>
      <c r="F78" s="18">
        <f t="shared" si="41"/>
        <v>0</v>
      </c>
      <c r="G78" s="18">
        <f t="shared" ref="G78" si="46">G73+G77</f>
        <v>0</v>
      </c>
      <c r="H78" s="125" t="e">
        <f t="shared" si="42"/>
        <v>#DIV/0!</v>
      </c>
    </row>
    <row r="79" spans="1:8" ht="25.5">
      <c r="A79" s="16" t="s">
        <v>53</v>
      </c>
      <c r="B79" s="17" t="s">
        <v>54</v>
      </c>
      <c r="C79" s="18">
        <f>SUM(C80:C83)</f>
        <v>0</v>
      </c>
      <c r="D79" s="18">
        <f t="shared" ref="D79:E79" si="47">SUM(D80:D83)</f>
        <v>0</v>
      </c>
      <c r="E79" s="18">
        <f t="shared" si="47"/>
        <v>0</v>
      </c>
      <c r="F79" s="18">
        <f t="shared" si="41"/>
        <v>0</v>
      </c>
      <c r="G79" s="18">
        <f t="shared" ref="G79" si="48">SUM(G80:G83)</f>
        <v>0</v>
      </c>
      <c r="H79" s="125" t="e">
        <f t="shared" si="42"/>
        <v>#DIV/0!</v>
      </c>
    </row>
    <row r="80" spans="1:8">
      <c r="A80" s="13" t="s">
        <v>55</v>
      </c>
      <c r="B80" s="14" t="s">
        <v>56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57</v>
      </c>
      <c r="B81" s="14" t="s">
        <v>58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>
      <c r="A82" s="13" t="s">
        <v>59</v>
      </c>
      <c r="B82" s="14" t="s">
        <v>60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 ht="25.5">
      <c r="A83" s="13" t="s">
        <v>61</v>
      </c>
      <c r="B83" s="14" t="s">
        <v>62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63</v>
      </c>
      <c r="B84" s="14" t="s">
        <v>64</v>
      </c>
      <c r="C84" s="15"/>
      <c r="D84" s="15"/>
      <c r="E84" s="15"/>
      <c r="F84" s="15">
        <f t="shared" si="41"/>
        <v>0</v>
      </c>
      <c r="G84" s="15"/>
      <c r="H84" s="124" t="e">
        <f t="shared" si="42"/>
        <v>#DIV/0!</v>
      </c>
    </row>
    <row r="85" spans="1:8">
      <c r="A85" s="13" t="s">
        <v>65</v>
      </c>
      <c r="B85" s="14" t="s">
        <v>66</v>
      </c>
      <c r="C85" s="15"/>
      <c r="D85" s="15"/>
      <c r="E85" s="15"/>
      <c r="F85" s="15">
        <f t="shared" si="41"/>
        <v>0</v>
      </c>
      <c r="G85" s="15"/>
      <c r="H85" s="124" t="e">
        <f t="shared" si="42"/>
        <v>#DIV/0!</v>
      </c>
    </row>
    <row r="86" spans="1:8">
      <c r="A86" s="13" t="s">
        <v>67</v>
      </c>
      <c r="B86" s="14" t="s">
        <v>68</v>
      </c>
      <c r="C86" s="15">
        <f>SUM(C84:C85)</f>
        <v>0</v>
      </c>
      <c r="D86" s="15">
        <f t="shared" ref="D86:E86" si="49">SUM(D84:D85)</f>
        <v>0</v>
      </c>
      <c r="E86" s="15">
        <f t="shared" si="49"/>
        <v>0</v>
      </c>
      <c r="F86" s="15">
        <f t="shared" si="41"/>
        <v>0</v>
      </c>
      <c r="G86" s="15">
        <f t="shared" ref="G86" si="50">SUM(G84:G85)</f>
        <v>0</v>
      </c>
      <c r="H86" s="124" t="e">
        <f t="shared" si="42"/>
        <v>#DIV/0!</v>
      </c>
    </row>
    <row r="87" spans="1:8">
      <c r="A87" s="13" t="s">
        <v>69</v>
      </c>
      <c r="B87" s="14" t="s">
        <v>70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71</v>
      </c>
      <c r="B88" s="14" t="s">
        <v>72</v>
      </c>
      <c r="C88" s="15"/>
      <c r="D88" s="15"/>
      <c r="E88" s="15"/>
      <c r="F88" s="15">
        <f t="shared" si="41"/>
        <v>0</v>
      </c>
      <c r="G88" s="15"/>
      <c r="H88" s="124" t="e">
        <f t="shared" si="42"/>
        <v>#DIV/0!</v>
      </c>
    </row>
    <row r="89" spans="1:8">
      <c r="A89" s="13" t="s">
        <v>73</v>
      </c>
      <c r="B89" s="14" t="s">
        <v>74</v>
      </c>
      <c r="C89" s="15">
        <f>SUM(C87:C88)</f>
        <v>0</v>
      </c>
      <c r="D89" s="15">
        <f t="shared" ref="D89:E89" si="51">SUM(D87:D88)</f>
        <v>0</v>
      </c>
      <c r="E89" s="15">
        <f t="shared" si="51"/>
        <v>0</v>
      </c>
      <c r="F89" s="15">
        <f t="shared" si="41"/>
        <v>0</v>
      </c>
      <c r="G89" s="15">
        <f t="shared" ref="G89" si="52">SUM(G87:G88)</f>
        <v>0</v>
      </c>
      <c r="H89" s="124" t="e">
        <f t="shared" si="42"/>
        <v>#DIV/0!</v>
      </c>
    </row>
    <row r="90" spans="1:8">
      <c r="A90" s="13" t="s">
        <v>75</v>
      </c>
      <c r="B90" s="14" t="s">
        <v>76</v>
      </c>
      <c r="C90" s="15"/>
      <c r="D90" s="15"/>
      <c r="E90" s="15"/>
      <c r="F90" s="15">
        <f t="shared" si="41"/>
        <v>0</v>
      </c>
      <c r="G90" s="15"/>
      <c r="H90" s="124" t="e">
        <f t="shared" si="42"/>
        <v>#DIV/0!</v>
      </c>
    </row>
    <row r="91" spans="1:8">
      <c r="A91" s="13" t="s">
        <v>77</v>
      </c>
      <c r="B91" s="14" t="s">
        <v>78</v>
      </c>
      <c r="C91" s="15">
        <v>0</v>
      </c>
      <c r="D91" s="15">
        <v>0</v>
      </c>
      <c r="E91" s="15">
        <v>0</v>
      </c>
      <c r="F91" s="15">
        <f t="shared" si="41"/>
        <v>0</v>
      </c>
      <c r="G91" s="15">
        <v>0</v>
      </c>
      <c r="H91" s="124" t="e">
        <f t="shared" si="42"/>
        <v>#DIV/0!</v>
      </c>
    </row>
    <row r="92" spans="1:8">
      <c r="A92" s="20" t="s">
        <v>276</v>
      </c>
      <c r="B92" s="19" t="s">
        <v>277</v>
      </c>
      <c r="C92" s="15"/>
      <c r="D92" s="15"/>
      <c r="E92" s="15"/>
      <c r="F92" s="15"/>
      <c r="G92" s="15"/>
      <c r="H92" s="124"/>
    </row>
    <row r="93" spans="1:8">
      <c r="A93" s="13" t="s">
        <v>79</v>
      </c>
      <c r="B93" s="14" t="s">
        <v>80</v>
      </c>
      <c r="C93" s="15">
        <v>0</v>
      </c>
      <c r="D93" s="15">
        <v>0</v>
      </c>
      <c r="E93" s="15">
        <v>0</v>
      </c>
      <c r="F93" s="15">
        <f t="shared" si="41"/>
        <v>0</v>
      </c>
      <c r="G93" s="15">
        <v>0</v>
      </c>
      <c r="H93" s="124" t="e">
        <f t="shared" si="42"/>
        <v>#DIV/0!</v>
      </c>
    </row>
    <row r="94" spans="1:8">
      <c r="A94" s="13" t="s">
        <v>81</v>
      </c>
      <c r="B94" s="14" t="s">
        <v>82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>
      <c r="A95" s="13" t="s">
        <v>83</v>
      </c>
      <c r="B95" s="14" t="s">
        <v>84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 ht="25.5">
      <c r="A96" s="13" t="s">
        <v>85</v>
      </c>
      <c r="B96" s="14" t="s">
        <v>86</v>
      </c>
      <c r="C96" s="15">
        <v>0</v>
      </c>
      <c r="D96" s="15"/>
      <c r="E96" s="15"/>
      <c r="F96" s="15">
        <f t="shared" si="41"/>
        <v>0</v>
      </c>
      <c r="G96" s="15"/>
      <c r="H96" s="124" t="e">
        <f t="shared" si="42"/>
        <v>#DIV/0!</v>
      </c>
    </row>
    <row r="97" spans="1:8">
      <c r="A97" s="13" t="s">
        <v>87</v>
      </c>
      <c r="B97" s="14" t="s">
        <v>88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>
      <c r="A98" s="13" t="s">
        <v>89</v>
      </c>
      <c r="B98" s="14" t="s">
        <v>90</v>
      </c>
      <c r="C98" s="15"/>
      <c r="D98" s="15"/>
      <c r="E98" s="15"/>
      <c r="F98" s="15">
        <f t="shared" si="41"/>
        <v>0</v>
      </c>
      <c r="G98" s="15"/>
      <c r="H98" s="124" t="e">
        <f t="shared" si="42"/>
        <v>#DIV/0!</v>
      </c>
    </row>
    <row r="99" spans="1:8" ht="25.5">
      <c r="A99" s="13" t="s">
        <v>91</v>
      </c>
      <c r="B99" s="14" t="s">
        <v>92</v>
      </c>
      <c r="C99" s="15">
        <f>C90+C91+C93+C94+C96+C97+C92</f>
        <v>0</v>
      </c>
      <c r="D99" s="15">
        <f t="shared" ref="D99:G99" si="53">D90+D91+D93+D94+D96+D97+D92</f>
        <v>0</v>
      </c>
      <c r="E99" s="15">
        <f t="shared" si="53"/>
        <v>0</v>
      </c>
      <c r="F99" s="15">
        <f t="shared" si="53"/>
        <v>0</v>
      </c>
      <c r="G99" s="15">
        <f t="shared" si="53"/>
        <v>0</v>
      </c>
      <c r="H99" s="124" t="e">
        <f t="shared" si="42"/>
        <v>#DIV/0!</v>
      </c>
    </row>
    <row r="100" spans="1:8">
      <c r="A100" s="13" t="s">
        <v>280</v>
      </c>
      <c r="B100" s="14" t="s">
        <v>281</v>
      </c>
      <c r="C100" s="15"/>
      <c r="D100" s="15"/>
      <c r="E100" s="15"/>
      <c r="F100" s="15"/>
      <c r="G100" s="15"/>
      <c r="H100" s="124"/>
    </row>
    <row r="101" spans="1:8">
      <c r="A101" s="13" t="s">
        <v>93</v>
      </c>
      <c r="B101" s="14" t="s">
        <v>94</v>
      </c>
      <c r="C101" s="15"/>
      <c r="D101" s="15"/>
      <c r="E101" s="15"/>
      <c r="F101" s="15">
        <f t="shared" si="41"/>
        <v>0</v>
      </c>
      <c r="G101" s="15"/>
      <c r="H101" s="124" t="e">
        <f t="shared" si="42"/>
        <v>#DIV/0!</v>
      </c>
    </row>
    <row r="102" spans="1:8" ht="25.5">
      <c r="A102" s="13" t="s">
        <v>95</v>
      </c>
      <c r="B102" s="14" t="s">
        <v>96</v>
      </c>
      <c r="C102" s="15">
        <f>SUM(C100:C101)</f>
        <v>0</v>
      </c>
      <c r="D102" s="15">
        <f t="shared" ref="D102:G102" si="54">SUM(D100:D101)</f>
        <v>0</v>
      </c>
      <c r="E102" s="15">
        <f t="shared" si="54"/>
        <v>0</v>
      </c>
      <c r="F102" s="15">
        <f t="shared" si="54"/>
        <v>0</v>
      </c>
      <c r="G102" s="15">
        <f t="shared" si="54"/>
        <v>0</v>
      </c>
      <c r="H102" s="124" t="e">
        <f t="shared" si="42"/>
        <v>#DIV/0!</v>
      </c>
    </row>
    <row r="103" spans="1:8" ht="25.5">
      <c r="A103" s="13" t="s">
        <v>97</v>
      </c>
      <c r="B103" s="14" t="s">
        <v>98</v>
      </c>
      <c r="C103" s="15"/>
      <c r="D103" s="15"/>
      <c r="E103" s="15"/>
      <c r="F103" s="15">
        <f t="shared" si="41"/>
        <v>0</v>
      </c>
      <c r="G103" s="15"/>
      <c r="H103" s="124" t="e">
        <f t="shared" si="42"/>
        <v>#DIV/0!</v>
      </c>
    </row>
    <row r="104" spans="1:8" s="122" customFormat="1">
      <c r="A104" s="13">
        <v>52</v>
      </c>
      <c r="B104" s="14" t="s">
        <v>458</v>
      </c>
      <c r="C104" s="15"/>
      <c r="D104" s="15"/>
      <c r="E104" s="15"/>
      <c r="F104" s="15">
        <f t="shared" si="41"/>
        <v>0</v>
      </c>
      <c r="G104" s="15"/>
      <c r="H104" s="124"/>
    </row>
    <row r="105" spans="1:8">
      <c r="A105" s="13" t="s">
        <v>99</v>
      </c>
      <c r="B105" s="14" t="s">
        <v>100</v>
      </c>
      <c r="C105" s="15"/>
      <c r="D105" s="15"/>
      <c r="E105" s="15"/>
      <c r="F105" s="15">
        <f t="shared" si="41"/>
        <v>0</v>
      </c>
      <c r="G105" s="15"/>
      <c r="H105" s="124" t="e">
        <f t="shared" si="42"/>
        <v>#DIV/0!</v>
      </c>
    </row>
    <row r="106" spans="1:8" ht="25.5">
      <c r="A106" s="13" t="s">
        <v>101</v>
      </c>
      <c r="B106" s="14" t="s">
        <v>102</v>
      </c>
      <c r="C106" s="15">
        <f>SUM(C103:C105)</f>
        <v>0</v>
      </c>
      <c r="D106" s="15">
        <f t="shared" ref="D106:E106" si="55">SUM(D103:D105)</f>
        <v>0</v>
      </c>
      <c r="E106" s="15">
        <f t="shared" si="55"/>
        <v>0</v>
      </c>
      <c r="F106" s="15">
        <f t="shared" si="41"/>
        <v>0</v>
      </c>
      <c r="G106" s="15">
        <f t="shared" ref="G106" si="56">SUM(G103:G105)</f>
        <v>0</v>
      </c>
      <c r="H106" s="124" t="e">
        <f t="shared" si="42"/>
        <v>#DIV/0!</v>
      </c>
    </row>
    <row r="107" spans="1:8">
      <c r="A107" s="16" t="s">
        <v>103</v>
      </c>
      <c r="B107" s="17" t="s">
        <v>104</v>
      </c>
      <c r="C107" s="18">
        <f>C86+C89+C99+C102+C106</f>
        <v>0</v>
      </c>
      <c r="D107" s="18">
        <f t="shared" ref="D107:E107" si="57">D86+D89+D99+D102+D106</f>
        <v>0</v>
      </c>
      <c r="E107" s="18">
        <f t="shared" si="57"/>
        <v>0</v>
      </c>
      <c r="F107" s="18">
        <f t="shared" si="41"/>
        <v>0</v>
      </c>
      <c r="G107" s="18">
        <f t="shared" ref="G107" si="58">G86+G89+G99+G102+G106</f>
        <v>0</v>
      </c>
      <c r="H107" s="125" t="e">
        <f t="shared" si="42"/>
        <v>#DIV/0!</v>
      </c>
    </row>
    <row r="108" spans="1:8">
      <c r="A108" s="13" t="s">
        <v>105</v>
      </c>
      <c r="B108" s="14" t="s">
        <v>106</v>
      </c>
      <c r="C108" s="15">
        <f>SUM(C109)</f>
        <v>0</v>
      </c>
      <c r="D108" s="15">
        <f t="shared" ref="D108:E108" si="59">SUM(D109)</f>
        <v>0</v>
      </c>
      <c r="E108" s="15">
        <f t="shared" si="59"/>
        <v>0</v>
      </c>
      <c r="F108" s="15">
        <f t="shared" si="41"/>
        <v>0</v>
      </c>
      <c r="G108" s="15">
        <f t="shared" ref="G108" si="60">SUM(G109)</f>
        <v>0</v>
      </c>
      <c r="H108" s="124" t="e">
        <f t="shared" si="42"/>
        <v>#DIV/0!</v>
      </c>
    </row>
    <row r="109" spans="1:8" ht="25.5">
      <c r="A109" s="13" t="s">
        <v>107</v>
      </c>
      <c r="B109" s="14" t="s">
        <v>108</v>
      </c>
      <c r="C109" s="15">
        <v>0</v>
      </c>
      <c r="D109" s="15">
        <v>0</v>
      </c>
      <c r="E109" s="15">
        <v>0</v>
      </c>
      <c r="F109" s="15">
        <f t="shared" si="41"/>
        <v>0</v>
      </c>
      <c r="G109" s="15">
        <v>0</v>
      </c>
      <c r="H109" s="124" t="e">
        <f t="shared" si="42"/>
        <v>#DIV/0!</v>
      </c>
    </row>
    <row r="110" spans="1:8" ht="25.5">
      <c r="A110" s="13" t="s">
        <v>109</v>
      </c>
      <c r="B110" s="14" t="s">
        <v>110</v>
      </c>
      <c r="C110" s="15">
        <f>SUM(C111:C113)</f>
        <v>0</v>
      </c>
      <c r="D110" s="15">
        <f t="shared" ref="D110:E110" si="61">SUM(D111:D113)</f>
        <v>0</v>
      </c>
      <c r="E110" s="15">
        <f t="shared" si="61"/>
        <v>0</v>
      </c>
      <c r="F110" s="15">
        <f t="shared" si="41"/>
        <v>0</v>
      </c>
      <c r="G110" s="15">
        <f t="shared" ref="G110" si="62">SUM(G111:G113)</f>
        <v>0</v>
      </c>
      <c r="H110" s="124" t="e">
        <f t="shared" si="42"/>
        <v>#DIV/0!</v>
      </c>
    </row>
    <row r="111" spans="1:8" ht="25.5">
      <c r="A111" s="13" t="s">
        <v>111</v>
      </c>
      <c r="B111" s="14" t="s">
        <v>112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>
      <c r="A112" s="13" t="s">
        <v>113</v>
      </c>
      <c r="B112" s="14" t="s">
        <v>114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38.25">
      <c r="A113" s="13" t="s">
        <v>115</v>
      </c>
      <c r="B113" s="14" t="s">
        <v>116</v>
      </c>
      <c r="C113" s="15">
        <v>0</v>
      </c>
      <c r="D113" s="15">
        <v>0</v>
      </c>
      <c r="E113" s="15">
        <v>0</v>
      </c>
      <c r="F113" s="15">
        <f t="shared" si="41"/>
        <v>0</v>
      </c>
      <c r="G113" s="15">
        <v>0</v>
      </c>
      <c r="H113" s="124" t="e">
        <f t="shared" si="42"/>
        <v>#DIV/0!</v>
      </c>
    </row>
    <row r="114" spans="1:8" ht="25.5">
      <c r="A114" s="16" t="s">
        <v>117</v>
      </c>
      <c r="B114" s="17" t="s">
        <v>118</v>
      </c>
      <c r="C114" s="18">
        <f>C108+C110</f>
        <v>0</v>
      </c>
      <c r="D114" s="18">
        <f t="shared" ref="D114:G114" si="63">D108+D110</f>
        <v>0</v>
      </c>
      <c r="E114" s="18">
        <f t="shared" si="63"/>
        <v>0</v>
      </c>
      <c r="F114" s="18">
        <f t="shared" si="41"/>
        <v>0</v>
      </c>
      <c r="G114" s="18">
        <f t="shared" si="63"/>
        <v>0</v>
      </c>
      <c r="H114" s="125" t="e">
        <f t="shared" si="42"/>
        <v>#DIV/0!</v>
      </c>
    </row>
    <row r="115" spans="1:8" ht="25.5">
      <c r="A115" s="13" t="s">
        <v>119</v>
      </c>
      <c r="B115" s="14" t="s">
        <v>120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5.5">
      <c r="A116" s="13" t="s">
        <v>121</v>
      </c>
      <c r="B116" s="14" t="s">
        <v>122</v>
      </c>
      <c r="C116" s="15">
        <v>0</v>
      </c>
      <c r="D116" s="15">
        <v>0</v>
      </c>
      <c r="E116" s="15">
        <v>0</v>
      </c>
      <c r="F116" s="15">
        <f t="shared" si="41"/>
        <v>0</v>
      </c>
      <c r="G116" s="15">
        <v>0</v>
      </c>
      <c r="H116" s="124" t="e">
        <f t="shared" si="42"/>
        <v>#DIV/0!</v>
      </c>
    </row>
    <row r="117" spans="1:8" ht="25.5">
      <c r="A117" s="13" t="s">
        <v>123</v>
      </c>
      <c r="B117" s="14" t="s">
        <v>124</v>
      </c>
      <c r="C117" s="15">
        <f>SUM(C115:C116)</f>
        <v>0</v>
      </c>
      <c r="D117" s="15">
        <f t="shared" ref="D117:E117" si="64">SUM(D115:D116)</f>
        <v>0</v>
      </c>
      <c r="E117" s="15">
        <f t="shared" si="64"/>
        <v>0</v>
      </c>
      <c r="F117" s="15">
        <f t="shared" si="41"/>
        <v>0</v>
      </c>
      <c r="G117" s="15">
        <f t="shared" ref="G117" si="65">SUM(G115:G116)</f>
        <v>0</v>
      </c>
      <c r="H117" s="124" t="e">
        <f t="shared" si="42"/>
        <v>#DIV/0!</v>
      </c>
    </row>
    <row r="118" spans="1:8" ht="25.5">
      <c r="A118" s="13" t="s">
        <v>125</v>
      </c>
      <c r="B118" s="14" t="s">
        <v>126</v>
      </c>
      <c r="C118" s="15">
        <f>SUM(C119)</f>
        <v>0</v>
      </c>
      <c r="D118" s="15">
        <f t="shared" ref="D118:E118" si="66">SUM(D119)</f>
        <v>0</v>
      </c>
      <c r="E118" s="15">
        <f t="shared" si="66"/>
        <v>0</v>
      </c>
      <c r="F118" s="15">
        <f t="shared" si="41"/>
        <v>0</v>
      </c>
      <c r="G118" s="15">
        <f t="shared" ref="G118" si="67">SUM(G119)</f>
        <v>0</v>
      </c>
      <c r="H118" s="124" t="e">
        <f t="shared" si="42"/>
        <v>#DIV/0!</v>
      </c>
    </row>
    <row r="119" spans="1:8" ht="25.5">
      <c r="A119" s="13" t="s">
        <v>127</v>
      </c>
      <c r="B119" s="14" t="s">
        <v>128</v>
      </c>
      <c r="C119" s="15"/>
      <c r="D119" s="15"/>
      <c r="E119" s="15"/>
      <c r="F119" s="15">
        <f t="shared" si="41"/>
        <v>0</v>
      </c>
      <c r="G119" s="15"/>
      <c r="H119" s="124" t="e">
        <f t="shared" si="42"/>
        <v>#DIV/0!</v>
      </c>
    </row>
    <row r="120" spans="1:8" ht="25.5">
      <c r="A120" s="13" t="s">
        <v>129</v>
      </c>
      <c r="B120" s="14" t="s">
        <v>130</v>
      </c>
      <c r="C120" s="15">
        <f>SUM(C121:C123)</f>
        <v>0</v>
      </c>
      <c r="D120" s="15">
        <f t="shared" ref="D120:E120" si="68">SUM(D121:D123)</f>
        <v>0</v>
      </c>
      <c r="E120" s="15">
        <f t="shared" si="68"/>
        <v>0</v>
      </c>
      <c r="F120" s="15">
        <f t="shared" si="41"/>
        <v>0</v>
      </c>
      <c r="G120" s="15">
        <f t="shared" ref="G120" si="69">SUM(G121:G123)</f>
        <v>0</v>
      </c>
      <c r="H120" s="124" t="e">
        <f t="shared" si="42"/>
        <v>#DIV/0!</v>
      </c>
    </row>
    <row r="121" spans="1:8">
      <c r="A121" s="13" t="s">
        <v>131</v>
      </c>
      <c r="B121" s="14" t="s">
        <v>132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133</v>
      </c>
      <c r="B122" s="14" t="s">
        <v>134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 t="s">
        <v>135</v>
      </c>
      <c r="B123" s="14" t="s">
        <v>136</v>
      </c>
      <c r="C123" s="15"/>
      <c r="D123" s="15"/>
      <c r="E123" s="15"/>
      <c r="F123" s="15">
        <f t="shared" si="41"/>
        <v>0</v>
      </c>
      <c r="G123" s="15"/>
      <c r="H123" s="124" t="e">
        <f t="shared" si="42"/>
        <v>#DIV/0!</v>
      </c>
    </row>
    <row r="124" spans="1:8">
      <c r="A124" s="13">
        <v>188</v>
      </c>
      <c r="B124" s="19" t="s">
        <v>275</v>
      </c>
      <c r="C124" s="15"/>
      <c r="D124" s="15">
        <v>0</v>
      </c>
      <c r="E124" s="15"/>
      <c r="F124" s="15">
        <f t="shared" si="41"/>
        <v>0</v>
      </c>
      <c r="G124" s="15"/>
      <c r="H124" s="124"/>
    </row>
    <row r="125" spans="1:8" ht="38.25">
      <c r="A125" s="16" t="s">
        <v>137</v>
      </c>
      <c r="B125" s="17" t="s">
        <v>138</v>
      </c>
      <c r="C125" s="18">
        <f>C117+C119+C120+C124</f>
        <v>0</v>
      </c>
      <c r="D125" s="18">
        <f t="shared" ref="D125:G125" si="70">D117+D119+D120+D124</f>
        <v>0</v>
      </c>
      <c r="E125" s="18">
        <f t="shared" si="70"/>
        <v>0</v>
      </c>
      <c r="F125" s="18">
        <f t="shared" si="70"/>
        <v>0</v>
      </c>
      <c r="G125" s="18">
        <f t="shared" si="70"/>
        <v>0</v>
      </c>
      <c r="H125" s="125" t="e">
        <f t="shared" si="42"/>
        <v>#DIV/0!</v>
      </c>
    </row>
    <row r="126" spans="1:8" s="128" customFormat="1">
      <c r="A126" s="20">
        <v>192</v>
      </c>
      <c r="B126" s="19" t="s">
        <v>466</v>
      </c>
      <c r="C126" s="18"/>
      <c r="D126" s="18"/>
      <c r="E126" s="18"/>
      <c r="F126" s="15">
        <f t="shared" si="41"/>
        <v>0</v>
      </c>
      <c r="G126" s="18"/>
      <c r="H126" s="124" t="e">
        <f t="shared" si="42"/>
        <v>#DIV/0!</v>
      </c>
    </row>
    <row r="127" spans="1:8">
      <c r="A127" s="13" t="s">
        <v>139</v>
      </c>
      <c r="B127" s="14" t="s">
        <v>140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5.5">
      <c r="A128" s="13" t="s">
        <v>141</v>
      </c>
      <c r="B128" s="14" t="s">
        <v>142</v>
      </c>
      <c r="C128" s="15">
        <v>0</v>
      </c>
      <c r="D128" s="15">
        <v>0</v>
      </c>
      <c r="E128" s="15">
        <v>0</v>
      </c>
      <c r="F128" s="15">
        <f t="shared" si="41"/>
        <v>0</v>
      </c>
      <c r="G128" s="15">
        <v>0</v>
      </c>
      <c r="H128" s="124" t="e">
        <f t="shared" si="42"/>
        <v>#DIV/0!</v>
      </c>
    </row>
    <row r="129" spans="1:8" ht="25.5">
      <c r="A129" s="13" t="s">
        <v>143</v>
      </c>
      <c r="B129" s="14" t="s">
        <v>144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 ht="25.5">
      <c r="A130" s="13" t="s">
        <v>145</v>
      </c>
      <c r="B130" s="14" t="s">
        <v>146</v>
      </c>
      <c r="C130" s="15"/>
      <c r="D130" s="15"/>
      <c r="E130" s="15"/>
      <c r="F130" s="15">
        <f t="shared" si="41"/>
        <v>0</v>
      </c>
      <c r="G130" s="15"/>
      <c r="H130" s="124" t="e">
        <f t="shared" si="42"/>
        <v>#DIV/0!</v>
      </c>
    </row>
    <row r="131" spans="1:8">
      <c r="A131" s="16" t="s">
        <v>147</v>
      </c>
      <c r="B131" s="17" t="s">
        <v>148</v>
      </c>
      <c r="C131" s="18">
        <f>SUM(C126:C130)</f>
        <v>0</v>
      </c>
      <c r="D131" s="18">
        <f t="shared" ref="D131:G131" si="71">SUM(D126:D130)</f>
        <v>0</v>
      </c>
      <c r="E131" s="18">
        <f t="shared" si="71"/>
        <v>0</v>
      </c>
      <c r="F131" s="18">
        <f t="shared" si="71"/>
        <v>0</v>
      </c>
      <c r="G131" s="18">
        <f t="shared" si="71"/>
        <v>0</v>
      </c>
      <c r="H131" s="125" t="e">
        <f t="shared" si="42"/>
        <v>#DIV/0!</v>
      </c>
    </row>
    <row r="132" spans="1:8">
      <c r="A132" s="13" t="s">
        <v>149</v>
      </c>
      <c r="B132" s="14" t="s">
        <v>150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>
      <c r="A133" s="13" t="s">
        <v>151</v>
      </c>
      <c r="B133" s="14" t="s">
        <v>152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 ht="25.5">
      <c r="A134" s="13" t="s">
        <v>153</v>
      </c>
      <c r="B134" s="14" t="s">
        <v>154</v>
      </c>
      <c r="C134" s="15"/>
      <c r="D134" s="15"/>
      <c r="E134" s="15"/>
      <c r="F134" s="15">
        <f t="shared" si="41"/>
        <v>0</v>
      </c>
      <c r="G134" s="15"/>
      <c r="H134" s="124" t="e">
        <f t="shared" si="42"/>
        <v>#DIV/0!</v>
      </c>
    </row>
    <row r="135" spans="1:8">
      <c r="A135" s="16" t="s">
        <v>155</v>
      </c>
      <c r="B135" s="17" t="s">
        <v>156</v>
      </c>
      <c r="C135" s="18">
        <f>SUM(C132:C134)</f>
        <v>0</v>
      </c>
      <c r="D135" s="18">
        <f t="shared" ref="D135:E135" si="72">SUM(D132:D134)</f>
        <v>0</v>
      </c>
      <c r="E135" s="18">
        <f t="shared" si="72"/>
        <v>0</v>
      </c>
      <c r="F135" s="18">
        <f t="shared" si="41"/>
        <v>0</v>
      </c>
      <c r="G135" s="18">
        <f t="shared" ref="G135" si="73">SUM(G132:G134)</f>
        <v>0</v>
      </c>
      <c r="H135" s="125" t="e">
        <f t="shared" si="42"/>
        <v>#DIV/0!</v>
      </c>
    </row>
    <row r="136" spans="1:8" ht="25.5">
      <c r="A136" s="16" t="s">
        <v>157</v>
      </c>
      <c r="B136" s="17" t="s">
        <v>158</v>
      </c>
      <c r="C136" s="18">
        <f>C78+C79+C107+C114+C125+C131+C135</f>
        <v>0</v>
      </c>
      <c r="D136" s="18">
        <f t="shared" ref="D136:E136" si="74">D78+D79+D107+D114+D125+D131+D135</f>
        <v>0</v>
      </c>
      <c r="E136" s="18">
        <f t="shared" si="74"/>
        <v>0</v>
      </c>
      <c r="F136" s="18">
        <f t="shared" si="41"/>
        <v>0</v>
      </c>
      <c r="G136" s="18">
        <f t="shared" ref="G136" si="75">G78+G79+G107+G114+G125+G131+G135</f>
        <v>0</v>
      </c>
      <c r="H136" s="125" t="e">
        <f t="shared" si="42"/>
        <v>#DIV/0!</v>
      </c>
    </row>
    <row r="137" spans="1:8" ht="25.5">
      <c r="A137" s="13" t="s">
        <v>159</v>
      </c>
      <c r="B137" s="14" t="s">
        <v>160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5.5">
      <c r="A138" s="13" t="s">
        <v>161</v>
      </c>
      <c r="B138" s="14" t="s">
        <v>162</v>
      </c>
      <c r="C138" s="15">
        <v>0</v>
      </c>
      <c r="D138" s="15">
        <v>0</v>
      </c>
      <c r="E138" s="15">
        <v>0</v>
      </c>
      <c r="F138" s="15">
        <f t="shared" si="41"/>
        <v>0</v>
      </c>
      <c r="G138" s="15">
        <v>0</v>
      </c>
      <c r="H138" s="124" t="e">
        <f t="shared" si="42"/>
        <v>#DIV/0!</v>
      </c>
    </row>
    <row r="139" spans="1:8" ht="25.5">
      <c r="A139" s="13" t="s">
        <v>163</v>
      </c>
      <c r="B139" s="14" t="s">
        <v>164</v>
      </c>
      <c r="C139" s="15">
        <f>SUM(C137:C138)</f>
        <v>0</v>
      </c>
      <c r="D139" s="15">
        <f t="shared" ref="D139:E139" si="76">SUM(D137:D138)</f>
        <v>0</v>
      </c>
      <c r="E139" s="15">
        <f t="shared" si="76"/>
        <v>0</v>
      </c>
      <c r="F139" s="15">
        <f t="shared" si="41"/>
        <v>0</v>
      </c>
      <c r="G139" s="15">
        <f t="shared" ref="G139" si="77">SUM(G137:G138)</f>
        <v>0</v>
      </c>
      <c r="H139" s="124" t="e">
        <f t="shared" si="42"/>
        <v>#DIV/0!</v>
      </c>
    </row>
    <row r="140" spans="1:8" ht="25.5">
      <c r="A140" s="16" t="s">
        <v>165</v>
      </c>
      <c r="B140" s="17" t="s">
        <v>166</v>
      </c>
      <c r="C140" s="18">
        <f>SUM(C139)</f>
        <v>0</v>
      </c>
      <c r="D140" s="18">
        <f t="shared" ref="D140:E140" si="78">SUM(D139)</f>
        <v>0</v>
      </c>
      <c r="E140" s="18">
        <f t="shared" si="78"/>
        <v>0</v>
      </c>
      <c r="F140" s="18">
        <f t="shared" si="41"/>
        <v>0</v>
      </c>
      <c r="G140" s="18">
        <f t="shared" ref="G140" si="79">SUM(G139)</f>
        <v>0</v>
      </c>
      <c r="H140" s="125" t="e">
        <f t="shared" si="42"/>
        <v>#DIV/0!</v>
      </c>
    </row>
    <row r="141" spans="1:8">
      <c r="A141" s="16" t="s">
        <v>167</v>
      </c>
      <c r="B141" s="17" t="s">
        <v>168</v>
      </c>
      <c r="C141" s="18">
        <f>C136+C140</f>
        <v>0</v>
      </c>
      <c r="D141" s="18">
        <f t="shared" ref="D141:E141" si="80">D136+D140</f>
        <v>0</v>
      </c>
      <c r="E141" s="18">
        <f t="shared" si="80"/>
        <v>0</v>
      </c>
      <c r="F141" s="18">
        <f t="shared" si="41"/>
        <v>0</v>
      </c>
      <c r="G141" s="18">
        <f t="shared" ref="G141" si="81">G136+G140</f>
        <v>0</v>
      </c>
      <c r="H141" s="125" t="e">
        <f t="shared" si="42"/>
        <v>#DIV/0!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40"/>
  <sheetViews>
    <sheetView view="pageBreakPreview" topLeftCell="A76" zoomScale="70" zoomScaleNormal="100" zoomScaleSheetLayoutView="70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9.88671875" customWidth="1"/>
    <col min="6" max="6" width="10.44140625" customWidth="1"/>
    <col min="8" max="8" width="11.77734375" style="126" customWidth="1"/>
  </cols>
  <sheetData>
    <row r="1" spans="1:8">
      <c r="A1" s="140" t="s">
        <v>443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24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8.25">
      <c r="A8" s="13" t="s">
        <v>176</v>
      </c>
      <c r="B8" s="14" t="s">
        <v>177</v>
      </c>
      <c r="C8" s="15">
        <v>12984000</v>
      </c>
      <c r="D8" s="15">
        <v>10881000</v>
      </c>
      <c r="E8" s="15">
        <v>-4618169</v>
      </c>
      <c r="F8" s="15">
        <f t="shared" si="0"/>
        <v>6262831</v>
      </c>
      <c r="G8" s="15">
        <v>3219095</v>
      </c>
      <c r="H8" s="124">
        <f t="shared" si="1"/>
        <v>0.51399997860392532</v>
      </c>
    </row>
    <row r="9" spans="1:8" ht="25.5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 t="shared" ref="C12:E12" si="2">SUM(C6:C11)</f>
        <v>12984000</v>
      </c>
      <c r="D12" s="15">
        <f t="shared" si="2"/>
        <v>10881000</v>
      </c>
      <c r="E12" s="15">
        <f t="shared" si="2"/>
        <v>-4618169</v>
      </c>
      <c r="F12" s="15">
        <f t="shared" si="0"/>
        <v>6262831</v>
      </c>
      <c r="G12" s="15">
        <f t="shared" ref="G12" si="3">SUM(G6:G11)</f>
        <v>3219095</v>
      </c>
      <c r="H12" s="124">
        <f t="shared" si="1"/>
        <v>0.51399997860392532</v>
      </c>
    </row>
    <row r="13" spans="1:8" ht="25.5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 t="shared" ref="C20:G20" si="6">C12+C13</f>
        <v>12984000</v>
      </c>
      <c r="D20" s="18">
        <f t="shared" si="6"/>
        <v>10881000</v>
      </c>
      <c r="E20" s="18">
        <f t="shared" si="6"/>
        <v>-4618169</v>
      </c>
      <c r="F20" s="18">
        <f t="shared" si="0"/>
        <v>6262831</v>
      </c>
      <c r="G20" s="18">
        <f t="shared" si="6"/>
        <v>3219095</v>
      </c>
      <c r="H20" s="125">
        <f t="shared" si="1"/>
        <v>0.51399997860392532</v>
      </c>
    </row>
    <row r="21" spans="1:8" ht="25.5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>
        <v>5826399</v>
      </c>
      <c r="D41" s="15">
        <v>6855000</v>
      </c>
      <c r="E41" s="15">
        <v>0</v>
      </c>
      <c r="F41" s="15">
        <f t="shared" si="0"/>
        <v>6855000</v>
      </c>
      <c r="G41" s="15">
        <v>2014816</v>
      </c>
      <c r="H41" s="124">
        <f t="shared" si="1"/>
        <v>0.29391918307804521</v>
      </c>
    </row>
    <row r="42" spans="1:8">
      <c r="A42" s="13" t="s">
        <v>147</v>
      </c>
      <c r="B42" s="14" t="s">
        <v>231</v>
      </c>
      <c r="C42" s="15">
        <v>1573126</v>
      </c>
      <c r="D42" s="15">
        <v>1851000</v>
      </c>
      <c r="E42" s="15"/>
      <c r="F42" s="15">
        <f t="shared" si="0"/>
        <v>1851000</v>
      </c>
      <c r="G42" s="15">
        <v>543958</v>
      </c>
      <c r="H42" s="124">
        <f t="shared" si="1"/>
        <v>0.29387250135062126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>
        <v>27</v>
      </c>
      <c r="F45" s="15">
        <f t="shared" si="0"/>
        <v>27</v>
      </c>
      <c r="G45" s="15">
        <v>27</v>
      </c>
      <c r="H45" s="124">
        <f t="shared" si="1"/>
        <v>1</v>
      </c>
    </row>
    <row r="46" spans="1:8" ht="38.25">
      <c r="A46" s="16" t="s">
        <v>237</v>
      </c>
      <c r="B46" s="17" t="s">
        <v>238</v>
      </c>
      <c r="C46" s="18">
        <f t="shared" ref="C46:E46" si="22">C37+C38+C39+C40+C41+C42+C44+C45</f>
        <v>7399525</v>
      </c>
      <c r="D46" s="18">
        <f t="shared" si="22"/>
        <v>8706000</v>
      </c>
      <c r="E46" s="18">
        <f t="shared" si="22"/>
        <v>27</v>
      </c>
      <c r="F46" s="18">
        <f t="shared" si="0"/>
        <v>8706027</v>
      </c>
      <c r="G46" s="18">
        <f t="shared" ref="G46" si="23">G37+G38+G39+G40+G41+G42+G44+G45</f>
        <v>2558801</v>
      </c>
      <c r="H46" s="125">
        <f t="shared" si="1"/>
        <v>0.29391144778209394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5.5">
      <c r="A49" s="16">
        <v>231</v>
      </c>
      <c r="B49" s="17" t="s">
        <v>460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8.25">
      <c r="A50" s="20">
        <v>232</v>
      </c>
      <c r="B50" s="19" t="s">
        <v>459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5.5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5.5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5.5">
      <c r="A56" s="16" t="s">
        <v>253</v>
      </c>
      <c r="B56" s="17" t="s">
        <v>254</v>
      </c>
      <c r="C56" s="18">
        <f t="shared" ref="C56:E56" si="30">C55+C46+C48+C36+C20+C22</f>
        <v>20383525</v>
      </c>
      <c r="D56" s="18">
        <f t="shared" si="30"/>
        <v>19587000</v>
      </c>
      <c r="E56" s="18">
        <f t="shared" si="30"/>
        <v>-4618142</v>
      </c>
      <c r="F56" s="18">
        <f t="shared" si="0"/>
        <v>14968858</v>
      </c>
      <c r="G56" s="18">
        <f t="shared" ref="G56" si="31">G55+G46+G48+G36+G20+G22</f>
        <v>5777896</v>
      </c>
      <c r="H56" s="125">
        <f t="shared" si="1"/>
        <v>0.38599444259542043</v>
      </c>
    </row>
    <row r="57" spans="1:8" ht="25.5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412</v>
      </c>
      <c r="C60" s="15"/>
      <c r="D60" s="15"/>
      <c r="E60" s="15"/>
      <c r="F60" s="15"/>
      <c r="G60" s="15"/>
      <c r="H60" s="124"/>
    </row>
    <row r="61" spans="1:8" ht="25.5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5.5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20383525</v>
      </c>
      <c r="D63" s="18">
        <f t="shared" si="37"/>
        <v>19587000</v>
      </c>
      <c r="E63" s="18">
        <f t="shared" si="37"/>
        <v>-4618142</v>
      </c>
      <c r="F63" s="18">
        <f t="shared" si="0"/>
        <v>14968858</v>
      </c>
      <c r="G63" s="18">
        <f t="shared" ref="G63" si="38">G56+G62</f>
        <v>5777896</v>
      </c>
      <c r="H63" s="125">
        <f t="shared" si="1"/>
        <v>0.38599444259542043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457</v>
      </c>
      <c r="G65" s="12" t="s">
        <v>273</v>
      </c>
      <c r="H65" s="123" t="s">
        <v>274</v>
      </c>
    </row>
    <row r="66" spans="1:8" ht="25.5">
      <c r="A66" s="13" t="s">
        <v>31</v>
      </c>
      <c r="B66" s="14" t="s">
        <v>32</v>
      </c>
      <c r="C66" s="15">
        <v>1545491</v>
      </c>
      <c r="D66" s="15"/>
      <c r="E66" s="15">
        <v>129000</v>
      </c>
      <c r="F66" s="15">
        <f t="shared" si="0"/>
        <v>129000</v>
      </c>
      <c r="G66" s="15">
        <v>129000</v>
      </c>
      <c r="H66" s="124">
        <f t="shared" si="1"/>
        <v>1</v>
      </c>
    </row>
    <row r="67" spans="1:8" ht="25.5">
      <c r="A67" s="21" t="s">
        <v>178</v>
      </c>
      <c r="B67" s="14" t="s">
        <v>282</v>
      </c>
      <c r="C67" s="15"/>
      <c r="D67" s="15"/>
      <c r="E67" s="15">
        <v>40000</v>
      </c>
      <c r="F67" s="15">
        <f t="shared" si="0"/>
        <v>40000</v>
      </c>
      <c r="G67" s="15">
        <v>40000</v>
      </c>
      <c r="H67" s="124"/>
    </row>
    <row r="68" spans="1:8">
      <c r="A68" s="13" t="s">
        <v>33</v>
      </c>
      <c r="B68" s="14" t="s">
        <v>34</v>
      </c>
      <c r="C68" s="15">
        <v>85000</v>
      </c>
      <c r="D68" s="15"/>
      <c r="E68" s="15">
        <v>5000</v>
      </c>
      <c r="F68" s="15">
        <f t="shared" si="0"/>
        <v>5000</v>
      </c>
      <c r="G68" s="15">
        <v>5000</v>
      </c>
      <c r="H68" s="124">
        <f t="shared" si="1"/>
        <v>1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>
        <v>6000</v>
      </c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5.5">
      <c r="A71" s="13" t="s">
        <v>39</v>
      </c>
      <c r="B71" s="14" t="s">
        <v>40</v>
      </c>
      <c r="C71" s="15">
        <v>54336</v>
      </c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5.5">
      <c r="A72" s="13" t="s">
        <v>41</v>
      </c>
      <c r="B72" s="14" t="s">
        <v>42</v>
      </c>
      <c r="C72" s="15">
        <f t="shared" ref="C72:E72" si="39">SUM(C66:C71)</f>
        <v>1690827</v>
      </c>
      <c r="D72" s="15">
        <f t="shared" si="39"/>
        <v>0</v>
      </c>
      <c r="E72" s="15">
        <f t="shared" si="39"/>
        <v>174000</v>
      </c>
      <c r="F72" s="15">
        <f t="shared" si="0"/>
        <v>174000</v>
      </c>
      <c r="G72" s="15">
        <f t="shared" ref="G72" si="40">SUM(G66:G71)</f>
        <v>174000</v>
      </c>
      <c r="H72" s="124">
        <f t="shared" si="1"/>
        <v>1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8.25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1690827</v>
      </c>
      <c r="D77" s="18">
        <f t="shared" si="45"/>
        <v>0</v>
      </c>
      <c r="E77" s="18">
        <f t="shared" si="45"/>
        <v>174000</v>
      </c>
      <c r="F77" s="18">
        <f t="shared" si="41"/>
        <v>174000</v>
      </c>
      <c r="G77" s="18">
        <f t="shared" ref="G77" si="46">G72+G76</f>
        <v>174000</v>
      </c>
      <c r="H77" s="125">
        <f t="shared" si="42"/>
        <v>1</v>
      </c>
    </row>
    <row r="78" spans="1:8" ht="25.5">
      <c r="A78" s="16" t="s">
        <v>53</v>
      </c>
      <c r="B78" s="17" t="s">
        <v>54</v>
      </c>
      <c r="C78" s="18">
        <f t="shared" ref="C78:E78" si="47">SUM(C79:C82)</f>
        <v>466673</v>
      </c>
      <c r="D78" s="18">
        <f t="shared" si="47"/>
        <v>0</v>
      </c>
      <c r="E78" s="18">
        <f t="shared" si="47"/>
        <v>47356</v>
      </c>
      <c r="F78" s="18">
        <f t="shared" si="41"/>
        <v>47356</v>
      </c>
      <c r="G78" s="18">
        <f t="shared" ref="G78" si="48">SUM(G79:G82)</f>
        <v>47356</v>
      </c>
      <c r="H78" s="125">
        <f t="shared" si="42"/>
        <v>1</v>
      </c>
    </row>
    <row r="79" spans="1:8">
      <c r="A79" s="13" t="s">
        <v>55</v>
      </c>
      <c r="B79" s="14" t="s">
        <v>56</v>
      </c>
      <c r="C79" s="15">
        <v>433573</v>
      </c>
      <c r="D79" s="15"/>
      <c r="E79" s="15">
        <v>45630</v>
      </c>
      <c r="F79" s="15">
        <f t="shared" si="41"/>
        <v>45630</v>
      </c>
      <c r="G79" s="15">
        <v>45630</v>
      </c>
      <c r="H79" s="124">
        <f t="shared" si="42"/>
        <v>1</v>
      </c>
    </row>
    <row r="80" spans="1:8">
      <c r="A80" s="13" t="s">
        <v>57</v>
      </c>
      <c r="B80" s="14" t="s">
        <v>58</v>
      </c>
      <c r="C80" s="15">
        <v>17565</v>
      </c>
      <c r="D80" s="15"/>
      <c r="E80" s="15">
        <v>833</v>
      </c>
      <c r="F80" s="15">
        <f t="shared" si="41"/>
        <v>833</v>
      </c>
      <c r="G80" s="15">
        <v>833</v>
      </c>
      <c r="H80" s="124">
        <f t="shared" si="42"/>
        <v>1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5.5">
      <c r="A82" s="13" t="s">
        <v>61</v>
      </c>
      <c r="B82" s="14" t="s">
        <v>62</v>
      </c>
      <c r="C82" s="15">
        <v>15535</v>
      </c>
      <c r="D82" s="15"/>
      <c r="E82" s="15">
        <v>893</v>
      </c>
      <c r="F82" s="15">
        <f t="shared" si="41"/>
        <v>893</v>
      </c>
      <c r="G82" s="15">
        <v>893</v>
      </c>
      <c r="H82" s="124">
        <f t="shared" si="42"/>
        <v>1</v>
      </c>
    </row>
    <row r="83" spans="1:8">
      <c r="A83" s="13" t="s">
        <v>63</v>
      </c>
      <c r="B83" s="14" t="s">
        <v>64</v>
      </c>
      <c r="C83" s="15">
        <v>110823</v>
      </c>
      <c r="D83" s="15">
        <v>50000</v>
      </c>
      <c r="E83" s="15"/>
      <c r="F83" s="15">
        <f t="shared" si="41"/>
        <v>50000</v>
      </c>
      <c r="G83" s="15"/>
      <c r="H83" s="124">
        <f t="shared" si="42"/>
        <v>0</v>
      </c>
    </row>
    <row r="84" spans="1:8">
      <c r="A84" s="13" t="s">
        <v>65</v>
      </c>
      <c r="B84" s="14" t="s">
        <v>66</v>
      </c>
      <c r="C84" s="15">
        <v>1115756</v>
      </c>
      <c r="D84" s="15">
        <v>1000000</v>
      </c>
      <c r="E84" s="15"/>
      <c r="F84" s="15">
        <f t="shared" si="41"/>
        <v>1000000</v>
      </c>
      <c r="G84" s="15">
        <v>283120</v>
      </c>
      <c r="H84" s="124">
        <f t="shared" si="42"/>
        <v>0.28311999999999998</v>
      </c>
    </row>
    <row r="85" spans="1:8">
      <c r="A85" s="13" t="s">
        <v>67</v>
      </c>
      <c r="B85" s="14" t="s">
        <v>68</v>
      </c>
      <c r="C85" s="15">
        <f t="shared" ref="C85:E85" si="49">SUM(C83:C84)</f>
        <v>1226579</v>
      </c>
      <c r="D85" s="15">
        <f t="shared" si="49"/>
        <v>1050000</v>
      </c>
      <c r="E85" s="15">
        <f t="shared" si="49"/>
        <v>0</v>
      </c>
      <c r="F85" s="15">
        <f t="shared" si="41"/>
        <v>1050000</v>
      </c>
      <c r="G85" s="15">
        <f t="shared" ref="G85" si="50">SUM(G83:G84)</f>
        <v>283120</v>
      </c>
      <c r="H85" s="124">
        <f t="shared" si="42"/>
        <v>0.26963809523809523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/>
      <c r="D89" s="15"/>
      <c r="E89" s="15"/>
      <c r="F89" s="15">
        <f t="shared" si="41"/>
        <v>0</v>
      </c>
      <c r="G89" s="15"/>
      <c r="H89" s="124" t="e">
        <f t="shared" si="42"/>
        <v>#DIV/0!</v>
      </c>
    </row>
    <row r="90" spans="1:8">
      <c r="A90" s="13" t="s">
        <v>77</v>
      </c>
      <c r="B90" s="14" t="s">
        <v>78</v>
      </c>
      <c r="C90" s="15">
        <v>11249952</v>
      </c>
      <c r="D90" s="15">
        <v>12662000</v>
      </c>
      <c r="E90" s="15">
        <v>-3636334</v>
      </c>
      <c r="F90" s="15">
        <f t="shared" si="41"/>
        <v>9025666</v>
      </c>
      <c r="G90" s="15">
        <v>4788631</v>
      </c>
      <c r="H90" s="124">
        <f t="shared" si="42"/>
        <v>0.53055708021989734</v>
      </c>
    </row>
    <row r="91" spans="1:8">
      <c r="A91" s="20" t="s">
        <v>276</v>
      </c>
      <c r="B91" s="19" t="s">
        <v>277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5.5">
      <c r="A95" s="13" t="s">
        <v>85</v>
      </c>
      <c r="B95" s="14" t="s">
        <v>86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>
        <v>1700</v>
      </c>
      <c r="D96" s="15">
        <v>2000</v>
      </c>
      <c r="E96" s="15"/>
      <c r="F96" s="15">
        <f t="shared" si="41"/>
        <v>2000</v>
      </c>
      <c r="G96" s="15"/>
      <c r="H96" s="124">
        <f t="shared" si="42"/>
        <v>0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5.5">
      <c r="A98" s="13" t="s">
        <v>91</v>
      </c>
      <c r="B98" s="14" t="s">
        <v>92</v>
      </c>
      <c r="C98" s="15">
        <f>C89+C90+C92+C93+C95+C96+C91</f>
        <v>11251652</v>
      </c>
      <c r="D98" s="15">
        <f t="shared" ref="D98:G98" si="53">D89+D90+D92+D93+D95+D96+D91</f>
        <v>12664000</v>
      </c>
      <c r="E98" s="15">
        <f t="shared" si="53"/>
        <v>-3636334</v>
      </c>
      <c r="F98" s="15">
        <f t="shared" si="53"/>
        <v>9027666</v>
      </c>
      <c r="G98" s="15">
        <f t="shared" si="53"/>
        <v>4788631</v>
      </c>
      <c r="H98" s="124">
        <f t="shared" si="42"/>
        <v>0.53043953996525794</v>
      </c>
    </row>
    <row r="99" spans="1:8">
      <c r="A99" s="13" t="s">
        <v>280</v>
      </c>
      <c r="B99" s="14" t="s">
        <v>281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5.5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5.5">
      <c r="A102" s="13" t="s">
        <v>97</v>
      </c>
      <c r="B102" s="14" t="s">
        <v>98</v>
      </c>
      <c r="C102" s="15">
        <v>3324318</v>
      </c>
      <c r="D102" s="15">
        <v>3703000</v>
      </c>
      <c r="E102" s="15">
        <v>-981808</v>
      </c>
      <c r="F102" s="15">
        <f t="shared" si="41"/>
        <v>2721192</v>
      </c>
      <c r="G102" s="15">
        <v>1342137</v>
      </c>
      <c r="H102" s="124">
        <f t="shared" si="42"/>
        <v>0.49321657567712973</v>
      </c>
    </row>
    <row r="103" spans="1:8" s="122" customFormat="1">
      <c r="A103" s="13">
        <v>52</v>
      </c>
      <c r="B103" s="14" t="s">
        <v>458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>
        <v>316</v>
      </c>
      <c r="F104" s="15">
        <f t="shared" si="41"/>
        <v>316</v>
      </c>
      <c r="G104" s="15">
        <v>316</v>
      </c>
      <c r="H104" s="124">
        <f t="shared" si="42"/>
        <v>1</v>
      </c>
    </row>
    <row r="105" spans="1:8" ht="25.5">
      <c r="A105" s="13" t="s">
        <v>101</v>
      </c>
      <c r="B105" s="14" t="s">
        <v>102</v>
      </c>
      <c r="C105" s="15">
        <f t="shared" ref="C105:E105" si="55">SUM(C102:C104)</f>
        <v>3324318</v>
      </c>
      <c r="D105" s="15">
        <f t="shared" si="55"/>
        <v>3703000</v>
      </c>
      <c r="E105" s="15">
        <f t="shared" si="55"/>
        <v>-981492</v>
      </c>
      <c r="F105" s="15">
        <f t="shared" si="41"/>
        <v>2721508</v>
      </c>
      <c r="G105" s="15">
        <f t="shared" ref="G105" si="56">SUM(G102:G104)</f>
        <v>1342453</v>
      </c>
      <c r="H105" s="124">
        <f t="shared" si="42"/>
        <v>0.49327541936308839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15802549</v>
      </c>
      <c r="D106" s="18">
        <f t="shared" si="57"/>
        <v>17417000</v>
      </c>
      <c r="E106" s="18">
        <f t="shared" si="57"/>
        <v>-4617826</v>
      </c>
      <c r="F106" s="18">
        <f t="shared" si="41"/>
        <v>12799174</v>
      </c>
      <c r="G106" s="18">
        <f t="shared" ref="G106" si="58">G85+G88+G98+G101+G105</f>
        <v>6414204</v>
      </c>
      <c r="H106" s="125">
        <f t="shared" si="42"/>
        <v>0.50114202682141828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5.5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5.5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5.5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8.25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5.5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5.5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5.5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5.5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5.5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5.5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5.5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275</v>
      </c>
      <c r="C123" s="15"/>
      <c r="D123" s="15">
        <v>2170000</v>
      </c>
      <c r="E123" s="15">
        <v>-221672</v>
      </c>
      <c r="F123" s="15">
        <f t="shared" si="41"/>
        <v>1948328</v>
      </c>
      <c r="G123" s="15"/>
      <c r="H123" s="124"/>
    </row>
    <row r="124" spans="1:8" ht="38.25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2170000</v>
      </c>
      <c r="E124" s="18">
        <f t="shared" si="70"/>
        <v>-221672</v>
      </c>
      <c r="F124" s="18">
        <f t="shared" si="70"/>
        <v>1948328</v>
      </c>
      <c r="G124" s="18">
        <f t="shared" si="70"/>
        <v>0</v>
      </c>
      <c r="H124" s="125">
        <f t="shared" si="42"/>
        <v>0</v>
      </c>
    </row>
    <row r="125" spans="1:8" s="128" customFormat="1">
      <c r="A125" s="20">
        <v>192</v>
      </c>
      <c r="B125" s="19" t="s">
        <v>466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5.5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5.5">
      <c r="A128" s="13" t="s">
        <v>143</v>
      </c>
      <c r="B128" s="14" t="s">
        <v>144</v>
      </c>
      <c r="C128" s="15">
        <v>445640</v>
      </c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5.5">
      <c r="A129" s="13" t="s">
        <v>145</v>
      </c>
      <c r="B129" s="14" t="s">
        <v>146</v>
      </c>
      <c r="C129" s="15">
        <v>120323</v>
      </c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565963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5.5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5.5">
      <c r="A135" s="16" t="s">
        <v>157</v>
      </c>
      <c r="B135" s="17" t="s">
        <v>158</v>
      </c>
      <c r="C135" s="18">
        <f t="shared" ref="C135:E135" si="74">C77+C78+C106+C113+C124+C130+C134</f>
        <v>18526012</v>
      </c>
      <c r="D135" s="18">
        <f t="shared" si="74"/>
        <v>19587000</v>
      </c>
      <c r="E135" s="18">
        <f t="shared" si="74"/>
        <v>-4618142</v>
      </c>
      <c r="F135" s="18">
        <f t="shared" si="41"/>
        <v>14968858</v>
      </c>
      <c r="G135" s="18">
        <f t="shared" ref="G135" si="75">G77+G78+G106+G113+G124+G130+G134</f>
        <v>6635560</v>
      </c>
      <c r="H135" s="125">
        <f t="shared" si="42"/>
        <v>0.44329099788373971</v>
      </c>
    </row>
    <row r="136" spans="1:8" ht="25.5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5.5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5.5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5.5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18526012</v>
      </c>
      <c r="D140" s="18">
        <f t="shared" si="80"/>
        <v>19587000</v>
      </c>
      <c r="E140" s="18">
        <f t="shared" si="80"/>
        <v>-4618142</v>
      </c>
      <c r="F140" s="18">
        <f t="shared" si="41"/>
        <v>14968858</v>
      </c>
      <c r="G140" s="18">
        <f t="shared" ref="G140" si="81">G135+G139</f>
        <v>6635560</v>
      </c>
      <c r="H140" s="125">
        <f t="shared" si="42"/>
        <v>0.44329099788373971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40"/>
  <sheetViews>
    <sheetView view="pageBreakPreview" topLeftCell="A70" zoomScale="70" zoomScaleNormal="100" zoomScaleSheetLayoutView="70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10.44140625" customWidth="1"/>
    <col min="6" max="6" width="10.77734375" customWidth="1"/>
    <col min="8" max="8" width="12" style="126" customWidth="1"/>
  </cols>
  <sheetData>
    <row r="1" spans="1:8">
      <c r="A1" s="140" t="s">
        <v>444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25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8.25">
      <c r="A8" s="13" t="s">
        <v>176</v>
      </c>
      <c r="B8" s="14" t="s">
        <v>177</v>
      </c>
      <c r="C8" s="15">
        <v>2547000</v>
      </c>
      <c r="D8" s="15">
        <v>4400000</v>
      </c>
      <c r="E8" s="15">
        <v>-958400</v>
      </c>
      <c r="F8" s="15">
        <f t="shared" si="0"/>
        <v>3441600</v>
      </c>
      <c r="G8" s="15">
        <v>1768982</v>
      </c>
      <c r="H8" s="124">
        <f t="shared" si="1"/>
        <v>0.5139998837749884</v>
      </c>
    </row>
    <row r="9" spans="1:8" ht="25.5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 t="shared" ref="C12:E12" si="2">SUM(C6:C11)</f>
        <v>2547000</v>
      </c>
      <c r="D12" s="15">
        <f t="shared" si="2"/>
        <v>4400000</v>
      </c>
      <c r="E12" s="15">
        <f t="shared" si="2"/>
        <v>-958400</v>
      </c>
      <c r="F12" s="15">
        <f t="shared" si="0"/>
        <v>3441600</v>
      </c>
      <c r="G12" s="15">
        <f t="shared" ref="G12" si="3">SUM(G6:G11)</f>
        <v>1768982</v>
      </c>
      <c r="H12" s="124">
        <f t="shared" si="1"/>
        <v>0.5139998837749884</v>
      </c>
    </row>
    <row r="13" spans="1:8" ht="25.5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 t="shared" ref="C20:G20" si="6">C12+C13</f>
        <v>2547000</v>
      </c>
      <c r="D20" s="18">
        <f t="shared" si="6"/>
        <v>4400000</v>
      </c>
      <c r="E20" s="18">
        <f t="shared" si="6"/>
        <v>-958400</v>
      </c>
      <c r="F20" s="18">
        <f t="shared" si="0"/>
        <v>3441600</v>
      </c>
      <c r="G20" s="18">
        <f t="shared" si="6"/>
        <v>1768982</v>
      </c>
      <c r="H20" s="125">
        <f t="shared" si="1"/>
        <v>0.5139998837749884</v>
      </c>
    </row>
    <row r="21" spans="1:8" ht="25.5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8.25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5.5">
      <c r="A49" s="16">
        <v>231</v>
      </c>
      <c r="B49" s="17" t="s">
        <v>460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8.25">
      <c r="A50" s="20">
        <v>232</v>
      </c>
      <c r="B50" s="19" t="s">
        <v>459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5.5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5.5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5.5">
      <c r="A56" s="16" t="s">
        <v>253</v>
      </c>
      <c r="B56" s="17" t="s">
        <v>254</v>
      </c>
      <c r="C56" s="18">
        <f t="shared" ref="C56:E56" si="30">C55+C46+C48+C36+C20+C22</f>
        <v>2547000</v>
      </c>
      <c r="D56" s="18">
        <f t="shared" si="30"/>
        <v>4400000</v>
      </c>
      <c r="E56" s="18">
        <f t="shared" si="30"/>
        <v>-958400</v>
      </c>
      <c r="F56" s="18">
        <f t="shared" si="0"/>
        <v>3441600</v>
      </c>
      <c r="G56" s="18">
        <f t="shared" ref="G56" si="31">G55+G46+G48+G36+G20+G22</f>
        <v>1768982</v>
      </c>
      <c r="H56" s="125">
        <f t="shared" si="1"/>
        <v>0.5139998837749884</v>
      </c>
    </row>
    <row r="57" spans="1:8" ht="25.5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412</v>
      </c>
      <c r="C60" s="15"/>
      <c r="D60" s="15"/>
      <c r="E60" s="15"/>
      <c r="F60" s="15"/>
      <c r="G60" s="15"/>
      <c r="H60" s="124"/>
    </row>
    <row r="61" spans="1:8" ht="25.5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5.5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2547000</v>
      </c>
      <c r="D63" s="18">
        <f t="shared" si="37"/>
        <v>4400000</v>
      </c>
      <c r="E63" s="18">
        <f t="shared" si="37"/>
        <v>-958400</v>
      </c>
      <c r="F63" s="18">
        <f t="shared" si="0"/>
        <v>3441600</v>
      </c>
      <c r="G63" s="18">
        <f t="shared" ref="G63" si="38">G56+G62</f>
        <v>1768982</v>
      </c>
      <c r="H63" s="125">
        <f t="shared" si="1"/>
        <v>0.5139998837749884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457</v>
      </c>
      <c r="G65" s="12" t="s">
        <v>273</v>
      </c>
      <c r="H65" s="123" t="s">
        <v>274</v>
      </c>
    </row>
    <row r="66" spans="1:8" ht="25.5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5.5">
      <c r="A67" s="21" t="s">
        <v>178</v>
      </c>
      <c r="B67" s="14" t="s">
        <v>282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5.5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5.5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8.25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0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5.5">
      <c r="A78" s="16" t="s">
        <v>53</v>
      </c>
      <c r="B78" s="17" t="s">
        <v>54</v>
      </c>
      <c r="C78" s="18">
        <f t="shared" ref="C78:E78" si="47">SUM(C79:C82)</f>
        <v>0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5.5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/>
      <c r="D84" s="15"/>
      <c r="E84" s="15"/>
      <c r="F84" s="15">
        <f t="shared" si="41"/>
        <v>0</v>
      </c>
      <c r="G84" s="15"/>
      <c r="H84" s="124" t="e">
        <f t="shared" si="42"/>
        <v>#DIV/0!</v>
      </c>
    </row>
    <row r="85" spans="1:8">
      <c r="A85" s="13" t="s">
        <v>67</v>
      </c>
      <c r="B85" s="14" t="s">
        <v>68</v>
      </c>
      <c r="C85" s="15">
        <f t="shared" ref="C85:E85" si="49">SUM(C83:C84)</f>
        <v>0</v>
      </c>
      <c r="D85" s="15">
        <f t="shared" si="49"/>
        <v>0</v>
      </c>
      <c r="E85" s="15">
        <f t="shared" si="49"/>
        <v>0</v>
      </c>
      <c r="F85" s="15">
        <f t="shared" si="41"/>
        <v>0</v>
      </c>
      <c r="G85" s="15">
        <f t="shared" ref="G85" si="50">SUM(G83:G84)</f>
        <v>0</v>
      </c>
      <c r="H85" s="124" t="e">
        <f t="shared" si="42"/>
        <v>#DIV/0!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/>
      <c r="D89" s="15"/>
      <c r="E89" s="15"/>
      <c r="F89" s="15">
        <f t="shared" si="41"/>
        <v>0</v>
      </c>
      <c r="G89" s="15"/>
      <c r="H89" s="124" t="e">
        <f t="shared" si="42"/>
        <v>#DIV/0!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276</v>
      </c>
      <c r="B91" s="19" t="s">
        <v>277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5.5">
      <c r="A95" s="13" t="s">
        <v>85</v>
      </c>
      <c r="B95" s="14" t="s">
        <v>86</v>
      </c>
      <c r="C95" s="15">
        <v>4511000</v>
      </c>
      <c r="D95" s="15">
        <v>4400000</v>
      </c>
      <c r="E95" s="15">
        <v>-958400</v>
      </c>
      <c r="F95" s="15">
        <f t="shared" si="41"/>
        <v>3441600</v>
      </c>
      <c r="G95" s="15">
        <v>1879750</v>
      </c>
      <c r="H95" s="124">
        <f t="shared" si="42"/>
        <v>0.54618491399349145</v>
      </c>
    </row>
    <row r="96" spans="1:8">
      <c r="A96" s="13" t="s">
        <v>87</v>
      </c>
      <c r="B96" s="14" t="s">
        <v>88</v>
      </c>
      <c r="C96" s="15"/>
      <c r="D96" s="15"/>
      <c r="E96" s="15"/>
      <c r="F96" s="15">
        <f t="shared" si="41"/>
        <v>0</v>
      </c>
      <c r="G96" s="15"/>
      <c r="H96" s="124" t="e">
        <f t="shared" si="42"/>
        <v>#DIV/0!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5.5">
      <c r="A98" s="13" t="s">
        <v>91</v>
      </c>
      <c r="B98" s="14" t="s">
        <v>92</v>
      </c>
      <c r="C98" s="15">
        <f>C89+C90+C92+C93+C95+C96+C91</f>
        <v>4511000</v>
      </c>
      <c r="D98" s="15">
        <f t="shared" ref="D98:G98" si="53">D89+D90+D92+D93+D95+D96+D91</f>
        <v>4400000</v>
      </c>
      <c r="E98" s="15">
        <f t="shared" si="53"/>
        <v>-958400</v>
      </c>
      <c r="F98" s="15">
        <f t="shared" si="53"/>
        <v>3441600</v>
      </c>
      <c r="G98" s="15">
        <f t="shared" si="53"/>
        <v>1879750</v>
      </c>
      <c r="H98" s="124">
        <f t="shared" si="42"/>
        <v>0.54618491399349145</v>
      </c>
    </row>
    <row r="99" spans="1:8">
      <c r="A99" s="13" t="s">
        <v>280</v>
      </c>
      <c r="B99" s="14" t="s">
        <v>281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5.5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5.5">
      <c r="A102" s="13" t="s">
        <v>97</v>
      </c>
      <c r="B102" s="14" t="s">
        <v>98</v>
      </c>
      <c r="C102" s="15"/>
      <c r="D102" s="15"/>
      <c r="E102" s="15"/>
      <c r="F102" s="15">
        <f t="shared" si="41"/>
        <v>0</v>
      </c>
      <c r="G102" s="15"/>
      <c r="H102" s="124" t="e">
        <f t="shared" si="42"/>
        <v>#DIV/0!</v>
      </c>
    </row>
    <row r="103" spans="1:8" s="122" customFormat="1">
      <c r="A103" s="13">
        <v>52</v>
      </c>
      <c r="B103" s="14" t="s">
        <v>458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5.5">
      <c r="A105" s="13" t="s">
        <v>101</v>
      </c>
      <c r="B105" s="14" t="s">
        <v>102</v>
      </c>
      <c r="C105" s="15">
        <f t="shared" ref="C105:E105" si="55">SUM(C102:C104)</f>
        <v>0</v>
      </c>
      <c r="D105" s="15">
        <f t="shared" si="55"/>
        <v>0</v>
      </c>
      <c r="E105" s="15">
        <f t="shared" si="55"/>
        <v>0</v>
      </c>
      <c r="F105" s="15">
        <f t="shared" si="41"/>
        <v>0</v>
      </c>
      <c r="G105" s="15">
        <f t="shared" ref="G105" si="56">SUM(G102:G104)</f>
        <v>0</v>
      </c>
      <c r="H105" s="124" t="e">
        <f t="shared" si="42"/>
        <v>#DIV/0!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4511000</v>
      </c>
      <c r="D106" s="18">
        <f t="shared" si="57"/>
        <v>4400000</v>
      </c>
      <c r="E106" s="18">
        <f t="shared" si="57"/>
        <v>-958400</v>
      </c>
      <c r="F106" s="18">
        <f t="shared" si="41"/>
        <v>3441600</v>
      </c>
      <c r="G106" s="18">
        <f t="shared" ref="G106" si="58">G85+G88+G98+G101+G105</f>
        <v>1879750</v>
      </c>
      <c r="H106" s="125">
        <f t="shared" si="42"/>
        <v>0.54618491399349145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5.5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5.5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5.5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8.25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5.5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5.5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5.5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5.5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5.5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5.5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5.5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275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8.25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466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5.5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5.5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5.5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5.5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5.5">
      <c r="A135" s="16" t="s">
        <v>157</v>
      </c>
      <c r="B135" s="17" t="s">
        <v>158</v>
      </c>
      <c r="C135" s="18">
        <f t="shared" ref="C135:E135" si="74">C77+C78+C106+C113+C124+C130+C134</f>
        <v>4511000</v>
      </c>
      <c r="D135" s="18">
        <f t="shared" si="74"/>
        <v>4400000</v>
      </c>
      <c r="E135" s="18">
        <f t="shared" si="74"/>
        <v>-958400</v>
      </c>
      <c r="F135" s="18">
        <f t="shared" si="41"/>
        <v>3441600</v>
      </c>
      <c r="G135" s="18">
        <f t="shared" ref="G135" si="75">G77+G78+G106+G113+G124+G130+G134</f>
        <v>1879750</v>
      </c>
      <c r="H135" s="125">
        <f t="shared" si="42"/>
        <v>0.54618491399349145</v>
      </c>
    </row>
    <row r="136" spans="1:8" ht="25.5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5.5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5.5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5.5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4511000</v>
      </c>
      <c r="D140" s="18">
        <f t="shared" si="80"/>
        <v>4400000</v>
      </c>
      <c r="E140" s="18">
        <f t="shared" si="80"/>
        <v>-958400</v>
      </c>
      <c r="F140" s="18">
        <f t="shared" si="41"/>
        <v>3441600</v>
      </c>
      <c r="G140" s="18">
        <f t="shared" ref="G140" si="81">G135+G139</f>
        <v>1879750</v>
      </c>
      <c r="H140" s="125">
        <f t="shared" si="42"/>
        <v>0.54618491399349145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40"/>
  <sheetViews>
    <sheetView view="pageBreakPreview" zoomScale="70" zoomScaleNormal="100" zoomScaleSheetLayoutView="70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9.6640625" customWidth="1"/>
    <col min="6" max="6" width="10.77734375" customWidth="1"/>
    <col min="8" max="8" width="11.21875" style="126" customWidth="1"/>
  </cols>
  <sheetData>
    <row r="1" spans="1:8">
      <c r="A1" s="140" t="s">
        <v>445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26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8.25">
      <c r="A8" s="13" t="s">
        <v>176</v>
      </c>
      <c r="B8" s="14" t="s">
        <v>177</v>
      </c>
      <c r="C8" s="15">
        <v>8870000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5.5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 t="shared" ref="C12:E12" si="2">SUM(C6:C11)</f>
        <v>8870000</v>
      </c>
      <c r="D12" s="15">
        <f t="shared" si="2"/>
        <v>0</v>
      </c>
      <c r="E12" s="15">
        <f t="shared" si="2"/>
        <v>0</v>
      </c>
      <c r="F12" s="15">
        <f t="shared" si="0"/>
        <v>0</v>
      </c>
      <c r="G12" s="15">
        <f t="shared" ref="G12" si="3">SUM(G6:G11)</f>
        <v>0</v>
      </c>
      <c r="H12" s="124" t="e">
        <f t="shared" si="1"/>
        <v>#DIV/0!</v>
      </c>
    </row>
    <row r="13" spans="1:8" ht="25.5">
      <c r="A13" s="13" t="s">
        <v>67</v>
      </c>
      <c r="B13" s="14" t="s">
        <v>185</v>
      </c>
      <c r="C13" s="15">
        <f t="shared" ref="C13:E13" si="4">SUM(C14:C19)</f>
        <v>1513800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75240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75240</v>
      </c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1513800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 t="shared" ref="C20:G20" si="6">C12+C13</f>
        <v>10383800</v>
      </c>
      <c r="D20" s="18">
        <f t="shared" si="6"/>
        <v>0</v>
      </c>
      <c r="E20" s="18">
        <f t="shared" si="6"/>
        <v>0</v>
      </c>
      <c r="F20" s="18">
        <f t="shared" si="0"/>
        <v>0</v>
      </c>
      <c r="G20" s="18">
        <f t="shared" si="6"/>
        <v>75240</v>
      </c>
      <c r="H20" s="125" t="e">
        <f t="shared" si="1"/>
        <v>#DIV/0!</v>
      </c>
    </row>
    <row r="21" spans="1:8" ht="25.5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8.25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5.5">
      <c r="A49" s="16">
        <v>231</v>
      </c>
      <c r="B49" s="17" t="s">
        <v>460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8.25">
      <c r="A50" s="20">
        <v>232</v>
      </c>
      <c r="B50" s="19" t="s">
        <v>459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5.5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5.5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5.5">
      <c r="A56" s="16" t="s">
        <v>253</v>
      </c>
      <c r="B56" s="17" t="s">
        <v>254</v>
      </c>
      <c r="C56" s="18">
        <f t="shared" ref="C56:E56" si="30">C55+C46+C48+C36+C20+C22</f>
        <v>10383800</v>
      </c>
      <c r="D56" s="18">
        <f t="shared" si="30"/>
        <v>0</v>
      </c>
      <c r="E56" s="18">
        <f t="shared" si="30"/>
        <v>0</v>
      </c>
      <c r="F56" s="18">
        <f t="shared" si="0"/>
        <v>0</v>
      </c>
      <c r="G56" s="18">
        <f t="shared" ref="G56" si="31">G55+G46+G48+G36+G20+G22</f>
        <v>75240</v>
      </c>
      <c r="H56" s="125" t="e">
        <f t="shared" si="1"/>
        <v>#DIV/0!</v>
      </c>
    </row>
    <row r="57" spans="1:8" ht="25.5">
      <c r="A57" s="13" t="s">
        <v>255</v>
      </c>
      <c r="B57" s="14" t="s">
        <v>256</v>
      </c>
      <c r="C57" s="15"/>
      <c r="D57" s="15">
        <v>0</v>
      </c>
      <c r="E57" s="15">
        <v>75240</v>
      </c>
      <c r="F57" s="15">
        <f t="shared" si="0"/>
        <v>75240</v>
      </c>
      <c r="G57" s="15">
        <v>75240</v>
      </c>
      <c r="H57" s="124">
        <f t="shared" si="1"/>
        <v>1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75240</v>
      </c>
      <c r="F58" s="15">
        <f t="shared" si="0"/>
        <v>75240</v>
      </c>
      <c r="G58" s="15">
        <f t="shared" ref="G58" si="33">SUM(G57)</f>
        <v>75240</v>
      </c>
      <c r="H58" s="124">
        <f t="shared" si="1"/>
        <v>1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412</v>
      </c>
      <c r="C60" s="15"/>
      <c r="D60" s="15"/>
      <c r="E60" s="15"/>
      <c r="F60" s="15"/>
      <c r="G60" s="15"/>
      <c r="H60" s="124"/>
    </row>
    <row r="61" spans="1:8" ht="25.5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75240</v>
      </c>
      <c r="F61" s="15">
        <f t="shared" si="0"/>
        <v>75240</v>
      </c>
      <c r="G61" s="15">
        <f>SUM(G58:G60)</f>
        <v>75240</v>
      </c>
      <c r="H61" s="124">
        <f t="shared" si="1"/>
        <v>1</v>
      </c>
    </row>
    <row r="62" spans="1:8" ht="25.5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75240</v>
      </c>
      <c r="F62" s="18">
        <f t="shared" si="0"/>
        <v>75240</v>
      </c>
      <c r="G62" s="18">
        <f t="shared" ref="G62" si="36">SUM(G61)</f>
        <v>75240</v>
      </c>
      <c r="H62" s="125">
        <f t="shared" si="1"/>
        <v>1</v>
      </c>
    </row>
    <row r="63" spans="1:8">
      <c r="A63" s="16" t="s">
        <v>264</v>
      </c>
      <c r="B63" s="17" t="s">
        <v>265</v>
      </c>
      <c r="C63" s="18">
        <f t="shared" ref="C63:E63" si="37">C56+C62</f>
        <v>10383800</v>
      </c>
      <c r="D63" s="18">
        <f t="shared" si="37"/>
        <v>0</v>
      </c>
      <c r="E63" s="18">
        <f t="shared" si="37"/>
        <v>75240</v>
      </c>
      <c r="F63" s="18">
        <f t="shared" si="0"/>
        <v>75240</v>
      </c>
      <c r="G63" s="18">
        <f t="shared" ref="G63" si="38">G56+G62</f>
        <v>150480</v>
      </c>
      <c r="H63" s="125">
        <f t="shared" si="1"/>
        <v>2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457</v>
      </c>
      <c r="G65" s="12" t="s">
        <v>273</v>
      </c>
      <c r="H65" s="123" t="s">
        <v>274</v>
      </c>
    </row>
    <row r="66" spans="1:8" ht="25.5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5.5">
      <c r="A67" s="21" t="s">
        <v>178</v>
      </c>
      <c r="B67" s="14" t="s">
        <v>282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5.5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5.5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8.25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0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5.5">
      <c r="A78" s="16" t="s">
        <v>53</v>
      </c>
      <c r="B78" s="17" t="s">
        <v>54</v>
      </c>
      <c r="C78" s="18">
        <f t="shared" ref="C78:E78" si="47">SUM(C79:C82)</f>
        <v>0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5.5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/>
      <c r="D84" s="15"/>
      <c r="E84" s="15"/>
      <c r="F84" s="15">
        <f t="shared" si="41"/>
        <v>0</v>
      </c>
      <c r="G84" s="15"/>
      <c r="H84" s="124" t="e">
        <f t="shared" si="42"/>
        <v>#DIV/0!</v>
      </c>
    </row>
    <row r="85" spans="1:8">
      <c r="A85" s="13" t="s">
        <v>67</v>
      </c>
      <c r="B85" s="14" t="s">
        <v>68</v>
      </c>
      <c r="C85" s="15">
        <f t="shared" ref="C85:E85" si="49">SUM(C83:C84)</f>
        <v>0</v>
      </c>
      <c r="D85" s="15">
        <f t="shared" si="49"/>
        <v>0</v>
      </c>
      <c r="E85" s="15">
        <f t="shared" si="49"/>
        <v>0</v>
      </c>
      <c r="F85" s="15">
        <f t="shared" si="41"/>
        <v>0</v>
      </c>
      <c r="G85" s="15">
        <f t="shared" ref="G85" si="50">SUM(G83:G84)</f>
        <v>0</v>
      </c>
      <c r="H85" s="124" t="e">
        <f t="shared" si="42"/>
        <v>#DIV/0!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/>
      <c r="D89" s="15"/>
      <c r="E89" s="15"/>
      <c r="F89" s="15">
        <f t="shared" si="41"/>
        <v>0</v>
      </c>
      <c r="G89" s="15"/>
      <c r="H89" s="124" t="e">
        <f t="shared" si="42"/>
        <v>#DIV/0!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276</v>
      </c>
      <c r="B91" s="19" t="s">
        <v>277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5.5">
      <c r="A95" s="13" t="s">
        <v>85</v>
      </c>
      <c r="B95" s="14" t="s">
        <v>86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/>
      <c r="D96" s="15"/>
      <c r="E96" s="15"/>
      <c r="F96" s="15">
        <f t="shared" si="41"/>
        <v>0</v>
      </c>
      <c r="G96" s="15"/>
      <c r="H96" s="124" t="e">
        <f t="shared" si="42"/>
        <v>#DIV/0!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5.5">
      <c r="A98" s="13" t="s">
        <v>91</v>
      </c>
      <c r="B98" s="14" t="s">
        <v>92</v>
      </c>
      <c r="C98" s="15">
        <f>C89+C90+C92+C93+C95+C96+C91</f>
        <v>0</v>
      </c>
      <c r="D98" s="15">
        <f t="shared" ref="D98:G98" si="53">D89+D90+D92+D93+D95+D96+D91</f>
        <v>0</v>
      </c>
      <c r="E98" s="15">
        <f t="shared" si="53"/>
        <v>0</v>
      </c>
      <c r="F98" s="15">
        <f t="shared" si="53"/>
        <v>0</v>
      </c>
      <c r="G98" s="15">
        <f t="shared" si="53"/>
        <v>0</v>
      </c>
      <c r="H98" s="124" t="e">
        <f t="shared" si="42"/>
        <v>#DIV/0!</v>
      </c>
    </row>
    <row r="99" spans="1:8">
      <c r="A99" s="13" t="s">
        <v>280</v>
      </c>
      <c r="B99" s="14" t="s">
        <v>281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5.5">
      <c r="A101" s="13" t="s">
        <v>95</v>
      </c>
      <c r="B101" s="14" t="s">
        <v>96</v>
      </c>
      <c r="C101" s="15">
        <f>SUM(C99:C100)</f>
        <v>0</v>
      </c>
      <c r="D101" s="15">
        <f t="shared" ref="D101:H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54"/>
        <v>#DIV/0!</v>
      </c>
    </row>
    <row r="102" spans="1:8" ht="25.5">
      <c r="A102" s="13" t="s">
        <v>97</v>
      </c>
      <c r="B102" s="14" t="s">
        <v>98</v>
      </c>
      <c r="C102" s="15"/>
      <c r="D102" s="15"/>
      <c r="E102" s="15"/>
      <c r="F102" s="15">
        <f t="shared" si="41"/>
        <v>0</v>
      </c>
      <c r="G102" s="15"/>
      <c r="H102" s="124" t="e">
        <f t="shared" si="42"/>
        <v>#DIV/0!</v>
      </c>
    </row>
    <row r="103" spans="1:8" s="122" customFormat="1">
      <c r="A103" s="13">
        <v>52</v>
      </c>
      <c r="B103" s="14" t="s">
        <v>458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5.5">
      <c r="A105" s="13" t="s">
        <v>101</v>
      </c>
      <c r="B105" s="14" t="s">
        <v>102</v>
      </c>
      <c r="C105" s="15">
        <f t="shared" ref="C105:E105" si="55">SUM(C102:C104)</f>
        <v>0</v>
      </c>
      <c r="D105" s="15">
        <f t="shared" si="55"/>
        <v>0</v>
      </c>
      <c r="E105" s="15">
        <f t="shared" si="55"/>
        <v>0</v>
      </c>
      <c r="F105" s="15">
        <f t="shared" si="41"/>
        <v>0</v>
      </c>
      <c r="G105" s="15">
        <f t="shared" ref="G105" si="56">SUM(G102:G104)</f>
        <v>0</v>
      </c>
      <c r="H105" s="124" t="e">
        <f t="shared" si="42"/>
        <v>#DIV/0!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0</v>
      </c>
      <c r="D106" s="18">
        <f t="shared" si="57"/>
        <v>0</v>
      </c>
      <c r="E106" s="18">
        <f t="shared" si="57"/>
        <v>0</v>
      </c>
      <c r="F106" s="18">
        <f t="shared" si="41"/>
        <v>0</v>
      </c>
      <c r="G106" s="18">
        <f t="shared" ref="G106" si="58">G85+G88+G98+G101+G105</f>
        <v>0</v>
      </c>
      <c r="H106" s="125" t="e">
        <f t="shared" si="42"/>
        <v>#DIV/0!</v>
      </c>
    </row>
    <row r="107" spans="1:8">
      <c r="A107" s="13" t="s">
        <v>105</v>
      </c>
      <c r="B107" s="14" t="s">
        <v>106</v>
      </c>
      <c r="C107" s="15">
        <f t="shared" ref="C107:E107" si="59">SUM(C108)</f>
        <v>1513800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5.5">
      <c r="A108" s="13" t="s">
        <v>107</v>
      </c>
      <c r="B108" s="14" t="s">
        <v>108</v>
      </c>
      <c r="C108" s="15">
        <v>1513800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5.5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75240</v>
      </c>
      <c r="F109" s="15">
        <f t="shared" si="41"/>
        <v>75240</v>
      </c>
      <c r="G109" s="15">
        <f t="shared" ref="G109" si="62">SUM(G110:G112)</f>
        <v>75240</v>
      </c>
      <c r="H109" s="124">
        <f t="shared" si="42"/>
        <v>1</v>
      </c>
    </row>
    <row r="110" spans="1:8" ht="25.5">
      <c r="A110" s="13" t="s">
        <v>111</v>
      </c>
      <c r="B110" s="14" t="s">
        <v>112</v>
      </c>
      <c r="C110" s="15">
        <v>0</v>
      </c>
      <c r="D110" s="15">
        <v>0</v>
      </c>
      <c r="E110" s="15">
        <v>75240</v>
      </c>
      <c r="F110" s="15">
        <f t="shared" si="41"/>
        <v>75240</v>
      </c>
      <c r="G110" s="15">
        <v>75240</v>
      </c>
      <c r="H110" s="124">
        <f t="shared" si="42"/>
        <v>1</v>
      </c>
    </row>
    <row r="111" spans="1:8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8.25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5.5">
      <c r="A113" s="16" t="s">
        <v>117</v>
      </c>
      <c r="B113" s="17" t="s">
        <v>118</v>
      </c>
      <c r="C113" s="18">
        <f t="shared" ref="C113:G113" si="63">C107+C109</f>
        <v>1513800</v>
      </c>
      <c r="D113" s="18">
        <f t="shared" si="63"/>
        <v>0</v>
      </c>
      <c r="E113" s="18">
        <f t="shared" si="63"/>
        <v>75240</v>
      </c>
      <c r="F113" s="18">
        <f t="shared" si="41"/>
        <v>75240</v>
      </c>
      <c r="G113" s="18">
        <f t="shared" si="63"/>
        <v>75240</v>
      </c>
      <c r="H113" s="125">
        <f t="shared" si="42"/>
        <v>1</v>
      </c>
    </row>
    <row r="114" spans="1:8" ht="25.5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5.5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5.5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5.5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5.5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5.5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275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8.25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466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5.5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5.5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5.5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5.5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5.5">
      <c r="A135" s="16" t="s">
        <v>157</v>
      </c>
      <c r="B135" s="17" t="s">
        <v>158</v>
      </c>
      <c r="C135" s="18">
        <f t="shared" ref="C135:E135" si="74">C77+C78+C106+C113+C124+C130+C134</f>
        <v>1513800</v>
      </c>
      <c r="D135" s="18">
        <f t="shared" si="74"/>
        <v>0</v>
      </c>
      <c r="E135" s="18">
        <f t="shared" si="74"/>
        <v>75240</v>
      </c>
      <c r="F135" s="18">
        <f t="shared" si="41"/>
        <v>75240</v>
      </c>
      <c r="G135" s="18">
        <f t="shared" ref="G135" si="75">G77+G78+G106+G113+G124+G130+G134</f>
        <v>75240</v>
      </c>
      <c r="H135" s="125">
        <f t="shared" si="42"/>
        <v>1</v>
      </c>
    </row>
    <row r="136" spans="1:8" ht="25.5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5.5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5.5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5.5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1513800</v>
      </c>
      <c r="D140" s="18">
        <f t="shared" si="80"/>
        <v>0</v>
      </c>
      <c r="E140" s="18">
        <f t="shared" si="80"/>
        <v>75240</v>
      </c>
      <c r="F140" s="18">
        <f t="shared" si="41"/>
        <v>75240</v>
      </c>
      <c r="G140" s="18">
        <f t="shared" ref="G140" si="81">G135+G139</f>
        <v>75240</v>
      </c>
      <c r="H140" s="125">
        <f t="shared" si="42"/>
        <v>1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40"/>
  <sheetViews>
    <sheetView view="pageBreakPreview" topLeftCell="A82" zoomScale="70" zoomScaleNormal="100" zoomScaleSheetLayoutView="70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10.33203125" customWidth="1"/>
    <col min="6" max="6" width="10.21875" customWidth="1"/>
    <col min="8" max="8" width="11.44140625" style="126" customWidth="1"/>
  </cols>
  <sheetData>
    <row r="1" spans="1:8">
      <c r="A1" s="140" t="s">
        <v>446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27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8.25">
      <c r="A8" s="13" t="s">
        <v>176</v>
      </c>
      <c r="B8" s="14" t="s">
        <v>177</v>
      </c>
      <c r="C8" s="15">
        <v>2548000</v>
      </c>
      <c r="D8" s="15">
        <v>11300000</v>
      </c>
      <c r="E8" s="15">
        <f>-75240-5581439</f>
        <v>-5656679</v>
      </c>
      <c r="F8" s="15">
        <f t="shared" si="0"/>
        <v>5643321</v>
      </c>
      <c r="G8" s="15">
        <v>2900667</v>
      </c>
      <c r="H8" s="124">
        <f t="shared" si="1"/>
        <v>0.51400000106320376</v>
      </c>
    </row>
    <row r="9" spans="1:8" ht="25.5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 t="shared" ref="C12:E12" si="2">SUM(C6:C11)</f>
        <v>2548000</v>
      </c>
      <c r="D12" s="15">
        <f t="shared" si="2"/>
        <v>11300000</v>
      </c>
      <c r="E12" s="15">
        <f t="shared" si="2"/>
        <v>-5656679</v>
      </c>
      <c r="F12" s="15">
        <f t="shared" si="0"/>
        <v>5643321</v>
      </c>
      <c r="G12" s="15">
        <f t="shared" ref="G12" si="3">SUM(G6:G11)</f>
        <v>2900667</v>
      </c>
      <c r="H12" s="124">
        <f t="shared" si="1"/>
        <v>0.51400000106320376</v>
      </c>
    </row>
    <row r="13" spans="1:8" ht="25.5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 t="shared" ref="C20:G20" si="6">C12+C13</f>
        <v>2548000</v>
      </c>
      <c r="D20" s="18">
        <f t="shared" si="6"/>
        <v>11300000</v>
      </c>
      <c r="E20" s="18">
        <f t="shared" si="6"/>
        <v>-5656679</v>
      </c>
      <c r="F20" s="18">
        <f t="shared" si="0"/>
        <v>5643321</v>
      </c>
      <c r="G20" s="18">
        <f t="shared" si="6"/>
        <v>2900667</v>
      </c>
      <c r="H20" s="125">
        <f t="shared" si="1"/>
        <v>0.51400000106320376</v>
      </c>
    </row>
    <row r="21" spans="1:8" ht="25.5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>
        <v>0</v>
      </c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>
        <v>16000</v>
      </c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8.25">
      <c r="A46" s="16" t="s">
        <v>237</v>
      </c>
      <c r="B46" s="17" t="s">
        <v>238</v>
      </c>
      <c r="C46" s="18">
        <f t="shared" ref="C46:E46" si="22">C37+C38+C39+C40+C41+C42+C44+C45</f>
        <v>16000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5.5">
      <c r="A49" s="16">
        <v>231</v>
      </c>
      <c r="B49" s="17" t="s">
        <v>460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8.25">
      <c r="A50" s="20">
        <v>232</v>
      </c>
      <c r="B50" s="19" t="s">
        <v>459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5.5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5.5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5.5">
      <c r="A56" s="16" t="s">
        <v>253</v>
      </c>
      <c r="B56" s="17" t="s">
        <v>254</v>
      </c>
      <c r="C56" s="18">
        <f t="shared" ref="C56:E56" si="30">C55+C46+C48+C36+C20+C22</f>
        <v>2564000</v>
      </c>
      <c r="D56" s="18">
        <f t="shared" si="30"/>
        <v>11300000</v>
      </c>
      <c r="E56" s="18">
        <f t="shared" si="30"/>
        <v>-5656679</v>
      </c>
      <c r="F56" s="18">
        <f t="shared" si="0"/>
        <v>5643321</v>
      </c>
      <c r="G56" s="18">
        <f t="shared" ref="G56" si="31">G55+G46+G48+G36+G20+G22</f>
        <v>2900667</v>
      </c>
      <c r="H56" s="125">
        <f t="shared" si="1"/>
        <v>0.51400000106320376</v>
      </c>
    </row>
    <row r="57" spans="1:8" ht="25.5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412</v>
      </c>
      <c r="C60" s="15"/>
      <c r="D60" s="15"/>
      <c r="E60" s="15"/>
      <c r="F60" s="15"/>
      <c r="G60" s="15"/>
      <c r="H60" s="124"/>
    </row>
    <row r="61" spans="1:8" ht="25.5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5.5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2564000</v>
      </c>
      <c r="D63" s="18">
        <f t="shared" si="37"/>
        <v>11300000</v>
      </c>
      <c r="E63" s="18">
        <f t="shared" si="37"/>
        <v>-5656679</v>
      </c>
      <c r="F63" s="18">
        <f t="shared" si="0"/>
        <v>5643321</v>
      </c>
      <c r="G63" s="18">
        <f t="shared" ref="G63" si="38">G56+G62</f>
        <v>2900667</v>
      </c>
      <c r="H63" s="125">
        <f t="shared" si="1"/>
        <v>0.51400000106320376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457</v>
      </c>
      <c r="G65" s="12" t="s">
        <v>273</v>
      </c>
      <c r="H65" s="123" t="s">
        <v>274</v>
      </c>
    </row>
    <row r="66" spans="1:8" ht="25.5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5.5">
      <c r="A67" s="21" t="s">
        <v>178</v>
      </c>
      <c r="B67" s="14" t="s">
        <v>282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5.5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5.5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8.25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0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5.5">
      <c r="A78" s="16" t="s">
        <v>53</v>
      </c>
      <c r="B78" s="17" t="s">
        <v>54</v>
      </c>
      <c r="C78" s="18">
        <f t="shared" ref="C78:E78" si="47">SUM(C79:C82)</f>
        <v>0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5.5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/>
      <c r="D84" s="15"/>
      <c r="E84" s="15"/>
      <c r="F84" s="15">
        <f t="shared" si="41"/>
        <v>0</v>
      </c>
      <c r="G84" s="15"/>
      <c r="H84" s="124" t="e">
        <f t="shared" si="42"/>
        <v>#DIV/0!</v>
      </c>
    </row>
    <row r="85" spans="1:8">
      <c r="A85" s="13" t="s">
        <v>67</v>
      </c>
      <c r="B85" s="14" t="s">
        <v>68</v>
      </c>
      <c r="C85" s="15">
        <f t="shared" ref="C85:E85" si="49">SUM(C83:C84)</f>
        <v>0</v>
      </c>
      <c r="D85" s="15">
        <f t="shared" si="49"/>
        <v>0</v>
      </c>
      <c r="E85" s="15">
        <f t="shared" si="49"/>
        <v>0</v>
      </c>
      <c r="F85" s="15">
        <f t="shared" si="41"/>
        <v>0</v>
      </c>
      <c r="G85" s="15">
        <f t="shared" ref="G85" si="50">SUM(G83:G84)</f>
        <v>0</v>
      </c>
      <c r="H85" s="124" t="e">
        <f t="shared" si="42"/>
        <v>#DIV/0!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/>
      <c r="D89" s="15"/>
      <c r="E89" s="15"/>
      <c r="F89" s="15">
        <f t="shared" si="41"/>
        <v>0</v>
      </c>
      <c r="G89" s="15"/>
      <c r="H89" s="124" t="e">
        <f t="shared" si="42"/>
        <v>#DIV/0!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276</v>
      </c>
      <c r="B91" s="19" t="s">
        <v>277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5.5">
      <c r="A95" s="13" t="s">
        <v>85</v>
      </c>
      <c r="B95" s="14" t="s">
        <v>86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/>
      <c r="D96" s="15"/>
      <c r="E96" s="15"/>
      <c r="F96" s="15">
        <f t="shared" si="41"/>
        <v>0</v>
      </c>
      <c r="G96" s="15"/>
      <c r="H96" s="124" t="e">
        <f t="shared" si="42"/>
        <v>#DIV/0!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5.5">
      <c r="A98" s="13" t="s">
        <v>91</v>
      </c>
      <c r="B98" s="14" t="s">
        <v>92</v>
      </c>
      <c r="C98" s="15">
        <f>C89+C90+C92+C93+C95+C96+C91</f>
        <v>0</v>
      </c>
      <c r="D98" s="15">
        <f t="shared" ref="D98:G98" si="53">D89+D90+D92+D93+D95+D96+D91</f>
        <v>0</v>
      </c>
      <c r="E98" s="15">
        <f t="shared" si="53"/>
        <v>0</v>
      </c>
      <c r="F98" s="15">
        <f t="shared" si="53"/>
        <v>0</v>
      </c>
      <c r="G98" s="15">
        <f t="shared" si="53"/>
        <v>0</v>
      </c>
      <c r="H98" s="124" t="e">
        <f t="shared" si="42"/>
        <v>#DIV/0!</v>
      </c>
    </row>
    <row r="99" spans="1:8">
      <c r="A99" s="13" t="s">
        <v>280</v>
      </c>
      <c r="B99" s="14" t="s">
        <v>281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5.5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5.5">
      <c r="A102" s="13" t="s">
        <v>97</v>
      </c>
      <c r="B102" s="14" t="s">
        <v>98</v>
      </c>
      <c r="C102" s="15"/>
      <c r="D102" s="15"/>
      <c r="E102" s="15"/>
      <c r="F102" s="15">
        <f t="shared" si="41"/>
        <v>0</v>
      </c>
      <c r="G102" s="15"/>
      <c r="H102" s="124" t="e">
        <f t="shared" si="42"/>
        <v>#DIV/0!</v>
      </c>
    </row>
    <row r="103" spans="1:8" s="122" customFormat="1">
      <c r="A103" s="13">
        <v>52</v>
      </c>
      <c r="B103" s="14" t="s">
        <v>458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5.5">
      <c r="A105" s="13" t="s">
        <v>101</v>
      </c>
      <c r="B105" s="14" t="s">
        <v>102</v>
      </c>
      <c r="C105" s="15">
        <f t="shared" ref="C105:E105" si="55">SUM(C102:C104)</f>
        <v>0</v>
      </c>
      <c r="D105" s="15">
        <f t="shared" si="55"/>
        <v>0</v>
      </c>
      <c r="E105" s="15">
        <f t="shared" si="55"/>
        <v>0</v>
      </c>
      <c r="F105" s="15">
        <f t="shared" si="41"/>
        <v>0</v>
      </c>
      <c r="G105" s="15">
        <f t="shared" ref="G105" si="56">SUM(G102:G104)</f>
        <v>0</v>
      </c>
      <c r="H105" s="124" t="e">
        <f t="shared" si="42"/>
        <v>#DIV/0!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0</v>
      </c>
      <c r="D106" s="18">
        <f t="shared" si="57"/>
        <v>0</v>
      </c>
      <c r="E106" s="18">
        <f t="shared" si="57"/>
        <v>0</v>
      </c>
      <c r="F106" s="18">
        <f t="shared" si="41"/>
        <v>0</v>
      </c>
      <c r="G106" s="18">
        <f t="shared" ref="G106" si="58">G85+G88+G98+G101+G105</f>
        <v>0</v>
      </c>
      <c r="H106" s="125" t="e">
        <f t="shared" si="42"/>
        <v>#DIV/0!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5.5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5.5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11300000</v>
      </c>
      <c r="E109" s="15">
        <f t="shared" si="61"/>
        <v>-5656679</v>
      </c>
      <c r="F109" s="15">
        <f t="shared" si="41"/>
        <v>5643321</v>
      </c>
      <c r="G109" s="15">
        <f t="shared" ref="G109" si="62">SUM(G110:G112)</f>
        <v>0</v>
      </c>
      <c r="H109" s="124">
        <f t="shared" si="42"/>
        <v>0</v>
      </c>
    </row>
    <row r="110" spans="1:8" ht="25.5">
      <c r="A110" s="13" t="s">
        <v>111</v>
      </c>
      <c r="B110" s="14" t="s">
        <v>112</v>
      </c>
      <c r="C110" s="15">
        <v>0</v>
      </c>
      <c r="D110" s="15">
        <v>2000000</v>
      </c>
      <c r="E110" s="15">
        <f>-75240-146500</f>
        <v>-221740</v>
      </c>
      <c r="F110" s="15">
        <f t="shared" si="41"/>
        <v>1778260</v>
      </c>
      <c r="G110" s="15">
        <v>0</v>
      </c>
      <c r="H110" s="124">
        <f t="shared" si="42"/>
        <v>0</v>
      </c>
    </row>
    <row r="111" spans="1:8">
      <c r="A111" s="13" t="s">
        <v>113</v>
      </c>
      <c r="B111" s="14" t="s">
        <v>114</v>
      </c>
      <c r="C111" s="15">
        <v>0</v>
      </c>
      <c r="D111" s="15">
        <v>8800000</v>
      </c>
      <c r="E111" s="15">
        <f>-316797-4618142</f>
        <v>-4934939</v>
      </c>
      <c r="F111" s="15">
        <f t="shared" si="41"/>
        <v>3865061</v>
      </c>
      <c r="G111" s="15">
        <v>0</v>
      </c>
      <c r="H111" s="124">
        <f t="shared" si="42"/>
        <v>0</v>
      </c>
    </row>
    <row r="112" spans="1:8" ht="38.25">
      <c r="A112" s="13" t="s">
        <v>115</v>
      </c>
      <c r="B112" s="14" t="s">
        <v>116</v>
      </c>
      <c r="C112" s="15">
        <v>0</v>
      </c>
      <c r="D112" s="15">
        <v>500000</v>
      </c>
      <c r="E112" s="15">
        <v>-500000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5.5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11300000</v>
      </c>
      <c r="E113" s="18">
        <f t="shared" si="63"/>
        <v>-5656679</v>
      </c>
      <c r="F113" s="18">
        <f t="shared" si="41"/>
        <v>5643321</v>
      </c>
      <c r="G113" s="18">
        <f t="shared" si="63"/>
        <v>0</v>
      </c>
      <c r="H113" s="125">
        <f t="shared" si="42"/>
        <v>0</v>
      </c>
    </row>
    <row r="114" spans="1:8" ht="25.5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5.5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5.5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5.5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5.5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5.5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275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8.25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466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5.5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5.5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5.5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5.5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5.5">
      <c r="A135" s="16" t="s">
        <v>157</v>
      </c>
      <c r="B135" s="17" t="s">
        <v>158</v>
      </c>
      <c r="C135" s="18">
        <f t="shared" ref="C135:E135" si="74">C77+C78+C106+C113+C124+C130+C134</f>
        <v>0</v>
      </c>
      <c r="D135" s="18">
        <f t="shared" si="74"/>
        <v>11300000</v>
      </c>
      <c r="E135" s="18">
        <f t="shared" si="74"/>
        <v>-5656679</v>
      </c>
      <c r="F135" s="18">
        <f t="shared" si="41"/>
        <v>5643321</v>
      </c>
      <c r="G135" s="18">
        <f t="shared" ref="G135" si="75">G77+G78+G106+G113+G124+G130+G134</f>
        <v>0</v>
      </c>
      <c r="H135" s="125">
        <f t="shared" si="42"/>
        <v>0</v>
      </c>
    </row>
    <row r="136" spans="1:8" ht="25.5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5.5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5.5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5.5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0</v>
      </c>
      <c r="D140" s="18">
        <f t="shared" si="80"/>
        <v>11300000</v>
      </c>
      <c r="E140" s="18">
        <f t="shared" si="80"/>
        <v>-5656679</v>
      </c>
      <c r="F140" s="18">
        <f t="shared" si="41"/>
        <v>5643321</v>
      </c>
      <c r="G140" s="18">
        <f t="shared" ref="G140" si="81">G135+G139</f>
        <v>0</v>
      </c>
      <c r="H140" s="125">
        <f t="shared" si="42"/>
        <v>0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2" orientation="portrait" r:id="rId1"/>
  <rowBreaks count="1" manualBreakCount="1">
    <brk id="91" max="7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dimension ref="A1:H140"/>
  <sheetViews>
    <sheetView view="pageBreakPreview" topLeftCell="A116" zoomScale="70" zoomScaleNormal="100" zoomScaleSheetLayoutView="70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10" customWidth="1"/>
    <col min="6" max="6" width="10.6640625" customWidth="1"/>
    <col min="8" max="8" width="12" style="126" customWidth="1"/>
  </cols>
  <sheetData>
    <row r="1" spans="1:8">
      <c r="A1" s="140" t="s">
        <v>447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28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8.25">
      <c r="A8" s="13" t="s">
        <v>176</v>
      </c>
      <c r="B8" s="14" t="s">
        <v>177</v>
      </c>
      <c r="C8" s="15">
        <v>0</v>
      </c>
      <c r="D8" s="15">
        <v>0</v>
      </c>
      <c r="E8" s="15">
        <f>5581439+4610642</f>
        <v>10192081</v>
      </c>
      <c r="F8" s="15">
        <f t="shared" si="0"/>
        <v>10192081</v>
      </c>
      <c r="G8" s="15">
        <v>5238730</v>
      </c>
      <c r="H8" s="124">
        <f t="shared" si="1"/>
        <v>0.51400003591023269</v>
      </c>
    </row>
    <row r="9" spans="1:8" ht="25.5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 t="shared" ref="C12:E12" si="2">SUM(C6:C11)</f>
        <v>0</v>
      </c>
      <c r="D12" s="15">
        <f t="shared" si="2"/>
        <v>0</v>
      </c>
      <c r="E12" s="15">
        <f t="shared" si="2"/>
        <v>10192081</v>
      </c>
      <c r="F12" s="15">
        <f t="shared" si="0"/>
        <v>10192081</v>
      </c>
      <c r="G12" s="15">
        <f t="shared" ref="G12" si="3">SUM(G6:G11)</f>
        <v>5238730</v>
      </c>
      <c r="H12" s="124">
        <f t="shared" si="1"/>
        <v>0.51400003591023269</v>
      </c>
    </row>
    <row r="13" spans="1:8" ht="25.5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 t="shared" ref="C20:G20" si="6">C12+C13</f>
        <v>0</v>
      </c>
      <c r="D20" s="18">
        <f t="shared" si="6"/>
        <v>0</v>
      </c>
      <c r="E20" s="18">
        <f t="shared" si="6"/>
        <v>10192081</v>
      </c>
      <c r="F20" s="18">
        <f t="shared" si="0"/>
        <v>10192081</v>
      </c>
      <c r="G20" s="18">
        <f t="shared" si="6"/>
        <v>5238730</v>
      </c>
      <c r="H20" s="125">
        <f t="shared" si="1"/>
        <v>0.51400003591023269</v>
      </c>
    </row>
    <row r="21" spans="1:8" ht="25.5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/>
      <c r="D44" s="15">
        <f t="shared" ref="D44:E44" si="20">SUM(D43)</f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8.25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5.5">
      <c r="A49" s="16">
        <v>231</v>
      </c>
      <c r="B49" s="17" t="s">
        <v>460</v>
      </c>
      <c r="C49" s="18">
        <f>SUM(C50)</f>
        <v>0</v>
      </c>
      <c r="D49" s="18">
        <f t="shared" ref="D49:G49" si="26">SUM(D50)</f>
        <v>0</v>
      </c>
      <c r="E49" s="18">
        <f t="shared" si="26"/>
        <v>7500</v>
      </c>
      <c r="F49" s="18">
        <f t="shared" si="26"/>
        <v>7500</v>
      </c>
      <c r="G49" s="18">
        <f t="shared" si="26"/>
        <v>23000</v>
      </c>
      <c r="H49" s="125">
        <f t="shared" si="1"/>
        <v>3.0666666666666669</v>
      </c>
    </row>
    <row r="50" spans="1:8" s="130" customFormat="1" ht="38.25">
      <c r="A50" s="20">
        <v>232</v>
      </c>
      <c r="B50" s="19" t="s">
        <v>459</v>
      </c>
      <c r="C50" s="129"/>
      <c r="D50" s="129"/>
      <c r="E50" s="129">
        <v>7500</v>
      </c>
      <c r="F50" s="129">
        <f>SUM(D50:E50)</f>
        <v>7500</v>
      </c>
      <c r="G50" s="129">
        <v>23000</v>
      </c>
      <c r="H50" s="125">
        <f t="shared" si="1"/>
        <v>3.0666666666666669</v>
      </c>
    </row>
    <row r="51" spans="1:8" ht="25.5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5.5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7500</v>
      </c>
      <c r="F55" s="18">
        <f t="shared" si="29"/>
        <v>7500</v>
      </c>
      <c r="G55" s="18">
        <f t="shared" si="29"/>
        <v>23000</v>
      </c>
      <c r="H55" s="125">
        <f t="shared" si="1"/>
        <v>3.0666666666666669</v>
      </c>
    </row>
    <row r="56" spans="1:8" ht="25.5">
      <c r="A56" s="16" t="s">
        <v>253</v>
      </c>
      <c r="B56" s="17" t="s">
        <v>254</v>
      </c>
      <c r="C56" s="18">
        <f t="shared" ref="C56:E56" si="30">C55+C46+C48+C36+C20+C22</f>
        <v>0</v>
      </c>
      <c r="D56" s="18">
        <f t="shared" si="30"/>
        <v>0</v>
      </c>
      <c r="E56" s="18">
        <f t="shared" si="30"/>
        <v>10199581</v>
      </c>
      <c r="F56" s="18">
        <f t="shared" si="0"/>
        <v>10199581</v>
      </c>
      <c r="G56" s="18">
        <f t="shared" ref="G56" si="31">G55+G46+G48+G36+G20+G22</f>
        <v>5261730</v>
      </c>
      <c r="H56" s="125">
        <f t="shared" si="1"/>
        <v>0.5158770737739129</v>
      </c>
    </row>
    <row r="57" spans="1:8" ht="25.5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412</v>
      </c>
      <c r="C60" s="15"/>
      <c r="D60" s="15"/>
      <c r="E60" s="15"/>
      <c r="F60" s="15"/>
      <c r="G60" s="15"/>
      <c r="H60" s="124"/>
    </row>
    <row r="61" spans="1:8" ht="25.5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5.5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0</v>
      </c>
      <c r="D63" s="18">
        <f t="shared" si="37"/>
        <v>0</v>
      </c>
      <c r="E63" s="18">
        <f t="shared" si="37"/>
        <v>10199581</v>
      </c>
      <c r="F63" s="18">
        <f t="shared" si="0"/>
        <v>10199581</v>
      </c>
      <c r="G63" s="18">
        <f t="shared" ref="G63" si="38">G56+G62</f>
        <v>5261730</v>
      </c>
      <c r="H63" s="125">
        <f t="shared" si="1"/>
        <v>0.5158770737739129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457</v>
      </c>
      <c r="G65" s="12" t="s">
        <v>273</v>
      </c>
      <c r="H65" s="123" t="s">
        <v>274</v>
      </c>
    </row>
    <row r="66" spans="1:8" ht="25.5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5.5">
      <c r="A67" s="21" t="s">
        <v>178</v>
      </c>
      <c r="B67" s="14" t="s">
        <v>282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5.5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5.5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8.25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0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5.5">
      <c r="A78" s="16" t="s">
        <v>53</v>
      </c>
      <c r="B78" s="17" t="s">
        <v>54</v>
      </c>
      <c r="C78" s="18">
        <f t="shared" ref="C78:E78" si="47">SUM(C79:C82)</f>
        <v>0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5.5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/>
      <c r="D84" s="15"/>
      <c r="E84" s="15"/>
      <c r="F84" s="15">
        <f t="shared" si="41"/>
        <v>0</v>
      </c>
      <c r="G84" s="15"/>
      <c r="H84" s="124" t="e">
        <f t="shared" si="42"/>
        <v>#DIV/0!</v>
      </c>
    </row>
    <row r="85" spans="1:8">
      <c r="A85" s="13" t="s">
        <v>67</v>
      </c>
      <c r="B85" s="14" t="s">
        <v>68</v>
      </c>
      <c r="C85" s="15">
        <f t="shared" ref="C85:E85" si="49">SUM(C83:C84)</f>
        <v>0</v>
      </c>
      <c r="D85" s="15">
        <f t="shared" si="49"/>
        <v>0</v>
      </c>
      <c r="E85" s="15">
        <f t="shared" si="49"/>
        <v>0</v>
      </c>
      <c r="F85" s="15">
        <f t="shared" si="41"/>
        <v>0</v>
      </c>
      <c r="G85" s="15">
        <f t="shared" ref="G85" si="50">SUM(G83:G84)</f>
        <v>0</v>
      </c>
      <c r="H85" s="124" t="e">
        <f t="shared" si="42"/>
        <v>#DIV/0!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/>
      <c r="D89" s="15"/>
      <c r="E89" s="15"/>
      <c r="F89" s="15">
        <f t="shared" si="41"/>
        <v>0</v>
      </c>
      <c r="G89" s="15"/>
      <c r="H89" s="124" t="e">
        <f t="shared" si="42"/>
        <v>#DIV/0!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3636334</v>
      </c>
      <c r="F90" s="15">
        <f t="shared" si="41"/>
        <v>3636334</v>
      </c>
      <c r="G90" s="15">
        <v>3636334</v>
      </c>
      <c r="H90" s="124">
        <f t="shared" si="42"/>
        <v>1</v>
      </c>
    </row>
    <row r="91" spans="1:8">
      <c r="A91" s="20" t="s">
        <v>276</v>
      </c>
      <c r="B91" s="19" t="s">
        <v>277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5.5">
      <c r="A95" s="13" t="s">
        <v>85</v>
      </c>
      <c r="B95" s="14" t="s">
        <v>86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/>
      <c r="D96" s="15"/>
      <c r="E96" s="15"/>
      <c r="F96" s="15">
        <f t="shared" si="41"/>
        <v>0</v>
      </c>
      <c r="G96" s="15"/>
      <c r="H96" s="124" t="e">
        <f t="shared" si="42"/>
        <v>#DIV/0!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5.5">
      <c r="A98" s="13" t="s">
        <v>91</v>
      </c>
      <c r="B98" s="14" t="s">
        <v>92</v>
      </c>
      <c r="C98" s="15">
        <f>C89+C90+C92+C93+C95+C96+C91</f>
        <v>0</v>
      </c>
      <c r="D98" s="15">
        <f t="shared" ref="D98:G98" si="53">D89+D90+D92+D93+D95+D96+D91</f>
        <v>0</v>
      </c>
      <c r="E98" s="15">
        <f t="shared" si="53"/>
        <v>3636334</v>
      </c>
      <c r="F98" s="15">
        <f t="shared" si="53"/>
        <v>3636334</v>
      </c>
      <c r="G98" s="15">
        <f t="shared" si="53"/>
        <v>3636334</v>
      </c>
      <c r="H98" s="124">
        <f t="shared" si="42"/>
        <v>1</v>
      </c>
    </row>
    <row r="99" spans="1:8">
      <c r="A99" s="13" t="s">
        <v>280</v>
      </c>
      <c r="B99" s="14" t="s">
        <v>281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5.5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5.5">
      <c r="A102" s="13" t="s">
        <v>97</v>
      </c>
      <c r="B102" s="14" t="s">
        <v>98</v>
      </c>
      <c r="C102" s="15"/>
      <c r="D102" s="15"/>
      <c r="E102" s="15">
        <v>981808</v>
      </c>
      <c r="F102" s="15">
        <f t="shared" si="41"/>
        <v>981808</v>
      </c>
      <c r="G102" s="15">
        <v>981808</v>
      </c>
      <c r="H102" s="124">
        <f t="shared" si="42"/>
        <v>1</v>
      </c>
    </row>
    <row r="103" spans="1:8" s="122" customFormat="1">
      <c r="A103" s="13">
        <v>52</v>
      </c>
      <c r="B103" s="14" t="s">
        <v>458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5.5">
      <c r="A105" s="13" t="s">
        <v>101</v>
      </c>
      <c r="B105" s="14" t="s">
        <v>102</v>
      </c>
      <c r="C105" s="15">
        <f t="shared" ref="C105:E105" si="55">SUM(C102:C104)</f>
        <v>0</v>
      </c>
      <c r="D105" s="15">
        <f t="shared" si="55"/>
        <v>0</v>
      </c>
      <c r="E105" s="15">
        <f t="shared" si="55"/>
        <v>981808</v>
      </c>
      <c r="F105" s="15">
        <f t="shared" si="41"/>
        <v>981808</v>
      </c>
      <c r="G105" s="15">
        <f t="shared" ref="G105" si="56">SUM(G102:G104)</f>
        <v>981808</v>
      </c>
      <c r="H105" s="124">
        <f t="shared" si="42"/>
        <v>1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0</v>
      </c>
      <c r="D106" s="18">
        <f t="shared" si="57"/>
        <v>0</v>
      </c>
      <c r="E106" s="18">
        <f t="shared" si="57"/>
        <v>4618142</v>
      </c>
      <c r="F106" s="18">
        <f t="shared" si="41"/>
        <v>4618142</v>
      </c>
      <c r="G106" s="18">
        <f t="shared" ref="G106" si="58">G85+G88+G98+G101+G105</f>
        <v>4618142</v>
      </c>
      <c r="H106" s="125">
        <f t="shared" si="42"/>
        <v>1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5.5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5.5">
      <c r="A109" s="13" t="s">
        <v>109</v>
      </c>
      <c r="B109" s="14" t="s">
        <v>110</v>
      </c>
      <c r="C109" s="15">
        <v>8886020</v>
      </c>
      <c r="D109" s="15">
        <f t="shared" ref="D109:E109" si="61">SUM(D110:D112)</f>
        <v>0</v>
      </c>
      <c r="E109" s="15">
        <f t="shared" si="61"/>
        <v>5581439</v>
      </c>
      <c r="F109" s="15">
        <f t="shared" si="41"/>
        <v>5581439</v>
      </c>
      <c r="G109" s="15">
        <f t="shared" ref="G109" si="62">SUM(G110:G112)</f>
        <v>963297</v>
      </c>
      <c r="H109" s="124">
        <f t="shared" si="42"/>
        <v>0.17258936270735917</v>
      </c>
    </row>
    <row r="110" spans="1:8" ht="25.5">
      <c r="A110" s="13" t="s">
        <v>111</v>
      </c>
      <c r="B110" s="14" t="s">
        <v>112</v>
      </c>
      <c r="C110" s="15">
        <v>283162</v>
      </c>
      <c r="D110" s="15">
        <v>0</v>
      </c>
      <c r="E110" s="15">
        <v>146500</v>
      </c>
      <c r="F110" s="15">
        <f t="shared" si="41"/>
        <v>146500</v>
      </c>
      <c r="G110" s="15">
        <f>134300+12200</f>
        <v>146500</v>
      </c>
      <c r="H110" s="124">
        <f t="shared" si="42"/>
        <v>1</v>
      </c>
    </row>
    <row r="111" spans="1:8">
      <c r="A111" s="13" t="s">
        <v>113</v>
      </c>
      <c r="B111" s="14" t="s">
        <v>114</v>
      </c>
      <c r="C111" s="15">
        <v>79900</v>
      </c>
      <c r="D111" s="15">
        <v>0</v>
      </c>
      <c r="E111" s="15">
        <f>316797+4618142</f>
        <v>4934939</v>
      </c>
      <c r="F111" s="15">
        <f t="shared" si="41"/>
        <v>4934939</v>
      </c>
      <c r="G111" s="15">
        <f>165000+126797+25000</f>
        <v>316797</v>
      </c>
      <c r="H111" s="124">
        <f t="shared" si="42"/>
        <v>6.419471446354251E-2</v>
      </c>
    </row>
    <row r="112" spans="1:8" ht="38.25">
      <c r="A112" s="13" t="s">
        <v>115</v>
      </c>
      <c r="B112" s="14" t="s">
        <v>116</v>
      </c>
      <c r="C112" s="15">
        <v>136097</v>
      </c>
      <c r="D112" s="15">
        <v>0</v>
      </c>
      <c r="E112" s="15">
        <v>500000</v>
      </c>
      <c r="F112" s="15">
        <f t="shared" si="41"/>
        <v>500000</v>
      </c>
      <c r="G112" s="15">
        <f>512200-12200</f>
        <v>500000</v>
      </c>
      <c r="H112" s="124">
        <f t="shared" si="42"/>
        <v>1</v>
      </c>
    </row>
    <row r="113" spans="1:8" ht="25.5">
      <c r="A113" s="16" t="s">
        <v>117</v>
      </c>
      <c r="B113" s="17" t="s">
        <v>118</v>
      </c>
      <c r="C113" s="18">
        <f t="shared" ref="C113:G113" si="63">C107+C109</f>
        <v>8886020</v>
      </c>
      <c r="D113" s="18">
        <f t="shared" si="63"/>
        <v>0</v>
      </c>
      <c r="E113" s="18">
        <f t="shared" si="63"/>
        <v>5581439</v>
      </c>
      <c r="F113" s="18">
        <f t="shared" si="41"/>
        <v>5581439</v>
      </c>
      <c r="G113" s="18">
        <f t="shared" si="63"/>
        <v>963297</v>
      </c>
      <c r="H113" s="125">
        <f t="shared" si="42"/>
        <v>0.17258936270735917</v>
      </c>
    </row>
    <row r="114" spans="1:8" ht="25.5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5.5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5.5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5.5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5.5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5.5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275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8.25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466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5.5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5.5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5.5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5.5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5.5">
      <c r="A135" s="16" t="s">
        <v>157</v>
      </c>
      <c r="B135" s="17" t="s">
        <v>158</v>
      </c>
      <c r="C135" s="18">
        <f t="shared" ref="C135:E135" si="74">C77+C78+C106+C113+C124+C130+C134</f>
        <v>8886020</v>
      </c>
      <c r="D135" s="18">
        <f t="shared" si="74"/>
        <v>0</v>
      </c>
      <c r="E135" s="18">
        <f t="shared" si="74"/>
        <v>10199581</v>
      </c>
      <c r="F135" s="18">
        <f t="shared" si="41"/>
        <v>10199581</v>
      </c>
      <c r="G135" s="18">
        <f t="shared" ref="G135" si="75">G77+G78+G106+G113+G124+G130+G134</f>
        <v>5581439</v>
      </c>
      <c r="H135" s="125">
        <f t="shared" si="42"/>
        <v>0.54722238099780762</v>
      </c>
    </row>
    <row r="136" spans="1:8" ht="25.5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5.5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5.5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5.5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8886020</v>
      </c>
      <c r="D140" s="18">
        <f t="shared" si="80"/>
        <v>0</v>
      </c>
      <c r="E140" s="18">
        <f t="shared" si="80"/>
        <v>10199581</v>
      </c>
      <c r="F140" s="18">
        <f t="shared" si="41"/>
        <v>10199581</v>
      </c>
      <c r="G140" s="18">
        <f t="shared" ref="G140" si="81">G135+G139</f>
        <v>5581439</v>
      </c>
      <c r="H140" s="125">
        <f t="shared" si="42"/>
        <v>0.54722238099780762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6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L147"/>
  <sheetViews>
    <sheetView view="pageBreakPreview" topLeftCell="A114" zoomScale="55" zoomScaleNormal="100" zoomScaleSheetLayoutView="55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9.6640625" customWidth="1"/>
    <col min="5" max="5" width="9.88671875" customWidth="1"/>
    <col min="6" max="6" width="10.88671875" customWidth="1"/>
    <col min="8" max="8" width="11.21875" style="126" customWidth="1"/>
  </cols>
  <sheetData>
    <row r="1" spans="1:12">
      <c r="A1" s="140" t="s">
        <v>448</v>
      </c>
      <c r="B1" s="140"/>
      <c r="C1" s="140"/>
      <c r="D1" s="140"/>
      <c r="E1" s="140"/>
      <c r="F1" s="140"/>
      <c r="G1" s="140"/>
      <c r="H1" s="140"/>
    </row>
    <row r="2" spans="1:12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12">
      <c r="A3" s="141" t="s">
        <v>2</v>
      </c>
      <c r="B3" s="141"/>
      <c r="C3" s="141"/>
      <c r="D3" s="141"/>
      <c r="E3" s="141"/>
      <c r="F3" s="141"/>
      <c r="G3" s="141"/>
      <c r="H3" s="141"/>
    </row>
    <row r="5" spans="1:12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  <c r="L5" s="1" t="s">
        <v>2</v>
      </c>
    </row>
    <row r="6" spans="1:12" ht="25.5">
      <c r="A6" s="13" t="s">
        <v>31</v>
      </c>
      <c r="B6" s="14" t="s">
        <v>173</v>
      </c>
      <c r="C6" s="15">
        <f>Igazg.!C6+Adók!C6+Temető!C6+Önk.vagyon!C6+Múzeum!C6+Rendezvények!C6+Közter.rend.!C6+Közf.!C6+Közutak!C6+Közvil.!C6+Zöldter.!C6+'Város-község'!C6+Háziorvos!C6+Védőnő!C6+Sport!C6+Könyvtár!C6+'Művelődési H.'!C6+'Isk.1-4.'!C6+'Isk.5-8.'!C6+Gyermekétk.!C6+Családvéd.!C6+Gyermekvéd.!C6+Családtám.!C6+'Egyéb szoc.'!C6+'Közösségi Ház'!C6</f>
        <v>73674509</v>
      </c>
      <c r="D6" s="15">
        <f>Igazg.!D6+Adók!D6+Temető!D6+Önk.vagyon!D6+Múzeum!D6+Rendezvények!D6+Közter.rend.!D6+Közf.!D6+Közutak!D6+Közvil.!D6+Zöldter.!D6+'Város-község'!D6+Háziorvos!D6+Védőnő!D6+Sport!D6+Könyvtár!D6+'Művelődési H.'!D6+'Isk.1-4.'!D6+'Isk.5-8.'!D6+Gyermekétk.!D6+Családvéd.!D6+Gyermekvéd.!D6+Családtám.!D6+'Egyéb szoc.'!D6+'Közösségi Ház'!D6</f>
        <v>76527024</v>
      </c>
      <c r="E6" s="15">
        <f>Igazg.!E6+Adók!E6+Temető!E6+Önk.vagyon!E6+Múzeum!E6+Rendezvények!E6+Közter.rend.!E6+Közf.!E6+Közutak!E6+Közvil.!E6+Zöldter.!E6+'Város-község'!E6+Háziorvos!E6+Védőnő!E6+Sport!E6+Könyvtár!E6+'Művelődési H.'!E6+'Isk.1-4.'!E6+'Isk.5-8.'!E6+Gyermekétk.!E6+Családvéd.!E6+Gyermekvéd.!E6+Családtám.!E6+'Egyéb szoc.'!E6+'Közösségi Ház'!E6</f>
        <v>0</v>
      </c>
      <c r="F6" s="15">
        <f>Igazg.!F6+Adók!F6+Temető!F6+Önk.vagyon!F6+Múzeum!F6+Rendezvények!F6+Közter.rend.!F6+Közf.!F6+Közutak!F6+Közvil.!F6+Zöldter.!F6+'Város-község'!F6+Háziorvos!F6+Védőnő!F6+Sport!F6+Könyvtár!F6+'Művelődési H.'!F6+'Isk.1-4.'!F6+'Isk.5-8.'!F6+Gyermekétk.!F6+Családvéd.!F6+Gyermekvéd.!F6+Családtám.!F6+'Egyéb szoc.'!F6+'Közösségi Ház'!F6</f>
        <v>76527024</v>
      </c>
      <c r="G6" s="15">
        <f>Igazg.!G6+Adók!G6+Temető!G6+Önk.vagyon!G6+Múzeum!G6+Rendezvények!G6+Közter.rend.!G6+Közf.!G6+Közutak!G6+Közvil.!G6+Zöldter.!G6+'Város-község'!G6+Háziorvos!G6+Védőnő!G6+Sport!G6+Könyvtár!G6+'Művelődési H.'!G6+'Isk.1-4.'!G6+'Isk.5-8.'!G6+Gyermekétk.!G6+Családvéd.!G6+Gyermekvéd.!G6+Családtám.!G6+'Egyéb szoc.'!G6+'Közösségi Ház'!G6</f>
        <v>39871650</v>
      </c>
      <c r="H6" s="124">
        <f>G6/F6</f>
        <v>0.52101398847026903</v>
      </c>
      <c r="L6" s="4">
        <v>73674509</v>
      </c>
    </row>
    <row r="7" spans="1:12" ht="25.5">
      <c r="A7" s="13" t="s">
        <v>174</v>
      </c>
      <c r="B7" s="14" t="s">
        <v>175</v>
      </c>
      <c r="C7" s="15">
        <f>Igazg.!C7+Adók!C7+Temető!C7+Önk.vagyon!C7+Múzeum!C7+Rendezvények!C7+Közter.rend.!C7+Közf.!C7+Közutak!C7+Közvil.!C7+Zöldter.!C7+'Város-község'!C7+Háziorvos!C7+Védőnő!C7+Sport!C7+Könyvtár!C7+'Művelődési H.'!C7+'Isk.1-4.'!C7+'Isk.5-8.'!C7+Gyermekétk.!C7+Családvéd.!C7+Gyermekvéd.!C7+Családtám.!C7+'Egyéb szoc.'!C7+'Közösségi Ház'!C7</f>
        <v>46209110</v>
      </c>
      <c r="D7" s="15">
        <f>Igazg.!D7+Adók!D7+Temető!D7+Önk.vagyon!D7+Múzeum!D7+Rendezvények!D7+Közter.rend.!D7+Közf.!D7+Közutak!D7+Közvil.!D7+Zöldter.!D7+'Város-község'!D7+Háziorvos!D7+Védőnő!D7+Sport!D7+Könyvtár!D7+'Művelődési H.'!D7+'Isk.1-4.'!D7+'Isk.5-8.'!D7+Gyermekétk.!D7+Családvéd.!D7+Gyermekvéd.!D7+Családtám.!D7+'Egyéb szoc.'!D7+'Közösségi Ház'!D7</f>
        <v>47057290</v>
      </c>
      <c r="E7" s="15">
        <f>Igazg.!E7+Adók!E7+Temető!E7+Önk.vagyon!E7+Múzeum!E7+Rendezvények!E7+Közter.rend.!E7+Közf.!E7+Közutak!E7+Közvil.!E7+Zöldter.!E7+'Város-község'!E7+Háziorvos!E7+Védőnő!E7+Sport!E7+Könyvtár!E7+'Művelődési H.'!E7+'Isk.1-4.'!E7+'Isk.5-8.'!E7+Gyermekétk.!E7+Családvéd.!E7+Gyermekvéd.!E7+Családtám.!E7+'Egyéb szoc.'!E7+'Közösségi Ház'!E7</f>
        <v>0</v>
      </c>
      <c r="F7" s="15">
        <f>Igazg.!F7+Adók!F7+Temető!F7+Önk.vagyon!F7+Múzeum!F7+Rendezvények!F7+Közter.rend.!F7+Közf.!F7+Közutak!F7+Közvil.!F7+Zöldter.!F7+'Város-község'!F7+Háziorvos!F7+Védőnő!F7+Sport!F7+Könyvtár!F7+'Művelődési H.'!F7+'Isk.1-4.'!F7+'Isk.5-8.'!F7+Gyermekétk.!F7+Családvéd.!F7+Gyermekvéd.!F7+Családtám.!F7+'Egyéb szoc.'!F7+'Közösségi Ház'!F7</f>
        <v>47057290</v>
      </c>
      <c r="G7" s="15">
        <f>Igazg.!G7+Adók!G7+Temető!G7+Önk.vagyon!G7+Múzeum!G7+Rendezvények!G7+Közter.rend.!G7+Közf.!G7+Közutak!G7+Közvil.!G7+Zöldter.!G7+'Város-község'!G7+Háziorvos!G7+Védőnő!G7+Sport!G7+Könyvtár!G7+'Művelődési H.'!G7+'Isk.1-4.'!G7+'Isk.5-8.'!G7+Gyermekétk.!G7+Családvéd.!G7+Gyermekvéd.!G7+Családtám.!G7+'Egyéb szoc.'!G7+'Közösségi Ház'!G7</f>
        <v>24883136</v>
      </c>
      <c r="H7" s="124">
        <f t="shared" ref="H7:H77" si="0">G7/F7</f>
        <v>0.52878387174442043</v>
      </c>
      <c r="L7" s="4">
        <v>46209110</v>
      </c>
    </row>
    <row r="8" spans="1:12" ht="38.25">
      <c r="A8" s="13" t="s">
        <v>176</v>
      </c>
      <c r="B8" s="14" t="s">
        <v>177</v>
      </c>
      <c r="C8" s="15">
        <f>Igazg.!C8+Adók!C8+Temető!C8+Önk.vagyon!C8+Múzeum!C8+Rendezvények!C8+Közter.rend.!C8+Közf.!C8+Közutak!C8+Közvil.!C8+Zöldter.!C8+'Város-község'!C8+Háziorvos!C8+Védőnő!C8+Sport!C8+Könyvtár!C8+'Művelődési H.'!C8+'Isk.1-4.'!C8+'Isk.5-8.'!C8+Gyermekétk.!C8+Családvéd.!C8+Gyermekvéd.!C8+Családtám.!C8+'Egyéb szoc.'!C8+'Közösségi Ház'!C8</f>
        <v>43417014</v>
      </c>
      <c r="D8" s="15">
        <f>Igazg.!D8+Adók!D8+Temető!D8+Önk.vagyon!D8+Múzeum!D8+Rendezvények!D8+Közter.rend.!D8+Közf.!D8+Közutak!D8+Közvil.!D8+Zöldter.!D8+'Város-község'!D8+Háziorvos!D8+Védőnő!D8+Sport!D8+Könyvtár!D8+'Művelődési H.'!D8+'Isk.1-4.'!D8+'Isk.5-8.'!D8+Gyermekétk.!D8+Családvéd.!D8+Gyermekvéd.!D8+Családtám.!D8+'Egyéb szoc.'!D8+'Közösségi Ház'!D8</f>
        <v>40760200</v>
      </c>
      <c r="E8" s="15">
        <f>Igazg.!E8+Adók!E8+Temető!E8+Önk.vagyon!E8+Múzeum!E8+Rendezvények!E8+Közter.rend.!E8+Közf.!E8+Közutak!E8+Közvil.!E8+Zöldter.!E8+'Város-község'!E8+Háziorvos!E8+Védőnő!E8+Sport!E8+Könyvtár!E8+'Művelődési H.'!E8+'Isk.1-4.'!E8+'Isk.5-8.'!E8+Gyermekétk.!E8+Családvéd.!E8+Gyermekvéd.!E8+Családtám.!E8+'Egyéb szoc.'!E8+'Közösségi Ház'!E8</f>
        <v>0</v>
      </c>
      <c r="F8" s="15">
        <f>Igazg.!F8+Adók!F8+Temető!F8+Önk.vagyon!F8+Múzeum!F8+Rendezvények!F8+Közter.rend.!F8+Közf.!F8+Közutak!F8+Közvil.!F8+Zöldter.!F8+'Város-község'!F8+Háziorvos!F8+Védőnő!F8+Sport!F8+Könyvtár!F8+'Művelődési H.'!F8+'Isk.1-4.'!F8+'Isk.5-8.'!F8+Gyermekétk.!F8+Családvéd.!F8+Gyermekvéd.!F8+Családtám.!F8+'Egyéb szoc.'!F8+'Közösségi Ház'!F8</f>
        <v>40760200</v>
      </c>
      <c r="G8" s="15">
        <f>Igazg.!G8+Adók!G8+Temető!G8+Önk.vagyon!G8+Múzeum!G8+Rendezvények!G8+Közter.rend.!G8+Közf.!G8+Közutak!G8+Közvil.!G8+Zöldter.!G8+'Város-község'!G8+Háziorvos!G8+Védőnő!G8+Sport!G8+Könyvtár!G8+'Művelődési H.'!G8+'Isk.1-4.'!G8+'Isk.5-8.'!G8+Gyermekétk.!G8+Családvéd.!G8+Gyermekvéd.!G8+Családtám.!G8+'Egyéb szoc.'!G8+'Közösségi Ház'!G8</f>
        <v>21195304</v>
      </c>
      <c r="H8" s="124">
        <f t="shared" si="0"/>
        <v>0.52</v>
      </c>
      <c r="L8" s="4">
        <v>43417014</v>
      </c>
    </row>
    <row r="9" spans="1:12" ht="25.5">
      <c r="A9" s="13" t="s">
        <v>178</v>
      </c>
      <c r="B9" s="14" t="s">
        <v>179</v>
      </c>
      <c r="C9" s="15">
        <f>Igazg.!C9+Adók!C9+Temető!C9+Önk.vagyon!C9+Múzeum!C9+Rendezvények!C9+Közter.rend.!C9+Közf.!C9+Közutak!C9+Közvil.!C9+Zöldter.!C9+'Város-község'!C9+Háziorvos!C9+Védőnő!C9+Sport!C9+Könyvtár!C9+'Művelődési H.'!C9+'Isk.1-4.'!C9+'Isk.5-8.'!C9+Gyermekétk.!C9+Családvéd.!C9+Gyermekvéd.!C9+Családtám.!C9+'Egyéb szoc.'!C9+'Közösségi Ház'!C9</f>
        <v>3527160</v>
      </c>
      <c r="D9" s="15">
        <f>Igazg.!D9+Adók!D9+Temető!D9+Önk.vagyon!D9+Múzeum!D9+Rendezvények!D9+Közter.rend.!D9+Közf.!D9+Közutak!D9+Közvil.!D9+Zöldter.!D9+'Város-község'!D9+Háziorvos!D9+Védőnő!D9+Sport!D9+Könyvtár!D9+'Művelődési H.'!D9+'Isk.1-4.'!D9+'Isk.5-8.'!D9+Gyermekétk.!D9+Családvéd.!D9+Gyermekvéd.!D9+Családtám.!D9+'Egyéb szoc.'!D9+'Közösségi Ház'!D9</f>
        <v>3518040</v>
      </c>
      <c r="E9" s="15">
        <f>Igazg.!E9+Adók!E9+Temető!E9+Önk.vagyon!E9+Múzeum!E9+Rendezvények!E9+Közter.rend.!E9+Közf.!E9+Közutak!E9+Közvil.!E9+Zöldter.!E9+'Város-község'!E9+Háziorvos!E9+Védőnő!E9+Sport!E9+Könyvtár!E9+'Művelődési H.'!E9+'Isk.1-4.'!E9+'Isk.5-8.'!E9+Gyermekétk.!E9+Családvéd.!E9+Gyermekvéd.!E9+Családtám.!E9+'Egyéb szoc.'!E9+'Közösségi Ház'!E9</f>
        <v>0</v>
      </c>
      <c r="F9" s="15">
        <f>Igazg.!F9+Adók!F9+Temető!F9+Önk.vagyon!F9+Múzeum!F9+Rendezvények!F9+Közter.rend.!F9+Közf.!F9+Közutak!F9+Közvil.!F9+Zöldter.!F9+'Város-község'!F9+Háziorvos!F9+Védőnő!F9+Sport!F9+Könyvtár!F9+'Művelődési H.'!F9+'Isk.1-4.'!F9+'Isk.5-8.'!F9+Gyermekétk.!F9+Családvéd.!F9+Gyermekvéd.!F9+Családtám.!F9+'Egyéb szoc.'!F9+'Közösségi Ház'!F9</f>
        <v>3518040</v>
      </c>
      <c r="G9" s="15">
        <f>Igazg.!G9+Adók!G9+Temető!G9+Önk.vagyon!G9+Múzeum!G9+Rendezvények!G9+Közter.rend.!G9+Közf.!G9+Közutak!G9+Közvil.!G9+Zöldter.!G9+'Város-község'!G9+Háziorvos!G9+Védőnő!G9+Sport!G9+Könyvtár!G9+'Művelődési H.'!G9+'Isk.1-4.'!G9+'Isk.5-8.'!G9+Gyermekétk.!G9+Családvéd.!G9+Gyermekvéd.!G9+Családtám.!G9+'Egyéb szoc.'!G9+'Közösségi Ház'!G9</f>
        <v>1829380</v>
      </c>
      <c r="H9" s="124">
        <f t="shared" si="0"/>
        <v>0.51999977260065267</v>
      </c>
      <c r="L9" s="4">
        <v>3527160</v>
      </c>
    </row>
    <row r="10" spans="1:12" ht="25.5">
      <c r="A10" s="13" t="s">
        <v>180</v>
      </c>
      <c r="B10" s="14" t="s">
        <v>181</v>
      </c>
      <c r="C10" s="15">
        <f>Igazg.!C10+Adók!C10+Temető!C10+Önk.vagyon!C10+Múzeum!C10+Rendezvények!C10+Közter.rend.!C10+Közf.!C10+Közutak!C10+Közvil.!C10+Zöldter.!C10+'Város-község'!C10+Háziorvos!C10+Védőnő!C10+Sport!C10+Könyvtár!C10+'Művelődési H.'!C10+'Isk.1-4.'!C10+'Isk.5-8.'!C10+Gyermekétk.!C10+Családvéd.!C10+Gyermekvéd.!C10+Családtám.!C10+'Egyéb szoc.'!C10+'Közösségi Ház'!C10</f>
        <v>946785</v>
      </c>
      <c r="D10" s="15">
        <f>Igazg.!D10+Adók!D10+Temető!D10+Önk.vagyon!D10+Múzeum!D10+Rendezvények!D10+Közter.rend.!D10+Közf.!D10+Közutak!D10+Közvil.!D10+Zöldter.!D10+'Város-község'!D10+Háziorvos!D10+Védőnő!D10+Sport!D10+Könyvtár!D10+'Művelődési H.'!D10+'Isk.1-4.'!D10+'Isk.5-8.'!D10+Gyermekétk.!D10+Családvéd.!D10+Gyermekvéd.!D10+Családtám.!D10+'Egyéb szoc.'!D10+'Közösségi Ház'!D10</f>
        <v>0</v>
      </c>
      <c r="E10" s="15">
        <f>Igazg.!E10+Adók!E10+Temető!E10+Önk.vagyon!E10+Múzeum!E10+Rendezvények!E10+Közter.rend.!E10+Közf.!E10+Közutak!E10+Közvil.!E10+Zöldter.!E10+'Város-község'!E10+Háziorvos!E10+Védőnő!E10+Sport!E10+Könyvtár!E10+'Művelődési H.'!E10+'Isk.1-4.'!E10+'Isk.5-8.'!E10+Gyermekétk.!E10+Családvéd.!E10+Gyermekvéd.!E10+Családtám.!E10+'Egyéb szoc.'!E10+'Közösségi Ház'!E10</f>
        <v>216366</v>
      </c>
      <c r="F10" s="15">
        <f>Igazg.!F10+Adók!F10+Temető!F10+Önk.vagyon!F10+Múzeum!F10+Rendezvények!F10+Közter.rend.!F10+Közf.!F10+Közutak!F10+Közvil.!F10+Zöldter.!F10+'Város-község'!F10+Háziorvos!F10+Védőnő!F10+Sport!F10+Könyvtár!F10+'Művelődési H.'!F10+'Isk.1-4.'!F10+'Isk.5-8.'!F10+Gyermekétk.!F10+Családvéd.!F10+Gyermekvéd.!F10+Családtám.!F10+'Egyéb szoc.'!F10+'Közösségi Ház'!F10</f>
        <v>216366</v>
      </c>
      <c r="G10" s="15">
        <f>Igazg.!G10+Adók!G10+Temető!G10+Önk.vagyon!G10+Múzeum!G10+Rendezvények!G10+Közter.rend.!G10+Közf.!G10+Közutak!G10+Közvil.!G10+Zöldter.!G10+'Város-község'!G10+Háziorvos!G10+Védőnő!G10+Sport!G10+Könyvtár!G10+'Művelődési H.'!G10+'Isk.1-4.'!G10+'Isk.5-8.'!G10+Gyermekétk.!G10+Családvéd.!G10+Gyermekvéd.!G10+Családtám.!G10+'Egyéb szoc.'!G10+'Közösségi Ház'!G10</f>
        <v>760914</v>
      </c>
      <c r="H10" s="124">
        <f t="shared" si="0"/>
        <v>3.5167909930395718</v>
      </c>
      <c r="L10" s="4">
        <v>946785</v>
      </c>
    </row>
    <row r="11" spans="1:12">
      <c r="A11" s="13" t="s">
        <v>182</v>
      </c>
      <c r="B11" s="14" t="s">
        <v>183</v>
      </c>
      <c r="C11" s="15">
        <f>Igazg.!C11+Adók!C11+Temető!C11+Önk.vagyon!C11+Múzeum!C11+Rendezvények!C11+Közter.rend.!C11+Közf.!C11+Közutak!C11+Közvil.!C11+Zöldter.!C11+'Város-község'!C11+Háziorvos!C11+Védőnő!C11+Sport!C11+Könyvtár!C11+'Művelődési H.'!C11+'Isk.1-4.'!C11+'Isk.5-8.'!C11+Gyermekétk.!C11+Családvéd.!C11+Gyermekvéd.!C11+Családtám.!C11+'Egyéb szoc.'!C11+'Közösségi Ház'!C11</f>
        <v>230069</v>
      </c>
      <c r="D11" s="15">
        <f>Igazg.!D11+Adók!D11+Temető!D11+Önk.vagyon!D11+Múzeum!D11+Rendezvények!D11+Közter.rend.!D11+Közf.!D11+Közutak!D11+Közvil.!D11+Zöldter.!D11+'Város-község'!D11+Háziorvos!D11+Védőnő!D11+Sport!D11+Könyvtár!D11+'Művelődési H.'!D11+'Isk.1-4.'!D11+'Isk.5-8.'!D11+Gyermekétk.!D11+Családvéd.!D11+Gyermekvéd.!D11+Családtám.!D11+'Egyéb szoc.'!D11+'Közösségi Ház'!D11</f>
        <v>0</v>
      </c>
      <c r="E11" s="15">
        <f>Igazg.!E11+Adók!E11+Temető!E11+Önk.vagyon!E11+Múzeum!E11+Rendezvények!E11+Közter.rend.!E11+Közf.!E11+Közutak!E11+Közvil.!E11+Zöldter.!E11+'Város-község'!E11+Háziorvos!E11+Védőnő!E11+Sport!E11+Könyvtár!E11+'Művelődési H.'!E11+'Isk.1-4.'!E11+'Isk.5-8.'!E11+Gyermekétk.!E11+Családvéd.!E11+Gyermekvéd.!E11+Családtám.!E11+'Egyéb szoc.'!E11+'Közösségi Ház'!E11</f>
        <v>1224447</v>
      </c>
      <c r="F11" s="15">
        <f>Igazg.!F11+Adók!F11+Temető!F11+Önk.vagyon!F11+Múzeum!F11+Rendezvények!F11+Közter.rend.!F11+Közf.!F11+Közutak!F11+Közvil.!F11+Zöldter.!F11+'Város-község'!F11+Háziorvos!F11+Védőnő!F11+Sport!F11+Könyvtár!F11+'Művelődési H.'!F11+'Isk.1-4.'!F11+'Isk.5-8.'!F11+Gyermekétk.!F11+Családvéd.!F11+Gyermekvéd.!F11+Családtám.!F11+'Egyéb szoc.'!F11+'Közösségi Ház'!F11</f>
        <v>1224447</v>
      </c>
      <c r="G11" s="15">
        <f>Igazg.!G11+Adók!G11+Temető!G11+Önk.vagyon!G11+Múzeum!G11+Rendezvények!G11+Közter.rend.!G11+Közf.!G11+Közutak!G11+Közvil.!G11+Zöldter.!G11+'Város-község'!G11+Háziorvos!G11+Védőnő!G11+Sport!G11+Könyvtár!G11+'Művelődési H.'!G11+'Isk.1-4.'!G11+'Isk.5-8.'!G11+Gyermekétk.!G11+Családvéd.!G11+Gyermekvéd.!G11+Családtám.!G11+'Egyéb szoc.'!G11+'Közösségi Ház'!G11</f>
        <v>1224447</v>
      </c>
      <c r="H11" s="124">
        <f t="shared" si="0"/>
        <v>1</v>
      </c>
      <c r="L11" s="4">
        <v>230069</v>
      </c>
    </row>
    <row r="12" spans="1:12" ht="25.5">
      <c r="A12" s="13" t="s">
        <v>33</v>
      </c>
      <c r="B12" s="14" t="s">
        <v>184</v>
      </c>
      <c r="C12" s="15">
        <f>Igazg.!C12+Adók!C12+Temető!C12+Önk.vagyon!C12+Múzeum!C12+Rendezvények!C12+Közter.rend.!C12+Közf.!C12+Közutak!C12+Közvil.!C12+Zöldter.!C12+'Város-község'!C12+Háziorvos!C12+Védőnő!C12+Sport!C12+Könyvtár!C12+'Művelődési H.'!C12+'Isk.1-4.'!C12+'Isk.5-8.'!C12+Gyermekétk.!C12+Családvéd.!C12+Gyermekvéd.!C12+Családtám.!C12+'Egyéb szoc.'!C12+'Közösségi Ház'!C12</f>
        <v>168004647</v>
      </c>
      <c r="D12" s="15">
        <f>Igazg.!D12+Adók!D12+Temető!D12+Önk.vagyon!D12+Múzeum!D12+Rendezvények!D12+Közter.rend.!D12+Közf.!D12+Közutak!D12+Közvil.!D12+Zöldter.!D12+'Város-község'!D12+Háziorvos!D12+Védőnő!D12+Sport!D12+Könyvtár!D12+'Művelődési H.'!D12+'Isk.1-4.'!D12+'Isk.5-8.'!D12+Gyermekétk.!D12+Családvéd.!D12+Gyermekvéd.!D12+Családtám.!D12+'Egyéb szoc.'!D12+'Közösségi Ház'!D12</f>
        <v>167862554</v>
      </c>
      <c r="E12" s="15">
        <f>Igazg.!E12+Adók!E12+Temető!E12+Önk.vagyon!E12+Múzeum!E12+Rendezvények!E12+Közter.rend.!E12+Közf.!E12+Közutak!E12+Közvil.!E12+Zöldter.!E12+'Város-község'!E12+Háziorvos!E12+Védőnő!E12+Sport!E12+Könyvtár!E12+'Művelődési H.'!E12+'Isk.1-4.'!E12+'Isk.5-8.'!E12+Gyermekétk.!E12+Családvéd.!E12+Gyermekvéd.!E12+Családtám.!E12+'Egyéb szoc.'!E12+'Közösségi Ház'!E12</f>
        <v>1440813</v>
      </c>
      <c r="F12" s="15">
        <f>Igazg.!F12+Adók!F12+Temető!F12+Önk.vagyon!F12+Múzeum!F12+Rendezvények!F12+Közter.rend.!F12+Közf.!F12+Közutak!F12+Közvil.!F12+Zöldter.!F12+'Város-község'!F12+Háziorvos!F12+Védőnő!F12+Sport!F12+Könyvtár!F12+'Művelődési H.'!F12+'Isk.1-4.'!F12+'Isk.5-8.'!F12+Gyermekétk.!F12+Családvéd.!F12+Gyermekvéd.!F12+Családtám.!F12+'Egyéb szoc.'!F12+'Közösségi Ház'!F12</f>
        <v>169303367</v>
      </c>
      <c r="G12" s="15">
        <f>Igazg.!G12+Adók!G12+Temető!G12+Önk.vagyon!G12+Múzeum!G12+Rendezvények!G12+Közter.rend.!G12+Közf.!G12+Közutak!G12+Közvil.!G12+Zöldter.!G12+'Város-község'!G12+Háziorvos!G12+Védőnő!G12+Sport!G12+Könyvtár!G12+'Művelődési H.'!G12+'Isk.1-4.'!G12+'Isk.5-8.'!G12+Gyermekétk.!G12+Családvéd.!G12+Gyermekvéd.!G12+Családtám.!G12+'Egyéb szoc.'!G12+'Közösségi Ház'!G12</f>
        <v>89764831</v>
      </c>
      <c r="H12" s="124">
        <f t="shared" si="0"/>
        <v>0.53020109753635314</v>
      </c>
      <c r="L12" s="4">
        <v>168004647</v>
      </c>
    </row>
    <row r="13" spans="1:12" ht="25.5">
      <c r="A13" s="13" t="s">
        <v>67</v>
      </c>
      <c r="B13" s="14" t="s">
        <v>185</v>
      </c>
      <c r="C13" s="15">
        <f>Igazg.!C13+Adók!C13+Temető!C13+Önk.vagyon!C13+Múzeum!C13+Rendezvények!C13+Közter.rend.!C13+Közf.!C13+Közutak!C13+Közvil.!C13+Zöldter.!C13+'Város-község'!C13+Háziorvos!C13+Védőnő!C13+Sport!C13+Könyvtár!C13+'Művelődési H.'!C13+'Isk.1-4.'!C13+'Isk.5-8.'!C13+Gyermekétk.!C13+Családvéd.!C13+Gyermekvéd.!C13+Családtám.!C13+'Egyéb szoc.'!C13+'Közösségi Ház'!C13</f>
        <v>46427496</v>
      </c>
      <c r="D13" s="15">
        <f>Igazg.!D13+Adók!D13+Temető!D13+Önk.vagyon!D13+Múzeum!D13+Rendezvények!D13+Közter.rend.!D13+Közf.!D13+Közutak!D13+Közvil.!D13+Zöldter.!D13+'Város-község'!D13+Háziorvos!D13+Védőnő!D13+Sport!D13+Könyvtár!D13+'Művelődési H.'!D13+'Isk.1-4.'!D13+'Isk.5-8.'!D13+Gyermekétk.!D13+Családvéd.!D13+Gyermekvéd.!D13+Családtám.!D13+'Egyéb szoc.'!D13+'Közösségi Ház'!D13</f>
        <v>13613000</v>
      </c>
      <c r="E13" s="15">
        <f>Igazg.!E13+Adók!E13+Temető!E13+Önk.vagyon!E13+Múzeum!E13+Rendezvények!E13+Közter.rend.!E13+Közf.!E13+Közutak!E13+Közvil.!E13+Zöldter.!E13+'Város-község'!E13+Háziorvos!E13+Védőnő!E13+Sport!E13+Könyvtár!E13+'Művelődési H.'!E13+'Isk.1-4.'!E13+'Isk.5-8.'!E13+Gyermekétk.!E13+Családvéd.!E13+Gyermekvéd.!E13+Családtám.!E13+'Egyéb szoc.'!E13+'Közösségi Ház'!E13</f>
        <v>46350720</v>
      </c>
      <c r="F13" s="15">
        <f>Igazg.!F13+Adók!F13+Temető!F13+Önk.vagyon!F13+Múzeum!F13+Rendezvények!F13+Közter.rend.!F13+Közf.!F13+Közutak!F13+Közvil.!F13+Zöldter.!F13+'Város-község'!F13+Háziorvos!F13+Védőnő!F13+Sport!F13+Könyvtár!F13+'Művelődési H.'!F13+'Isk.1-4.'!F13+'Isk.5-8.'!F13+Gyermekétk.!F13+Családvéd.!F13+Gyermekvéd.!F13+Családtám.!F13+'Egyéb szoc.'!F13+'Közösségi Ház'!F13</f>
        <v>59963720</v>
      </c>
      <c r="G13" s="15">
        <f>Igazg.!G13+Adók!G13+Temető!G13+Önk.vagyon!G13+Múzeum!G13+Rendezvények!G13+Közter.rend.!G13+Közf.!G13+Közutak!G13+Közvil.!G13+Zöldter.!G13+'Város-község'!G13+Háziorvos!G13+Védőnő!G13+Sport!G13+Könyvtár!G13+'Művelődési H.'!G13+'Isk.1-4.'!G13+'Isk.5-8.'!G13+Gyermekétk.!G13+Családvéd.!G13+Gyermekvéd.!G13+Családtám.!G13+'Egyéb szoc.'!G13+'Közösségi Ház'!G13</f>
        <v>56920779</v>
      </c>
      <c r="H13" s="124">
        <f t="shared" si="0"/>
        <v>0.94925363202950053</v>
      </c>
      <c r="L13" s="4">
        <v>46427496</v>
      </c>
    </row>
    <row r="14" spans="1:12">
      <c r="A14" s="13" t="s">
        <v>69</v>
      </c>
      <c r="B14" s="14" t="s">
        <v>186</v>
      </c>
      <c r="C14" s="15">
        <f>Igazg.!C14+Adók!C14+Temető!C14+Önk.vagyon!C14+Múzeum!C14+Rendezvények!C14+Közter.rend.!C14+Közf.!C14+Közutak!C14+Közvil.!C14+Zöldter.!C14+'Város-község'!C14+Háziorvos!C14+Védőnő!C14+Sport!C14+Könyvtár!C14+'Művelődési H.'!C14+'Isk.1-4.'!C14+'Isk.5-8.'!C14+Gyermekétk.!C14+Családvéd.!C14+Gyermekvéd.!C14+Családtám.!C14+'Egyéb szoc.'!C14+'Közösségi Ház'!C14</f>
        <v>293225</v>
      </c>
      <c r="D14" s="15">
        <f>Igazg.!D14+Adók!D14+Temető!D14+Önk.vagyon!D14+Múzeum!D14+Rendezvények!D14+Közter.rend.!D14+Közf.!D14+Közutak!D14+Közvil.!D14+Zöldter.!D14+'Város-község'!D14+Háziorvos!D14+Védőnő!D14+Sport!D14+Könyvtár!D14+'Művelődési H.'!D14+'Isk.1-4.'!D14+'Isk.5-8.'!D14+Gyermekétk.!D14+Családvéd.!D14+Gyermekvéd.!D14+Családtám.!D14+'Egyéb szoc.'!D14+'Közösségi Ház'!D14</f>
        <v>0</v>
      </c>
      <c r="E14" s="15">
        <f>Igazg.!E14+Adók!E14+Temető!E14+Önk.vagyon!E14+Múzeum!E14+Rendezvények!E14+Közter.rend.!E14+Közf.!E14+Közutak!E14+Közvil.!E14+Zöldter.!E14+'Város-község'!E14+Háziorvos!E14+Védőnő!E14+Sport!E14+Könyvtár!E14+'Művelődési H.'!E14+'Isk.1-4.'!E14+'Isk.5-8.'!E14+Gyermekétk.!E14+Családvéd.!E14+Gyermekvéd.!E14+Családtám.!E14+'Egyéb szoc.'!E14+'Közösségi Ház'!E14</f>
        <v>46350720</v>
      </c>
      <c r="F14" s="15">
        <f>Igazg.!F14+Adók!F14+Temető!F14+Önk.vagyon!F14+Múzeum!F14+Rendezvények!F14+Közter.rend.!F14+Közf.!F14+Közutak!F14+Közvil.!F14+Zöldter.!F14+'Város-község'!F14+Háziorvos!F14+Védőnő!F14+Sport!F14+Könyvtár!F14+'Művelődési H.'!F14+'Isk.1-4.'!F14+'Isk.5-8.'!F14+Gyermekétk.!F14+Családvéd.!F14+Gyermekvéd.!F14+Családtám.!F14+'Egyéb szoc.'!F14+'Közösségi Ház'!F14</f>
        <v>46350720</v>
      </c>
      <c r="G14" s="15">
        <f>Igazg.!G14+Adók!G14+Temető!G14+Önk.vagyon!G14+Múzeum!G14+Rendezvények!G14+Közter.rend.!G14+Közf.!G14+Közutak!G14+Közvil.!G14+Zöldter.!G14+'Város-község'!G14+Háziorvos!G14+Védőnő!G14+Sport!G14+Könyvtár!G14+'Művelődési H.'!G14+'Isk.1-4.'!G14+'Isk.5-8.'!G14+Gyermekétk.!G14+Családvéd.!G14+Gyermekvéd.!G14+Családtám.!G14+'Egyéb szoc.'!G14+'Közösségi Ház'!G14</f>
        <v>46425960</v>
      </c>
      <c r="H14" s="124">
        <f t="shared" si="0"/>
        <v>1.0016232757549397</v>
      </c>
      <c r="L14" s="4">
        <v>293225</v>
      </c>
    </row>
    <row r="15" spans="1:12" ht="38.25">
      <c r="A15" s="13" t="s">
        <v>73</v>
      </c>
      <c r="B15" s="14" t="s">
        <v>187</v>
      </c>
      <c r="C15" s="15">
        <f>Igazg.!C15+Adók!C15+Temető!C15+Önk.vagyon!C15+Múzeum!C15+Rendezvények!C15+Közter.rend.!C15+Közf.!C15+Közutak!C15+Közvil.!C15+Zöldter.!C15+'Város-község'!C15+Háziorvos!C15+Védőnő!C15+Sport!C15+Könyvtár!C15+'Művelődési H.'!C15+'Isk.1-4.'!C15+'Isk.5-8.'!C15+Gyermekétk.!C15+Családvéd.!C15+Gyermekvéd.!C15+Családtám.!C15+'Egyéb szoc.'!C15+'Közösségi Ház'!C15</f>
        <v>6991590</v>
      </c>
      <c r="D15" s="15">
        <f>Igazg.!D15+Adók!D15+Temető!D15+Önk.vagyon!D15+Múzeum!D15+Rendezvények!D15+Közter.rend.!D15+Közf.!D15+Közutak!D15+Közvil.!D15+Zöldter.!D15+'Város-község'!D15+Háziorvos!D15+Védőnő!D15+Sport!D15+Könyvtár!D15+'Művelődési H.'!D15+'Isk.1-4.'!D15+'Isk.5-8.'!D15+Gyermekétk.!D15+Családvéd.!D15+Gyermekvéd.!D15+Családtám.!D15+'Egyéb szoc.'!D15+'Közösségi Ház'!D15</f>
        <v>0</v>
      </c>
      <c r="E15" s="15">
        <f>Igazg.!E15+Adók!E15+Temető!E15+Önk.vagyon!E15+Múzeum!E15+Rendezvények!E15+Közter.rend.!E15+Közf.!E15+Közutak!E15+Közvil.!E15+Zöldter.!E15+'Város-község'!E15+Háziorvos!E15+Védőnő!E15+Sport!E15+Könyvtár!E15+'Művelődési H.'!E15+'Isk.1-4.'!E15+'Isk.5-8.'!E15+Gyermekétk.!E15+Családvéd.!E15+Gyermekvéd.!E15+Családtám.!E15+'Egyéb szoc.'!E15+'Közösségi Ház'!E15</f>
        <v>0</v>
      </c>
      <c r="F15" s="15">
        <f>Igazg.!F15+Adók!F15+Temető!F15+Önk.vagyon!F15+Múzeum!F15+Rendezvények!F15+Közter.rend.!F15+Közf.!F15+Közutak!F15+Közvil.!F15+Zöldter.!F15+'Város-község'!F15+Háziorvos!F15+Védőnő!F15+Sport!F15+Könyvtár!F15+'Művelődési H.'!F15+'Isk.1-4.'!F15+'Isk.5-8.'!F15+Gyermekétk.!F15+Családvéd.!F15+Gyermekvéd.!F15+Családtám.!F15+'Egyéb szoc.'!F15+'Közösségi Ház'!F15</f>
        <v>0</v>
      </c>
      <c r="G15" s="15">
        <f>Igazg.!G15+Adók!G15+Temető!G15+Önk.vagyon!G15+Múzeum!G15+Rendezvények!G15+Közter.rend.!G15+Közf.!G15+Közutak!G15+Közvil.!G15+Zöldter.!G15+'Város-község'!G15+Háziorvos!G15+Védőnő!G15+Sport!G15+Könyvtár!G15+'Művelődési H.'!G15+'Isk.1-4.'!G15+'Isk.5-8.'!G15+Gyermekétk.!G15+Családvéd.!G15+Gyermekvéd.!G15+Családtám.!G15+'Egyéb szoc.'!G15+'Közösségi Ház'!G15</f>
        <v>0</v>
      </c>
      <c r="H15" s="124" t="e">
        <f t="shared" si="0"/>
        <v>#DIV/0!</v>
      </c>
      <c r="L15" s="4">
        <v>6991590</v>
      </c>
    </row>
    <row r="16" spans="1:12" ht="25.5">
      <c r="A16" s="13" t="s">
        <v>75</v>
      </c>
      <c r="B16" s="14" t="s">
        <v>188</v>
      </c>
      <c r="C16" s="15">
        <f>Igazg.!C16+Adók!C16+Temető!C16+Önk.vagyon!C16+Múzeum!C16+Rendezvények!C16+Közter.rend.!C16+Közf.!C16+Közutak!C16+Közvil.!C16+Zöldter.!C16+'Város-község'!C16+Háziorvos!C16+Védőnő!C16+Sport!C16+Könyvtár!C16+'Művelődési H.'!C16+'Isk.1-4.'!C16+'Isk.5-8.'!C16+Gyermekétk.!C16+Családvéd.!C16+Gyermekvéd.!C16+Családtám.!C16+'Egyéb szoc.'!C16+'Közösségi Ház'!C16</f>
        <v>1513800</v>
      </c>
      <c r="D16" s="15">
        <f>Igazg.!D16+Adók!D16+Temető!D16+Önk.vagyon!D16+Múzeum!D16+Rendezvények!D16+Közter.rend.!D16+Közf.!D16+Közutak!D16+Közvil.!D16+Zöldter.!D16+'Város-község'!D16+Háziorvos!D16+Védőnő!D16+Sport!D16+Könyvtár!D16+'Művelődési H.'!D16+'Isk.1-4.'!D16+'Isk.5-8.'!D16+Gyermekétk.!D16+Családvéd.!D16+Gyermekvéd.!D16+Családtám.!D16+'Egyéb szoc.'!D16+'Közösségi Ház'!D16</f>
        <v>0</v>
      </c>
      <c r="E16" s="15">
        <f>Igazg.!E16+Adók!E16+Temető!E16+Önk.vagyon!E16+Múzeum!E16+Rendezvények!E16+Közter.rend.!E16+Közf.!E16+Közutak!E16+Közvil.!E16+Zöldter.!E16+'Város-község'!E16+Háziorvos!E16+Védőnő!E16+Sport!E16+Könyvtár!E16+'Művelődési H.'!E16+'Isk.1-4.'!E16+'Isk.5-8.'!E16+Gyermekétk.!E16+Családvéd.!E16+Gyermekvéd.!E16+Családtám.!E16+'Egyéb szoc.'!E16+'Közösségi Ház'!E16</f>
        <v>0</v>
      </c>
      <c r="F16" s="15">
        <f>Igazg.!F16+Adók!F16+Temető!F16+Önk.vagyon!F16+Múzeum!F16+Rendezvények!F16+Közter.rend.!F16+Közf.!F16+Közutak!F16+Közvil.!F16+Zöldter.!F16+'Város-község'!F16+Háziorvos!F16+Védőnő!F16+Sport!F16+Könyvtár!F16+'Művelődési H.'!F16+'Isk.1-4.'!F16+'Isk.5-8.'!F16+Gyermekétk.!F16+Családvéd.!F16+Gyermekvéd.!F16+Családtám.!F16+'Egyéb szoc.'!F16+'Közösségi Ház'!F16</f>
        <v>0</v>
      </c>
      <c r="G16" s="15">
        <f>Igazg.!G16+Adók!G16+Temető!G16+Önk.vagyon!G16+Múzeum!G16+Rendezvények!G16+Közter.rend.!G16+Közf.!G16+Közutak!G16+Közvil.!G16+Zöldter.!G16+'Város-község'!G16+Háziorvos!G16+Védőnő!G16+Sport!G16+Könyvtár!G16+'Művelődési H.'!G16+'Isk.1-4.'!G16+'Isk.5-8.'!G16+Gyermekétk.!G16+Családvéd.!G16+Gyermekvéd.!G16+Családtám.!G16+'Egyéb szoc.'!G16+'Közösségi Ház'!G16</f>
        <v>0</v>
      </c>
      <c r="H16" s="124" t="e">
        <f t="shared" si="0"/>
        <v>#DIV/0!</v>
      </c>
      <c r="L16" s="4">
        <v>1513800</v>
      </c>
    </row>
    <row r="17" spans="1:12" ht="25.5">
      <c r="A17" s="13" t="s">
        <v>77</v>
      </c>
      <c r="B17" s="14" t="s">
        <v>189</v>
      </c>
      <c r="C17" s="15">
        <f>Igazg.!C17+Adók!C17+Temető!C17+Önk.vagyon!C17+Múzeum!C17+Rendezvények!C17+Közter.rend.!C17+Közf.!C17+Közutak!C17+Közvil.!C17+Zöldter.!C17+'Város-község'!C17+Háziorvos!C17+Védőnő!C17+Sport!C17+Könyvtár!C17+'Művelődési H.'!C17+'Isk.1-4.'!C17+'Isk.5-8.'!C17+Gyermekétk.!C17+Családvéd.!C17+Gyermekvéd.!C17+Családtám.!C17+'Egyéb szoc.'!C17+'Közösségi Ház'!C17</f>
        <v>7742200</v>
      </c>
      <c r="D17" s="15">
        <f>Igazg.!D17+Adók!D17+Temető!D17+Önk.vagyon!D17+Múzeum!D17+Rendezvények!D17+Közter.rend.!D17+Közf.!D17+Közutak!D17+Közvil.!D17+Zöldter.!D17+'Város-község'!D17+Háziorvos!D17+Védőnő!D17+Sport!D17+Könyvtár!D17+'Művelődési H.'!D17+'Isk.1-4.'!D17+'Isk.5-8.'!D17+Gyermekétk.!D17+Családvéd.!D17+Gyermekvéd.!D17+Családtám.!D17+'Egyéb szoc.'!D17+'Közösségi Ház'!D17</f>
        <v>7748000</v>
      </c>
      <c r="E17" s="15">
        <f>Igazg.!E17+Adók!E17+Temető!E17+Önk.vagyon!E17+Múzeum!E17+Rendezvények!E17+Közter.rend.!E17+Közf.!E17+Közutak!E17+Közvil.!E17+Zöldter.!E17+'Város-község'!E17+Háziorvos!E17+Védőnő!E17+Sport!E17+Könyvtár!E17+'Művelődési H.'!E17+'Isk.1-4.'!E17+'Isk.5-8.'!E17+Gyermekétk.!E17+Családvéd.!E17+Gyermekvéd.!E17+Családtám.!E17+'Egyéb szoc.'!E17+'Közösségi Ház'!E17</f>
        <v>0</v>
      </c>
      <c r="F17" s="15">
        <f>Igazg.!F17+Adók!F17+Temető!F17+Önk.vagyon!F17+Múzeum!F17+Rendezvények!F17+Közter.rend.!F17+Közf.!F17+Közutak!F17+Közvil.!F17+Zöldter.!F17+'Város-község'!F17+Háziorvos!F17+Védőnő!F17+Sport!F17+Könyvtár!F17+'Művelődési H.'!F17+'Isk.1-4.'!F17+'Isk.5-8.'!F17+Gyermekétk.!F17+Családvéd.!F17+Gyermekvéd.!F17+Családtám.!F17+'Egyéb szoc.'!F17+'Közösségi Ház'!F17</f>
        <v>7748000</v>
      </c>
      <c r="G17" s="15">
        <f>Igazg.!G17+Adók!G17+Temető!G17+Önk.vagyon!G17+Múzeum!G17+Rendezvények!G17+Közter.rend.!G17+Közf.!G17+Közutak!G17+Közvil.!G17+Zöldter.!G17+'Város-község'!G17+Háziorvos!G17+Védőnő!G17+Sport!G17+Könyvtár!G17+'Művelődési H.'!G17+'Isk.1-4.'!G17+'Isk.5-8.'!G17+Gyermekétk.!G17+Családvéd.!G17+Gyermekvéd.!G17+Családtám.!G17+'Egyéb szoc.'!G17+'Közösségi Ház'!G17</f>
        <v>3866900</v>
      </c>
      <c r="H17" s="124">
        <f t="shared" si="0"/>
        <v>0.49908363448631904</v>
      </c>
      <c r="L17" s="4">
        <v>7742200</v>
      </c>
    </row>
    <row r="18" spans="1:12">
      <c r="A18" s="13" t="s">
        <v>190</v>
      </c>
      <c r="B18" s="14" t="s">
        <v>191</v>
      </c>
      <c r="C18" s="15">
        <f>Igazg.!C18+Adók!C18+Temető!C18+Önk.vagyon!C18+Múzeum!C18+Rendezvények!C18+Közter.rend.!C18+Közf.!C18+Közutak!C18+Közvil.!C18+Zöldter.!C18+'Város-község'!C18+Háziorvos!C18+Védőnő!C18+Sport!C18+Könyvtár!C18+'Művelődési H.'!C18+'Isk.1-4.'!C18+'Isk.5-8.'!C18+Gyermekétk.!C18+Családvéd.!C18+Gyermekvéd.!C18+Családtám.!C18+'Egyéb szoc.'!C18+'Közösségi Ház'!C18</f>
        <v>29884681</v>
      </c>
      <c r="D18" s="15">
        <f>Igazg.!D18+Adók!D18+Temető!D18+Önk.vagyon!D18+Múzeum!D18+Rendezvények!D18+Közter.rend.!D18+Közf.!D18+Közutak!D18+Közvil.!D18+Zöldter.!D18+'Város-község'!D18+Háziorvos!D18+Védőnő!D18+Sport!D18+Könyvtár!D18+'Művelődési H.'!D18+'Isk.1-4.'!D18+'Isk.5-8.'!D18+Gyermekétk.!D18+Családvéd.!D18+Gyermekvéd.!D18+Családtám.!D18+'Egyéb szoc.'!D18+'Közösségi Ház'!D18</f>
        <v>5865000</v>
      </c>
      <c r="E18" s="15">
        <f>Igazg.!E18+Adók!E18+Temető!E18+Önk.vagyon!E18+Múzeum!E18+Rendezvények!E18+Közter.rend.!E18+Közf.!E18+Közutak!E18+Közvil.!E18+Zöldter.!E18+'Város-község'!E18+Háziorvos!E18+Védőnő!E18+Sport!E18+Könyvtár!E18+'Művelődési H.'!E18+'Isk.1-4.'!E18+'Isk.5-8.'!E18+Gyermekétk.!E18+Családvéd.!E18+Gyermekvéd.!E18+Családtám.!E18+'Egyéb szoc.'!E18+'Közösségi Ház'!E18</f>
        <v>0</v>
      </c>
      <c r="F18" s="15">
        <f>Igazg.!F18+Adók!F18+Temető!F18+Önk.vagyon!F18+Múzeum!F18+Rendezvények!F18+Közter.rend.!F18+Közf.!F18+Közutak!F18+Közvil.!F18+Zöldter.!F18+'Város-község'!F18+Háziorvos!F18+Védőnő!F18+Sport!F18+Könyvtár!F18+'Művelődési H.'!F18+'Isk.1-4.'!F18+'Isk.5-8.'!F18+Gyermekétk.!F18+Családvéd.!F18+Gyermekvéd.!F18+Családtám.!F18+'Egyéb szoc.'!F18+'Közösségi Ház'!F18</f>
        <v>5865000</v>
      </c>
      <c r="G18" s="15">
        <f>Igazg.!G18+Adók!G18+Temető!G18+Önk.vagyon!G18+Múzeum!G18+Rendezvények!G18+Közter.rend.!G18+Közf.!G18+Közutak!G18+Közvil.!G18+Zöldter.!G18+'Város-község'!G18+Háziorvos!G18+Védőnő!G18+Sport!G18+Könyvtár!G18+'Művelődési H.'!G18+'Isk.1-4.'!G18+'Isk.5-8.'!G18+Gyermekétk.!G18+Családvéd.!G18+Gyermekvéd.!G18+Családtám.!G18+'Egyéb szoc.'!G18+'Közösségi Ház'!G18</f>
        <v>6627919</v>
      </c>
      <c r="H18" s="124">
        <f t="shared" si="0"/>
        <v>1.1300799658994032</v>
      </c>
      <c r="L18" s="4">
        <v>29884681</v>
      </c>
    </row>
    <row r="19" spans="1:12" ht="25.5">
      <c r="A19" s="13" t="s">
        <v>81</v>
      </c>
      <c r="B19" s="14" t="s">
        <v>192</v>
      </c>
      <c r="C19" s="15">
        <f>Igazg.!C19+Adók!C19+Temető!C19+Önk.vagyon!C19+Múzeum!C19+Rendezvények!C19+Közter.rend.!C19+Közf.!C19+Közutak!C19+Közvil.!C19+Zöldter.!C19+'Város-község'!C19+Háziorvos!C19+Védőnő!C19+Sport!C19+Könyvtár!C19+'Művelődési H.'!C19+'Isk.1-4.'!C19+'Isk.5-8.'!C19+Gyermekétk.!C19+Családvéd.!C19+Gyermekvéd.!C19+Családtám.!C19+'Egyéb szoc.'!C19+'Közösségi Ház'!C19</f>
        <v>2000</v>
      </c>
      <c r="D19" s="15">
        <f>Igazg.!D19+Adók!D19+Temető!D19+Önk.vagyon!D19+Múzeum!D19+Rendezvények!D19+Közter.rend.!D19+Közf.!D19+Közutak!D19+Közvil.!D19+Zöldter.!D19+'Város-község'!D19+Háziorvos!D19+Védőnő!D19+Sport!D19+Könyvtár!D19+'Művelődési H.'!D19+'Isk.1-4.'!D19+'Isk.5-8.'!D19+Gyermekétk.!D19+Családvéd.!D19+Gyermekvéd.!D19+Családtám.!D19+'Egyéb szoc.'!D19+'Közösségi Ház'!D19</f>
        <v>0</v>
      </c>
      <c r="E19" s="15">
        <f>Igazg.!E19+Adók!E19+Temető!E19+Önk.vagyon!E19+Múzeum!E19+Rendezvények!E19+Közter.rend.!E19+Közf.!E19+Közutak!E19+Közvil.!E19+Zöldter.!E19+'Város-község'!E19+Háziorvos!E19+Védőnő!E19+Sport!E19+Könyvtár!E19+'Művelődési H.'!E19+'Isk.1-4.'!E19+'Isk.5-8.'!E19+Gyermekétk.!E19+Családvéd.!E19+Gyermekvéd.!E19+Családtám.!E19+'Egyéb szoc.'!E19+'Közösségi Ház'!E19</f>
        <v>0</v>
      </c>
      <c r="F19" s="15">
        <f>Igazg.!F19+Adók!F19+Temető!F19+Önk.vagyon!F19+Múzeum!F19+Rendezvények!F19+Közter.rend.!F19+Közf.!F19+Közutak!F19+Közvil.!F19+Zöldter.!F19+'Város-község'!F19+Háziorvos!F19+Védőnő!F19+Sport!F19+Könyvtár!F19+'Művelődési H.'!F19+'Isk.1-4.'!F19+'Isk.5-8.'!F19+Gyermekétk.!F19+Családvéd.!F19+Gyermekvéd.!F19+Családtám.!F19+'Egyéb szoc.'!F19+'Közösségi Ház'!F19</f>
        <v>0</v>
      </c>
      <c r="G19" s="15">
        <f>Igazg.!G19+Adók!G19+Temető!G19+Önk.vagyon!G19+Múzeum!G19+Rendezvények!G19+Közter.rend.!G19+Közf.!G19+Közutak!G19+Közvil.!G19+Zöldter.!G19+'Város-község'!G19+Háziorvos!G19+Védőnő!G19+Sport!G19+Könyvtár!G19+'Művelődési H.'!G19+'Isk.1-4.'!G19+'Isk.5-8.'!G19+Gyermekétk.!G19+Családvéd.!G19+Gyermekvéd.!G19+Családtám.!G19+'Egyéb szoc.'!G19+'Közösségi Ház'!G19</f>
        <v>0</v>
      </c>
      <c r="H19" s="124" t="e">
        <f t="shared" si="0"/>
        <v>#DIV/0!</v>
      </c>
      <c r="L19" s="4">
        <v>2000</v>
      </c>
    </row>
    <row r="20" spans="1:12" ht="38.25">
      <c r="A20" s="16" t="s">
        <v>85</v>
      </c>
      <c r="B20" s="17" t="s">
        <v>193</v>
      </c>
      <c r="C20" s="15">
        <f>Igazg.!C20+Adók!C20+Temető!C20+Önk.vagyon!C20+Múzeum!C20+Rendezvények!C20+Közter.rend.!C20+Közf.!C20+Közutak!C20+Közvil.!C20+Zöldter.!C20+'Város-község'!C20+Háziorvos!C20+Védőnő!C20+Sport!C20+Könyvtár!C20+'Művelődési H.'!C20+'Isk.1-4.'!C20+'Isk.5-8.'!C20+Gyermekétk.!C20+Családvéd.!C20+Gyermekvéd.!C20+Családtám.!C20+'Egyéb szoc.'!C20+'Közösségi Ház'!C20</f>
        <v>214432143</v>
      </c>
      <c r="D20" s="15">
        <f>Igazg.!D20+Adók!D20+Temető!D20+Önk.vagyon!D20+Múzeum!D20+Rendezvények!D20+Közter.rend.!D20+Közf.!D20+Közutak!D20+Közvil.!D20+Zöldter.!D20+'Város-község'!D20+Háziorvos!D20+Védőnő!D20+Sport!D20+Könyvtár!D20+'Művelődési H.'!D20+'Isk.1-4.'!D20+'Isk.5-8.'!D20+Gyermekétk.!D20+Családvéd.!D20+Gyermekvéd.!D20+Családtám.!D20+'Egyéb szoc.'!D20+'Közösségi Ház'!D20</f>
        <v>181475554</v>
      </c>
      <c r="E20" s="15">
        <f>Igazg.!E20+Adók!E20+Temető!E20+Önk.vagyon!E20+Múzeum!E20+Rendezvények!E20+Közter.rend.!E20+Közf.!E20+Közutak!E20+Közvil.!E20+Zöldter.!E20+'Város-község'!E20+Háziorvos!E20+Védőnő!E20+Sport!E20+Könyvtár!E20+'Művelődési H.'!E20+'Isk.1-4.'!E20+'Isk.5-8.'!E20+Gyermekétk.!E20+Családvéd.!E20+Gyermekvéd.!E20+Családtám.!E20+'Egyéb szoc.'!E20+'Közösségi Ház'!E20</f>
        <v>47791533</v>
      </c>
      <c r="F20" s="15">
        <f>Igazg.!F20+Adók!F20+Temető!F20+Önk.vagyon!F20+Múzeum!F20+Rendezvények!F20+Közter.rend.!F20+Közf.!F20+Közutak!F20+Közvil.!F20+Zöldter.!F20+'Város-község'!F20+Háziorvos!F20+Védőnő!F20+Sport!F20+Könyvtár!F20+'Művelődési H.'!F20+'Isk.1-4.'!F20+'Isk.5-8.'!F20+Gyermekétk.!F20+Családvéd.!F20+Gyermekvéd.!F20+Családtám.!F20+'Egyéb szoc.'!F20+'Közösségi Ház'!F20</f>
        <v>229267087</v>
      </c>
      <c r="G20" s="15">
        <f>Igazg.!G20+Adók!G20+Temető!G20+Önk.vagyon!G20+Múzeum!G20+Rendezvények!G20+Közter.rend.!G20+Közf.!G20+Közutak!G20+Közvil.!G20+Zöldter.!G20+'Város-község'!G20+Háziorvos!G20+Védőnő!G20+Sport!G20+Könyvtár!G20+'Művelődési H.'!G20+'Isk.1-4.'!G20+'Isk.5-8.'!G20+Gyermekétk.!G20+Családvéd.!G20+Gyermekvéd.!G20+Családtám.!G20+'Egyéb szoc.'!G20+'Közösségi Ház'!G20</f>
        <v>146685610</v>
      </c>
      <c r="H20" s="125">
        <f t="shared" si="0"/>
        <v>0.6398023018454454</v>
      </c>
      <c r="L20" s="7">
        <v>214432143</v>
      </c>
    </row>
    <row r="21" spans="1:12" ht="25.5">
      <c r="A21" s="13" t="s">
        <v>87</v>
      </c>
      <c r="B21" s="14" t="s">
        <v>194</v>
      </c>
      <c r="C21" s="15">
        <f>Igazg.!C21+Adók!C21+Temető!C21+Önk.vagyon!C21+Múzeum!C21+Rendezvények!C21+Közter.rend.!C21+Közf.!C21+Közutak!C21+Közvil.!C21+Zöldter.!C21+'Város-község'!C21+Háziorvos!C21+Védőnő!C21+Sport!C21+Könyvtár!C21+'Művelődési H.'!C21+'Isk.1-4.'!C21+'Isk.5-8.'!C21+Gyermekétk.!C21+Családvéd.!C21+Gyermekvéd.!C21+Családtám.!C21+'Egyéb szoc.'!C21+'Közösségi Ház'!C21</f>
        <v>112010470</v>
      </c>
      <c r="D21" s="15">
        <f>Igazg.!D21+Adók!D21+Temető!D21+Önk.vagyon!D21+Múzeum!D21+Rendezvények!D21+Közter.rend.!D21+Közf.!D21+Közutak!D21+Közvil.!D21+Zöldter.!D21+'Város-község'!D21+Háziorvos!D21+Védőnő!D21+Sport!D21+Könyvtár!D21+'Művelődési H.'!D21+'Isk.1-4.'!D21+'Isk.5-8.'!D21+Gyermekétk.!D21+Családvéd.!D21+Gyermekvéd.!D21+Családtám.!D21+'Egyéb szoc.'!D21+'Közösségi Ház'!D21</f>
        <v>0</v>
      </c>
      <c r="E21" s="15">
        <f>Igazg.!E21+Adók!E21+Temető!E21+Önk.vagyon!E21+Múzeum!E21+Rendezvények!E21+Közter.rend.!E21+Közf.!E21+Közutak!E21+Közvil.!E21+Zöldter.!E21+'Város-község'!E21+Háziorvos!E21+Védőnő!E21+Sport!E21+Könyvtár!E21+'Művelődési H.'!E21+'Isk.1-4.'!E21+'Isk.5-8.'!E21+Gyermekétk.!E21+Családvéd.!E21+Gyermekvéd.!E21+Családtám.!E21+'Egyéb szoc.'!E21+'Közösségi Ház'!E21</f>
        <v>0</v>
      </c>
      <c r="F21" s="15">
        <f>Igazg.!F21+Adók!F21+Temető!F21+Önk.vagyon!F21+Múzeum!F21+Rendezvények!F21+Közter.rend.!F21+Közf.!F21+Közutak!F21+Közvil.!F21+Zöldter.!F21+'Város-község'!F21+Háziorvos!F21+Védőnő!F21+Sport!F21+Könyvtár!F21+'Művelődési H.'!F21+'Isk.1-4.'!F21+'Isk.5-8.'!F21+Gyermekétk.!F21+Családvéd.!F21+Gyermekvéd.!F21+Családtám.!F21+'Egyéb szoc.'!F21+'Közösségi Ház'!F21</f>
        <v>0</v>
      </c>
      <c r="G21" s="15">
        <f>Igazg.!G21+Adók!G21+Temető!G21+Önk.vagyon!G21+Múzeum!G21+Rendezvények!G21+Közter.rend.!G21+Közf.!G21+Közutak!G21+Közvil.!G21+Zöldter.!G21+'Város-község'!G21+Háziorvos!G21+Védőnő!G21+Sport!G21+Könyvtár!G21+'Művelődési H.'!G21+'Isk.1-4.'!G21+'Isk.5-8.'!G21+Gyermekétk.!G21+Családvéd.!G21+Gyermekvéd.!G21+Családtám.!G21+'Egyéb szoc.'!G21+'Közösségi Ház'!G21</f>
        <v>0</v>
      </c>
      <c r="H21" s="124" t="e">
        <f t="shared" si="0"/>
        <v>#DIV/0!</v>
      </c>
      <c r="L21" s="4">
        <v>112010470</v>
      </c>
    </row>
    <row r="22" spans="1:12" ht="38.25">
      <c r="A22" s="16" t="s">
        <v>195</v>
      </c>
      <c r="B22" s="17" t="s">
        <v>196</v>
      </c>
      <c r="C22" s="15">
        <f>Igazg.!C22+Adók!C22+Temető!C22+Önk.vagyon!C22+Múzeum!C22+Rendezvények!C22+Közter.rend.!C22+Közf.!C22+Közutak!C22+Közvil.!C22+Zöldter.!C22+'Város-község'!C22+Háziorvos!C22+Védőnő!C22+Sport!C22+Könyvtár!C22+'Művelődési H.'!C22+'Isk.1-4.'!C22+'Isk.5-8.'!C22+Gyermekétk.!C22+Családvéd.!C22+Gyermekvéd.!C22+Családtám.!C22+'Egyéb szoc.'!C22+'Közösségi Ház'!C22</f>
        <v>112010470</v>
      </c>
      <c r="D22" s="15">
        <f>Igazg.!D22+Adók!D22+Temető!D22+Önk.vagyon!D22+Múzeum!D22+Rendezvények!D22+Közter.rend.!D22+Közf.!D22+Közutak!D22+Közvil.!D22+Zöldter.!D22+'Város-község'!D22+Háziorvos!D22+Védőnő!D22+Sport!D22+Könyvtár!D22+'Művelődési H.'!D22+'Isk.1-4.'!D22+'Isk.5-8.'!D22+Gyermekétk.!D22+Családvéd.!D22+Gyermekvéd.!D22+Családtám.!D22+'Egyéb szoc.'!D22+'Közösségi Ház'!D22</f>
        <v>0</v>
      </c>
      <c r="E22" s="15">
        <f>Igazg.!E22+Adók!E22+Temető!E22+Önk.vagyon!E22+Múzeum!E22+Rendezvények!E22+Közter.rend.!E22+Közf.!E22+Közutak!E22+Közvil.!E22+Zöldter.!E22+'Város-község'!E22+Háziorvos!E22+Védőnő!E22+Sport!E22+Könyvtár!E22+'Művelődési H.'!E22+'Isk.1-4.'!E22+'Isk.5-8.'!E22+Gyermekétk.!E22+Családvéd.!E22+Gyermekvéd.!E22+Családtám.!E22+'Egyéb szoc.'!E22+'Közösségi Ház'!E22</f>
        <v>0</v>
      </c>
      <c r="F22" s="15">
        <f>Igazg.!F22+Adók!F22+Temető!F22+Önk.vagyon!F22+Múzeum!F22+Rendezvények!F22+Közter.rend.!F22+Közf.!F22+Közutak!F22+Közvil.!F22+Zöldter.!F22+'Város-község'!F22+Háziorvos!F22+Védőnő!F22+Sport!F22+Könyvtár!F22+'Művelődési H.'!F22+'Isk.1-4.'!F22+'Isk.5-8.'!F22+Gyermekétk.!F22+Családvéd.!F22+Gyermekvéd.!F22+Családtám.!F22+'Egyéb szoc.'!F22+'Közösségi Ház'!F22</f>
        <v>0</v>
      </c>
      <c r="G22" s="15">
        <f>Igazg.!G22+Adók!G22+Temető!G22+Önk.vagyon!G22+Múzeum!G22+Rendezvények!G22+Közter.rend.!G22+Közf.!G22+Közutak!G22+Közvil.!G22+Zöldter.!G22+'Város-község'!G22+Háziorvos!G22+Védőnő!G22+Sport!G22+Könyvtár!G22+'Művelődési H.'!G22+'Isk.1-4.'!G22+'Isk.5-8.'!G22+Gyermekétk.!G22+Családvéd.!G22+Gyermekvéd.!G22+Családtám.!G22+'Egyéb szoc.'!G22+'Közösségi Ház'!G22</f>
        <v>0</v>
      </c>
      <c r="H22" s="125" t="e">
        <f t="shared" si="0"/>
        <v>#DIV/0!</v>
      </c>
      <c r="L22" s="7">
        <v>112010470</v>
      </c>
    </row>
    <row r="23" spans="1:12" ht="25.5">
      <c r="A23" s="13" t="s">
        <v>197</v>
      </c>
      <c r="B23" s="14" t="s">
        <v>198</v>
      </c>
      <c r="C23" s="15">
        <f>Igazg.!C23+Adók!C23+Temető!C23+Önk.vagyon!C23+Múzeum!C23+Rendezvények!C23+Közter.rend.!C23+Közf.!C23+Közutak!C23+Közvil.!C23+Zöldter.!C23+'Város-község'!C23+Háziorvos!C23+Védőnő!C23+Sport!C23+Könyvtár!C23+'Művelődési H.'!C23+'Isk.1-4.'!C23+'Isk.5-8.'!C23+Gyermekétk.!C23+Családvéd.!C23+Gyermekvéd.!C23+Családtám.!C23+'Egyéb szoc.'!C23+'Közösségi Ház'!C23</f>
        <v>33913</v>
      </c>
      <c r="D23" s="15">
        <f>Igazg.!D23+Adók!D23+Temető!D23+Önk.vagyon!D23+Múzeum!D23+Rendezvények!D23+Közter.rend.!D23+Közf.!D23+Közutak!D23+Közvil.!D23+Zöldter.!D23+'Város-község'!D23+Háziorvos!D23+Védőnő!D23+Sport!D23+Könyvtár!D23+'Művelődési H.'!D23+'Isk.1-4.'!D23+'Isk.5-8.'!D23+Gyermekétk.!D23+Családvéd.!D23+Gyermekvéd.!D23+Családtám.!D23+'Egyéb szoc.'!D23+'Közösségi Ház'!D23</f>
        <v>0</v>
      </c>
      <c r="E23" s="15">
        <f>Igazg.!E23+Adók!E23+Temető!E23+Önk.vagyon!E23+Múzeum!E23+Rendezvények!E23+Közter.rend.!E23+Közf.!E23+Közutak!E23+Közvil.!E23+Zöldter.!E23+'Város-község'!E23+Háziorvos!E23+Védőnő!E23+Sport!E23+Könyvtár!E23+'Művelődési H.'!E23+'Isk.1-4.'!E23+'Isk.5-8.'!E23+Gyermekétk.!E23+Családvéd.!E23+Gyermekvéd.!E23+Családtám.!E23+'Egyéb szoc.'!E23+'Közösségi Ház'!E23</f>
        <v>0</v>
      </c>
      <c r="F23" s="15">
        <f>Igazg.!F23+Adók!F23+Temető!F23+Önk.vagyon!F23+Múzeum!F23+Rendezvények!F23+Közter.rend.!F23+Közf.!F23+Közutak!F23+Közvil.!F23+Zöldter.!F23+'Város-község'!F23+Háziorvos!F23+Védőnő!F23+Sport!F23+Könyvtár!F23+'Művelődési H.'!F23+'Isk.1-4.'!F23+'Isk.5-8.'!F23+Gyermekétk.!F23+Családvéd.!F23+Gyermekvéd.!F23+Családtám.!F23+'Egyéb szoc.'!F23+'Közösségi Ház'!F23</f>
        <v>0</v>
      </c>
      <c r="G23" s="15">
        <f>Igazg.!G23+Adók!G23+Temető!G23+Önk.vagyon!G23+Múzeum!G23+Rendezvények!G23+Közter.rend.!G23+Közf.!G23+Közutak!G23+Közvil.!G23+Zöldter.!G23+'Város-község'!G23+Háziorvos!G23+Védőnő!G23+Sport!G23+Könyvtár!G23+'Művelődési H.'!G23+'Isk.1-4.'!G23+'Isk.5-8.'!G23+Gyermekétk.!G23+Családvéd.!G23+Gyermekvéd.!G23+Családtám.!G23+'Egyéb szoc.'!G23+'Közösségi Ház'!G23</f>
        <v>0</v>
      </c>
      <c r="H23" s="124" t="e">
        <f t="shared" si="0"/>
        <v>#DIV/0!</v>
      </c>
      <c r="L23" s="4">
        <v>33913</v>
      </c>
    </row>
    <row r="24" spans="1:12" ht="25.5">
      <c r="A24" s="13" t="s">
        <v>199</v>
      </c>
      <c r="B24" s="14" t="s">
        <v>200</v>
      </c>
      <c r="C24" s="15">
        <f>Igazg.!C24+Adók!C24+Temető!C24+Önk.vagyon!C24+Múzeum!C24+Rendezvények!C24+Közter.rend.!C24+Közf.!C24+Közutak!C24+Közvil.!C24+Zöldter.!C24+'Város-község'!C24+Háziorvos!C24+Védőnő!C24+Sport!C24+Könyvtár!C24+'Művelődési H.'!C24+'Isk.1-4.'!C24+'Isk.5-8.'!C24+Gyermekétk.!C24+Családvéd.!C24+Gyermekvéd.!C24+Családtám.!C24+'Egyéb szoc.'!C24+'Közösségi Ház'!C24</f>
        <v>33913</v>
      </c>
      <c r="D24" s="15">
        <f>Igazg.!D24+Adók!D24+Temető!D24+Önk.vagyon!D24+Múzeum!D24+Rendezvények!D24+Közter.rend.!D24+Közf.!D24+Közutak!D24+Közvil.!D24+Zöldter.!D24+'Város-község'!D24+Háziorvos!D24+Védőnő!D24+Sport!D24+Könyvtár!D24+'Művelődési H.'!D24+'Isk.1-4.'!D24+'Isk.5-8.'!D24+Gyermekétk.!D24+Családvéd.!D24+Gyermekvéd.!D24+Családtám.!D24+'Egyéb szoc.'!D24+'Közösségi Ház'!D24</f>
        <v>0</v>
      </c>
      <c r="E24" s="15">
        <f>Igazg.!E24+Adók!E24+Temető!E24+Önk.vagyon!E24+Múzeum!E24+Rendezvények!E24+Közter.rend.!E24+Közf.!E24+Közutak!E24+Közvil.!E24+Zöldter.!E24+'Város-község'!E24+Háziorvos!E24+Védőnő!E24+Sport!E24+Könyvtár!E24+'Művelődési H.'!E24+'Isk.1-4.'!E24+'Isk.5-8.'!E24+Gyermekétk.!E24+Családvéd.!E24+Gyermekvéd.!E24+Családtám.!E24+'Egyéb szoc.'!E24+'Közösségi Ház'!E24</f>
        <v>0</v>
      </c>
      <c r="F24" s="15">
        <f>Igazg.!F24+Adók!F24+Temető!F24+Önk.vagyon!F24+Múzeum!F24+Rendezvények!F24+Közter.rend.!F24+Közf.!F24+Közutak!F24+Közvil.!F24+Zöldter.!F24+'Város-község'!F24+Háziorvos!F24+Védőnő!F24+Sport!F24+Könyvtár!F24+'Művelődési H.'!F24+'Isk.1-4.'!F24+'Isk.5-8.'!F24+Gyermekétk.!F24+Családvéd.!F24+Gyermekvéd.!F24+Családtám.!F24+'Egyéb szoc.'!F24+'Közösségi Ház'!F24</f>
        <v>0</v>
      </c>
      <c r="G24" s="15">
        <f>Igazg.!G24+Adók!G24+Temető!G24+Önk.vagyon!G24+Múzeum!G24+Rendezvények!G24+Közter.rend.!G24+Közf.!G24+Közutak!G24+Közvil.!G24+Zöldter.!G24+'Város-község'!G24+Háziorvos!G24+Védőnő!G24+Sport!G24+Könyvtár!G24+'Művelődési H.'!G24+'Isk.1-4.'!G24+'Isk.5-8.'!G24+Gyermekétk.!G24+Családvéd.!G24+Gyermekvéd.!G24+Családtám.!G24+'Egyéb szoc.'!G24+'Közösségi Ház'!G24</f>
        <v>0</v>
      </c>
      <c r="H24" s="124" t="e">
        <f t="shared" si="0"/>
        <v>#DIV/0!</v>
      </c>
      <c r="L24" s="4">
        <v>33913</v>
      </c>
    </row>
    <row r="25" spans="1:12">
      <c r="A25" s="13" t="s">
        <v>201</v>
      </c>
      <c r="B25" s="14" t="s">
        <v>202</v>
      </c>
      <c r="C25" s="15">
        <f>Igazg.!C25+Adók!C25+Temető!C25+Önk.vagyon!C25+Múzeum!C25+Rendezvények!C25+Közter.rend.!C25+Közf.!C25+Közutak!C25+Közvil.!C25+Zöldter.!C25+'Város-község'!C25+Háziorvos!C25+Védőnő!C25+Sport!C25+Könyvtár!C25+'Művelődési H.'!C25+'Isk.1-4.'!C25+'Isk.5-8.'!C25+Gyermekétk.!C25+Családvéd.!C25+Gyermekvéd.!C25+Családtám.!C25+'Egyéb szoc.'!C25+'Közösségi Ház'!C25</f>
        <v>33913</v>
      </c>
      <c r="D25" s="15">
        <f>Igazg.!D25+Adók!D25+Temető!D25+Önk.vagyon!D25+Múzeum!D25+Rendezvények!D25+Közter.rend.!D25+Közf.!D25+Közutak!D25+Közvil.!D25+Zöldter.!D25+'Város-község'!D25+Háziorvos!D25+Védőnő!D25+Sport!D25+Könyvtár!D25+'Művelődési H.'!D25+'Isk.1-4.'!D25+'Isk.5-8.'!D25+Gyermekétk.!D25+Családvéd.!D25+Gyermekvéd.!D25+Családtám.!D25+'Egyéb szoc.'!D25+'Közösségi Ház'!D25</f>
        <v>0</v>
      </c>
      <c r="E25" s="15">
        <f>Igazg.!E25+Adók!E25+Temető!E25+Önk.vagyon!E25+Múzeum!E25+Rendezvények!E25+Közter.rend.!E25+Közf.!E25+Közutak!E25+Közvil.!E25+Zöldter.!E25+'Város-község'!E25+Háziorvos!E25+Védőnő!E25+Sport!E25+Könyvtár!E25+'Művelődési H.'!E25+'Isk.1-4.'!E25+'Isk.5-8.'!E25+Gyermekétk.!E25+Családvéd.!E25+Gyermekvéd.!E25+Családtám.!E25+'Egyéb szoc.'!E25+'Közösségi Ház'!E25</f>
        <v>0</v>
      </c>
      <c r="F25" s="15">
        <f>Igazg.!F25+Adók!F25+Temető!F25+Önk.vagyon!F25+Múzeum!F25+Rendezvények!F25+Közter.rend.!F25+Közf.!F25+Közutak!F25+Közvil.!F25+Zöldter.!F25+'Város-község'!F25+Háziorvos!F25+Védőnő!F25+Sport!F25+Könyvtár!F25+'Művelődési H.'!F25+'Isk.1-4.'!F25+'Isk.5-8.'!F25+Gyermekétk.!F25+Családvéd.!F25+Gyermekvéd.!F25+Családtám.!F25+'Egyéb szoc.'!F25+'Közösségi Ház'!F25</f>
        <v>0</v>
      </c>
      <c r="G25" s="15">
        <f>Igazg.!G25+Adók!G25+Temető!G25+Önk.vagyon!G25+Múzeum!G25+Rendezvények!G25+Közter.rend.!G25+Közf.!G25+Közutak!G25+Közvil.!G25+Zöldter.!G25+'Város-község'!G25+Háziorvos!G25+Védőnő!G25+Sport!G25+Könyvtár!G25+'Művelődési H.'!G25+'Isk.1-4.'!G25+'Isk.5-8.'!G25+Gyermekétk.!G25+Családvéd.!G25+Gyermekvéd.!G25+Családtám.!G25+'Egyéb szoc.'!G25+'Közösségi Ház'!G25</f>
        <v>0</v>
      </c>
      <c r="H25" s="124" t="e">
        <f t="shared" si="0"/>
        <v>#DIV/0!</v>
      </c>
      <c r="L25" s="4">
        <v>33913</v>
      </c>
    </row>
    <row r="26" spans="1:12">
      <c r="A26" s="13" t="s">
        <v>203</v>
      </c>
      <c r="B26" s="14" t="s">
        <v>204</v>
      </c>
      <c r="C26" s="15">
        <f>Igazg.!C26+Adók!C26+Temető!C26+Önk.vagyon!C26+Múzeum!C26+Rendezvények!C26+Közter.rend.!C26+Közf.!C26+Közutak!C26+Közvil.!C26+Zöldter.!C26+'Város-község'!C26+Háziorvos!C26+Védőnő!C26+Sport!C26+Könyvtár!C26+'Művelődési H.'!C26+'Isk.1-4.'!C26+'Isk.5-8.'!C26+Gyermekétk.!C26+Családvéd.!C26+Gyermekvéd.!C26+Családtám.!C26+'Egyéb szoc.'!C26+'Közösségi Ház'!C26</f>
        <v>6244021</v>
      </c>
      <c r="D26" s="15">
        <f>Igazg.!D26+Adók!D26+Temető!D26+Önk.vagyon!D26+Múzeum!D26+Rendezvények!D26+Közter.rend.!D26+Közf.!D26+Közutak!D26+Közvil.!D26+Zöldter.!D26+'Város-község'!D26+Háziorvos!D26+Védőnő!D26+Sport!D26+Könyvtár!D26+'Művelődési H.'!D26+'Isk.1-4.'!D26+'Isk.5-8.'!D26+Gyermekétk.!D26+Családvéd.!D26+Gyermekvéd.!D26+Családtám.!D26+'Egyéb szoc.'!D26+'Közösségi Ház'!D26</f>
        <v>4000000</v>
      </c>
      <c r="E26" s="15">
        <f>Igazg.!E26+Adók!E26+Temető!E26+Önk.vagyon!E26+Múzeum!E26+Rendezvények!E26+Közter.rend.!E26+Közf.!E26+Közutak!E26+Közvil.!E26+Zöldter.!E26+'Város-község'!E26+Háziorvos!E26+Védőnő!E26+Sport!E26+Könyvtár!E26+'Művelődési H.'!E26+'Isk.1-4.'!E26+'Isk.5-8.'!E26+Gyermekétk.!E26+Családvéd.!E26+Gyermekvéd.!E26+Családtám.!E26+'Egyéb szoc.'!E26+'Közösségi Ház'!E26</f>
        <v>2494470</v>
      </c>
      <c r="F26" s="15">
        <f>Igazg.!F26+Adók!F26+Temető!F26+Önk.vagyon!F26+Múzeum!F26+Rendezvények!F26+Közter.rend.!F26+Közf.!F26+Közutak!F26+Közvil.!F26+Zöldter.!F26+'Város-község'!F26+Háziorvos!F26+Védőnő!F26+Sport!F26+Könyvtár!F26+'Művelődési H.'!F26+'Isk.1-4.'!F26+'Isk.5-8.'!F26+Gyermekétk.!F26+Családvéd.!F26+Gyermekvéd.!F26+Családtám.!F26+'Egyéb szoc.'!F26+'Közösségi Ház'!F26</f>
        <v>6494470</v>
      </c>
      <c r="G26" s="15">
        <f>Igazg.!G26+Adók!G26+Temető!G26+Önk.vagyon!G26+Múzeum!G26+Rendezvények!G26+Közter.rend.!G26+Közf.!G26+Közutak!G26+Közvil.!G26+Zöldter.!G26+'Város-község'!G26+Háziorvos!G26+Védőnő!G26+Sport!G26+Könyvtár!G26+'Művelődési H.'!G26+'Isk.1-4.'!G26+'Isk.5-8.'!G26+Gyermekétk.!G26+Családvéd.!G26+Gyermekvéd.!G26+Családtám.!G26+'Egyéb szoc.'!G26+'Közösségi Ház'!G26</f>
        <v>2125349</v>
      </c>
      <c r="H26" s="124">
        <f t="shared" si="0"/>
        <v>0.32725518787522306</v>
      </c>
      <c r="L26" s="4">
        <v>6244021</v>
      </c>
    </row>
    <row r="27" spans="1:12">
      <c r="A27" s="13" t="s">
        <v>205</v>
      </c>
      <c r="B27" s="14" t="s">
        <v>206</v>
      </c>
      <c r="C27" s="15">
        <f>Igazg.!C27+Adók!C27+Temető!C27+Önk.vagyon!C27+Múzeum!C27+Rendezvények!C27+Közter.rend.!C27+Közf.!C27+Közutak!C27+Közvil.!C27+Zöldter.!C27+'Város-község'!C27+Háziorvos!C27+Védőnő!C27+Sport!C27+Könyvtár!C27+'Művelődési H.'!C27+'Isk.1-4.'!C27+'Isk.5-8.'!C27+Gyermekétk.!C27+Családvéd.!C27+Gyermekvéd.!C27+Családtám.!C27+'Egyéb szoc.'!C27+'Közösségi Ház'!C27</f>
        <v>6244021</v>
      </c>
      <c r="D27" s="15">
        <f>Igazg.!D27+Adók!D27+Temető!D27+Önk.vagyon!D27+Múzeum!D27+Rendezvények!D27+Közter.rend.!D27+Közf.!D27+Közutak!D27+Közvil.!D27+Zöldter.!D27+'Város-község'!D27+Háziorvos!D27+Védőnő!D27+Sport!D27+Könyvtár!D27+'Művelődési H.'!D27+'Isk.1-4.'!D27+'Isk.5-8.'!D27+Gyermekétk.!D27+Családvéd.!D27+Gyermekvéd.!D27+Családtám.!D27+'Egyéb szoc.'!D27+'Közösségi Ház'!D27</f>
        <v>4000000</v>
      </c>
      <c r="E27" s="15">
        <f>Igazg.!E27+Adók!E27+Temető!E27+Önk.vagyon!E27+Múzeum!E27+Rendezvények!E27+Közter.rend.!E27+Közf.!E27+Közutak!E27+Közvil.!E27+Zöldter.!E27+'Város-község'!E27+Háziorvos!E27+Védőnő!E27+Sport!E27+Könyvtár!E27+'Művelődési H.'!E27+'Isk.1-4.'!E27+'Isk.5-8.'!E27+Gyermekétk.!E27+Családvéd.!E27+Gyermekvéd.!E27+Családtám.!E27+'Egyéb szoc.'!E27+'Közösségi Ház'!E27</f>
        <v>2494470</v>
      </c>
      <c r="F27" s="15">
        <f>Igazg.!F27+Adók!F27+Temető!F27+Önk.vagyon!F27+Múzeum!F27+Rendezvények!F27+Közter.rend.!F27+Közf.!F27+Közutak!F27+Közvil.!F27+Zöldter.!F27+'Város-község'!F27+Háziorvos!F27+Védőnő!F27+Sport!F27+Könyvtár!F27+'Művelődési H.'!F27+'Isk.1-4.'!F27+'Isk.5-8.'!F27+Gyermekétk.!F27+Családvéd.!F27+Gyermekvéd.!F27+Családtám.!F27+'Egyéb szoc.'!F27+'Közösségi Ház'!F27</f>
        <v>6494470</v>
      </c>
      <c r="G27" s="15">
        <f>Igazg.!G27+Adók!G27+Temető!G27+Önk.vagyon!G27+Múzeum!G27+Rendezvények!G27+Közter.rend.!G27+Közf.!G27+Közutak!G27+Közvil.!G27+Zöldter.!G27+'Város-község'!G27+Háziorvos!G27+Védőnő!G27+Sport!G27+Könyvtár!G27+'Művelődési H.'!G27+'Isk.1-4.'!G27+'Isk.5-8.'!G27+Gyermekétk.!G27+Családvéd.!G27+Gyermekvéd.!G27+Családtám.!G27+'Egyéb szoc.'!G27+'Közösségi Ház'!G27</f>
        <v>2125349</v>
      </c>
      <c r="H27" s="124">
        <f t="shared" si="0"/>
        <v>0.32725518787522306</v>
      </c>
      <c r="L27" s="4">
        <v>6244021</v>
      </c>
    </row>
    <row r="28" spans="1:12" ht="25.5">
      <c r="A28" s="13" t="s">
        <v>207</v>
      </c>
      <c r="B28" s="14" t="s">
        <v>208</v>
      </c>
      <c r="C28" s="15">
        <f>Igazg.!C28+Adók!C28+Temető!C28+Önk.vagyon!C28+Múzeum!C28+Rendezvények!C28+Közter.rend.!C28+Közf.!C28+Közutak!C28+Közvil.!C28+Zöldter.!C28+'Város-község'!C28+Háziorvos!C28+Védőnő!C28+Sport!C28+Könyvtár!C28+'Művelődési H.'!C28+'Isk.1-4.'!C28+'Isk.5-8.'!C28+Gyermekétk.!C28+Családvéd.!C28+Gyermekvéd.!C28+Családtám.!C28+'Egyéb szoc.'!C28+'Közösségi Ház'!C28</f>
        <v>14383846</v>
      </c>
      <c r="D28" s="15">
        <f>Igazg.!D28+Adók!D28+Temető!D28+Önk.vagyon!D28+Múzeum!D28+Rendezvények!D28+Közter.rend.!D28+Közf.!D28+Közutak!D28+Közvil.!D28+Zöldter.!D28+'Város-község'!D28+Háziorvos!D28+Védőnő!D28+Sport!D28+Könyvtár!D28+'Művelődési H.'!D28+'Isk.1-4.'!D28+'Isk.5-8.'!D28+Gyermekétk.!D28+Családvéd.!D28+Gyermekvéd.!D28+Családtám.!D28+'Egyéb szoc.'!D28+'Közösségi Ház'!D28</f>
        <v>12000000</v>
      </c>
      <c r="E28" s="15">
        <f>Igazg.!E28+Adók!E28+Temető!E28+Önk.vagyon!E28+Múzeum!E28+Rendezvények!E28+Közter.rend.!E28+Közf.!E28+Közutak!E28+Közvil.!E28+Zöldter.!E28+'Város-község'!E28+Háziorvos!E28+Védőnő!E28+Sport!E28+Könyvtár!E28+'Művelődési H.'!E28+'Isk.1-4.'!E28+'Isk.5-8.'!E28+Gyermekétk.!E28+Családvéd.!E28+Gyermekvéd.!E28+Családtám.!E28+'Egyéb szoc.'!E28+'Közösségi Ház'!E28</f>
        <v>0</v>
      </c>
      <c r="F28" s="15">
        <f>Igazg.!F28+Adók!F28+Temető!F28+Önk.vagyon!F28+Múzeum!F28+Rendezvények!F28+Közter.rend.!F28+Közf.!F28+Közutak!F28+Közvil.!F28+Zöldter.!F28+'Város-község'!F28+Háziorvos!F28+Védőnő!F28+Sport!F28+Könyvtár!F28+'Művelődési H.'!F28+'Isk.1-4.'!F28+'Isk.5-8.'!F28+Gyermekétk.!F28+Családvéd.!F28+Gyermekvéd.!F28+Családtám.!F28+'Egyéb szoc.'!F28+'Közösségi Ház'!F28</f>
        <v>12000000</v>
      </c>
      <c r="G28" s="15">
        <f>Igazg.!G28+Adók!G28+Temető!G28+Önk.vagyon!G28+Múzeum!G28+Rendezvények!G28+Közter.rend.!G28+Közf.!G28+Közutak!G28+Közvil.!G28+Zöldter.!G28+'Város-község'!G28+Háziorvos!G28+Védőnő!G28+Sport!G28+Könyvtár!G28+'Művelődési H.'!G28+'Isk.1-4.'!G28+'Isk.5-8.'!G28+Gyermekétk.!G28+Családvéd.!G28+Gyermekvéd.!G28+Családtám.!G28+'Egyéb szoc.'!G28+'Közösségi Ház'!G28</f>
        <v>4899221</v>
      </c>
      <c r="H28" s="124">
        <f t="shared" si="0"/>
        <v>0.40826841666666669</v>
      </c>
      <c r="L28" s="4">
        <v>14383846</v>
      </c>
    </row>
    <row r="29" spans="1:12" ht="38.25">
      <c r="A29" s="13" t="s">
        <v>119</v>
      </c>
      <c r="B29" s="14" t="s">
        <v>209</v>
      </c>
      <c r="C29" s="15">
        <f>Igazg.!C29+Adók!C29+Temető!C29+Önk.vagyon!C29+Múzeum!C29+Rendezvények!C29+Közter.rend.!C29+Közf.!C29+Közutak!C29+Közvil.!C29+Zöldter.!C29+'Város-község'!C29+Háziorvos!C29+Védőnő!C29+Sport!C29+Könyvtár!C29+'Művelődési H.'!C29+'Isk.1-4.'!C29+'Isk.5-8.'!C29+Gyermekétk.!C29+Családvéd.!C29+Gyermekvéd.!C29+Családtám.!C29+'Egyéb szoc.'!C29+'Közösségi Ház'!C29</f>
        <v>14383846</v>
      </c>
      <c r="D29" s="15">
        <f>Igazg.!D29+Adók!D29+Temető!D29+Önk.vagyon!D29+Múzeum!D29+Rendezvények!D29+Közter.rend.!D29+Közf.!D29+Közutak!D29+Közvil.!D29+Zöldter.!D29+'Város-község'!D29+Háziorvos!D29+Védőnő!D29+Sport!D29+Könyvtár!D29+'Művelődési H.'!D29+'Isk.1-4.'!D29+'Isk.5-8.'!D29+Gyermekétk.!D29+Családvéd.!D29+Gyermekvéd.!D29+Családtám.!D29+'Egyéb szoc.'!D29+'Közösségi Ház'!D29</f>
        <v>12000000</v>
      </c>
      <c r="E29" s="15">
        <f>Igazg.!E29+Adók!E29+Temető!E29+Önk.vagyon!E29+Múzeum!E29+Rendezvények!E29+Közter.rend.!E29+Közf.!E29+Közutak!E29+Közvil.!E29+Zöldter.!E29+'Város-község'!E29+Háziorvos!E29+Védőnő!E29+Sport!E29+Könyvtár!E29+'Művelődési H.'!E29+'Isk.1-4.'!E29+'Isk.5-8.'!E29+Gyermekétk.!E29+Családvéd.!E29+Gyermekvéd.!E29+Családtám.!E29+'Egyéb szoc.'!E29+'Közösségi Ház'!E29</f>
        <v>0</v>
      </c>
      <c r="F29" s="15">
        <f>Igazg.!F29+Adók!F29+Temető!F29+Önk.vagyon!F29+Múzeum!F29+Rendezvények!F29+Közter.rend.!F29+Közf.!F29+Közutak!F29+Közvil.!F29+Zöldter.!F29+'Város-község'!F29+Háziorvos!F29+Védőnő!F29+Sport!F29+Könyvtár!F29+'Művelődési H.'!F29+'Isk.1-4.'!F29+'Isk.5-8.'!F29+Gyermekétk.!F29+Családvéd.!F29+Gyermekvéd.!F29+Családtám.!F29+'Egyéb szoc.'!F29+'Közösségi Ház'!F29</f>
        <v>12000000</v>
      </c>
      <c r="G29" s="15">
        <f>Igazg.!G29+Adók!G29+Temető!G29+Önk.vagyon!G29+Múzeum!G29+Rendezvények!G29+Közter.rend.!G29+Közf.!G29+Közutak!G29+Közvil.!G29+Zöldter.!G29+'Város-község'!G29+Háziorvos!G29+Védőnő!G29+Sport!G29+Könyvtár!G29+'Művelődési H.'!G29+'Isk.1-4.'!G29+'Isk.5-8.'!G29+Gyermekétk.!G29+Családvéd.!G29+Gyermekvéd.!G29+Családtám.!G29+'Egyéb szoc.'!G29+'Közösségi Ház'!G29</f>
        <v>4899221</v>
      </c>
      <c r="H29" s="124">
        <f t="shared" si="0"/>
        <v>0.40826841666666669</v>
      </c>
      <c r="L29" s="4">
        <v>14383846</v>
      </c>
    </row>
    <row r="30" spans="1:12">
      <c r="A30" s="13" t="s">
        <v>210</v>
      </c>
      <c r="B30" s="14" t="s">
        <v>211</v>
      </c>
      <c r="C30" s="15">
        <f>Igazg.!C30+Adók!C30+Temető!C30+Önk.vagyon!C30+Múzeum!C30+Rendezvények!C30+Közter.rend.!C30+Közf.!C30+Közutak!C30+Közvil.!C30+Zöldter.!C30+'Város-község'!C30+Háziorvos!C30+Védőnő!C30+Sport!C30+Könyvtár!C30+'Művelődési H.'!C30+'Isk.1-4.'!C30+'Isk.5-8.'!C30+Gyermekétk.!C30+Családvéd.!C30+Gyermekvéd.!C30+Családtám.!C30+'Egyéb szoc.'!C30+'Közösségi Ház'!C30</f>
        <v>5012523</v>
      </c>
      <c r="D30" s="15">
        <f>Igazg.!D30+Adók!D30+Temető!D30+Önk.vagyon!D30+Múzeum!D30+Rendezvények!D30+Közter.rend.!D30+Közf.!D30+Közutak!D30+Közvil.!D30+Zöldter.!D30+'Város-község'!D30+Háziorvos!D30+Védőnő!D30+Sport!D30+Könyvtár!D30+'Művelődési H.'!D30+'Isk.1-4.'!D30+'Isk.5-8.'!D30+Gyermekétk.!D30+Családvéd.!D30+Gyermekvéd.!D30+Családtám.!D30+'Egyéb szoc.'!D30+'Közösségi Ház'!D30</f>
        <v>4500000</v>
      </c>
      <c r="E30" s="15">
        <f>Igazg.!E30+Adók!E30+Temető!E30+Önk.vagyon!E30+Múzeum!E30+Rendezvények!E30+Közter.rend.!E30+Közf.!E30+Közutak!E30+Közvil.!E30+Zöldter.!E30+'Város-község'!E30+Háziorvos!E30+Védőnő!E30+Sport!E30+Könyvtár!E30+'Művelődési H.'!E30+'Isk.1-4.'!E30+'Isk.5-8.'!E30+Gyermekétk.!E30+Családvéd.!E30+Gyermekvéd.!E30+Családtám.!E30+'Egyéb szoc.'!E30+'Közösségi Ház'!E30</f>
        <v>2730286</v>
      </c>
      <c r="F30" s="15">
        <f>Igazg.!F30+Adók!F30+Temető!F30+Önk.vagyon!F30+Múzeum!F30+Rendezvények!F30+Közter.rend.!F30+Közf.!F30+Közutak!F30+Közvil.!F30+Zöldter.!F30+'Város-község'!F30+Háziorvos!F30+Védőnő!F30+Sport!F30+Könyvtár!F30+'Művelődési H.'!F30+'Isk.1-4.'!F30+'Isk.5-8.'!F30+Gyermekétk.!F30+Családvéd.!F30+Gyermekvéd.!F30+Családtám.!F30+'Egyéb szoc.'!F30+'Közösségi Ház'!F30</f>
        <v>7230286</v>
      </c>
      <c r="G30" s="15">
        <f>Igazg.!G30+Adók!G30+Temető!G30+Önk.vagyon!G30+Múzeum!G30+Rendezvények!G30+Közter.rend.!G30+Közf.!G30+Közutak!G30+Közvil.!G30+Zöldter.!G30+'Város-község'!G30+Háziorvos!G30+Védőnő!G30+Sport!G30+Könyvtár!G30+'Művelődési H.'!G30+'Isk.1-4.'!G30+'Isk.5-8.'!G30+Gyermekétk.!G30+Családvéd.!G30+Gyermekvéd.!G30+Családtám.!G30+'Egyéb szoc.'!G30+'Közösségi Ház'!G30</f>
        <v>2368566</v>
      </c>
      <c r="H30" s="124">
        <f t="shared" si="0"/>
        <v>0.3275895310365316</v>
      </c>
      <c r="L30" s="4">
        <v>5012523</v>
      </c>
    </row>
    <row r="31" spans="1:12" ht="25.5">
      <c r="A31" s="13" t="s">
        <v>212</v>
      </c>
      <c r="B31" s="14" t="s">
        <v>213</v>
      </c>
      <c r="C31" s="15">
        <f>Igazg.!C31+Adók!C31+Temető!C31+Önk.vagyon!C31+Múzeum!C31+Rendezvények!C31+Közter.rend.!C31+Közf.!C31+Közutak!C31+Közvil.!C31+Zöldter.!C31+'Város-község'!C31+Háziorvos!C31+Védőnő!C31+Sport!C31+Könyvtár!C31+'Művelődési H.'!C31+'Isk.1-4.'!C31+'Isk.5-8.'!C31+Gyermekétk.!C31+Családvéd.!C31+Gyermekvéd.!C31+Családtám.!C31+'Egyéb szoc.'!C31+'Közösségi Ház'!C31</f>
        <v>5012523</v>
      </c>
      <c r="D31" s="15">
        <f>Igazg.!D31+Adók!D31+Temető!D31+Önk.vagyon!D31+Múzeum!D31+Rendezvények!D31+Közter.rend.!D31+Közf.!D31+Közutak!D31+Közvil.!D31+Zöldter.!D31+'Város-község'!D31+Háziorvos!D31+Védőnő!D31+Sport!D31+Könyvtár!D31+'Művelődési H.'!D31+'Isk.1-4.'!D31+'Isk.5-8.'!D31+Gyermekétk.!D31+Családvéd.!D31+Gyermekvéd.!D31+Családtám.!D31+'Egyéb szoc.'!D31+'Közösségi Ház'!D31</f>
        <v>4500000</v>
      </c>
      <c r="E31" s="15">
        <f>Igazg.!E31+Adók!E31+Temető!E31+Önk.vagyon!E31+Múzeum!E31+Rendezvények!E31+Közter.rend.!E31+Közf.!E31+Közutak!E31+Közvil.!E31+Zöldter.!E31+'Város-község'!E31+Háziorvos!E31+Védőnő!E31+Sport!E31+Könyvtár!E31+'Művelődési H.'!E31+'Isk.1-4.'!E31+'Isk.5-8.'!E31+Gyermekétk.!E31+Családvéd.!E31+Gyermekvéd.!E31+Családtám.!E31+'Egyéb szoc.'!E31+'Közösségi Ház'!E31</f>
        <v>2730286</v>
      </c>
      <c r="F31" s="15">
        <f>Igazg.!F31+Adók!F31+Temető!F31+Önk.vagyon!F31+Múzeum!F31+Rendezvények!F31+Közter.rend.!F31+Közf.!F31+Közutak!F31+Közvil.!F31+Zöldter.!F31+'Város-község'!F31+Háziorvos!F31+Védőnő!F31+Sport!F31+Könyvtár!F31+'Művelődési H.'!F31+'Isk.1-4.'!F31+'Isk.5-8.'!F31+Gyermekétk.!F31+Családvéd.!F31+Gyermekvéd.!F31+Családtám.!F31+'Egyéb szoc.'!F31+'Közösségi Ház'!F31</f>
        <v>7230286</v>
      </c>
      <c r="G31" s="15">
        <f>Igazg.!G31+Adók!G31+Temető!G31+Önk.vagyon!G31+Múzeum!G31+Rendezvények!G31+Közter.rend.!G31+Közf.!G31+Közutak!G31+Közvil.!G31+Zöldter.!G31+'Város-község'!G31+Háziorvos!G31+Védőnő!G31+Sport!G31+Könyvtár!G31+'Művelődési H.'!G31+'Isk.1-4.'!G31+'Isk.5-8.'!G31+Gyermekétk.!G31+Családvéd.!G31+Gyermekvéd.!G31+Családtám.!G31+'Egyéb szoc.'!G31+'Közösségi Ház'!G31</f>
        <v>2368566</v>
      </c>
      <c r="H31" s="124">
        <f t="shared" si="0"/>
        <v>0.3275895310365316</v>
      </c>
      <c r="L31" s="4">
        <v>5012523</v>
      </c>
    </row>
    <row r="32" spans="1:12" s="122" customFormat="1">
      <c r="A32" s="13">
        <v>148</v>
      </c>
      <c r="B32" s="19" t="s">
        <v>461</v>
      </c>
      <c r="C32" s="15">
        <f>Adók!C32</f>
        <v>0</v>
      </c>
      <c r="D32" s="15">
        <f>Adók!D32</f>
        <v>100000</v>
      </c>
      <c r="E32" s="15">
        <f>Adók!E32</f>
        <v>474888</v>
      </c>
      <c r="F32" s="15">
        <f>Adók!F32</f>
        <v>574888</v>
      </c>
      <c r="G32" s="15">
        <f>Adók!G32</f>
        <v>217260</v>
      </c>
      <c r="H32" s="124">
        <f t="shared" si="0"/>
        <v>0.37791708993751827</v>
      </c>
      <c r="L32" s="4"/>
    </row>
    <row r="33" spans="1:12" ht="25.5">
      <c r="A33" s="13" t="s">
        <v>214</v>
      </c>
      <c r="B33" s="14" t="s">
        <v>215</v>
      </c>
      <c r="C33" s="15">
        <f>Igazg.!C32+Adók!C33+Temető!C32+Önk.vagyon!C32+Múzeum!C32+Rendezvények!C32+Közter.rend.!C32+Közf.!C32+Közutak!C32+Közvil.!C32+Zöldter.!C32+'Város-község'!C32+Háziorvos!C32+Védőnő!C32+Sport!C32+Könyvtár!C32+'Művelődési H.'!C32+'Isk.1-4.'!C32+'Isk.5-8.'!C32+Gyermekétk.!C32+Családvéd.!C32+Gyermekvéd.!C32+Családtám.!C32+'Egyéb szoc.'!C32+'Közösségi Ház'!C32</f>
        <v>19396369</v>
      </c>
      <c r="D33" s="15">
        <f>Igazg.!D32+Adók!D33+Temető!D32+Önk.vagyon!D32+Múzeum!D32+Rendezvények!D32+Közter.rend.!D32+Közf.!D32+Közutak!D32+Közvil.!D32+Zöldter.!D32+'Város-község'!D32+Háziorvos!D32+Védőnő!D32+Sport!D32+Könyvtár!D32+'Művelődési H.'!D32+'Isk.1-4.'!D32+'Isk.5-8.'!D32+Gyermekétk.!D32+Családvéd.!D32+Gyermekvéd.!D32+Családtám.!D32+'Egyéb szoc.'!D32+'Közösségi Ház'!D32</f>
        <v>16600000</v>
      </c>
      <c r="E33" s="15">
        <f>Igazg.!E32+Adók!E33+Temető!E32+Önk.vagyon!E32+Múzeum!E32+Rendezvények!E32+Közter.rend.!E32+Közf.!E32+Közutak!E32+Közvil.!E32+Zöldter.!E32+'Város-község'!E32+Háziorvos!E32+Védőnő!E32+Sport!E32+Könyvtár!E32+'Művelődési H.'!E32+'Isk.1-4.'!E32+'Isk.5-8.'!E32+Gyermekétk.!E32+Családvéd.!E32+Gyermekvéd.!E32+Családtám.!E32+'Egyéb szoc.'!E32+'Közösségi Ház'!E32</f>
        <v>3205174</v>
      </c>
      <c r="F33" s="15">
        <f>Igazg.!F32+Adók!F33+Temető!F32+Önk.vagyon!F32+Múzeum!F32+Rendezvények!F32+Közter.rend.!F32+Közf.!F32+Közutak!F32+Közvil.!F32+Zöldter.!F32+'Város-község'!F32+Háziorvos!F32+Védőnő!F32+Sport!F32+Könyvtár!F32+'Művelődési H.'!F32+'Isk.1-4.'!F32+'Isk.5-8.'!F32+Gyermekétk.!F32+Családvéd.!F32+Gyermekvéd.!F32+Családtám.!F32+'Egyéb szoc.'!F32+'Közösségi Ház'!F32</f>
        <v>19805174</v>
      </c>
      <c r="G33" s="15">
        <f>Igazg.!G32+Adók!G33+Temető!G32+Önk.vagyon!G32+Múzeum!G32+Rendezvények!G32+Közter.rend.!G32+Közf.!G32+Közutak!G32+Közvil.!G32+Zöldter.!G32+'Város-község'!G32+Háziorvos!G32+Védőnő!G32+Sport!G32+Könyvtár!G32+'Művelődési H.'!G32+'Isk.1-4.'!G32+'Isk.5-8.'!G32+Gyermekétk.!G32+Családvéd.!G32+Gyermekvéd.!G32+Családtám.!G32+'Egyéb szoc.'!G32+'Közösségi Ház'!G32</f>
        <v>7485047</v>
      </c>
      <c r="H33" s="124">
        <f t="shared" si="0"/>
        <v>0.3779339176722204</v>
      </c>
      <c r="L33" s="4">
        <v>19396369</v>
      </c>
    </row>
    <row r="34" spans="1:12" ht="25.5">
      <c r="A34" s="13" t="s">
        <v>216</v>
      </c>
      <c r="B34" s="14" t="s">
        <v>217</v>
      </c>
      <c r="C34" s="15">
        <f>Igazg.!C33+Adók!C34+Temető!C33+Önk.vagyon!C33+Múzeum!C33+Rendezvények!C33+Közter.rend.!C33+Közf.!C33+Közutak!C33+Közvil.!C33+Zöldter.!C33+'Város-község'!C33+Háziorvos!C33+Védőnő!C33+Sport!C33+Könyvtár!C33+'Művelődési H.'!C33+'Isk.1-4.'!C33+'Isk.5-8.'!C33+Gyermekétk.!C33+Családvéd.!C33+Gyermekvéd.!C33+Családtám.!C33+'Egyéb szoc.'!C33+'Közösségi Ház'!C33</f>
        <v>1033663</v>
      </c>
      <c r="D34" s="15">
        <f>Igazg.!D33+Adók!D34+Temető!D33+Önk.vagyon!D33+Múzeum!D33+Rendezvények!D33+Közter.rend.!D33+Közf.!D33+Közutak!D33+Közvil.!D33+Zöldter.!D33+'Város-község'!D33+Háziorvos!D33+Védőnő!D33+Sport!D33+Könyvtár!D33+'Művelődési H.'!D33+'Isk.1-4.'!D33+'Isk.5-8.'!D33+Gyermekétk.!D33+Családvéd.!D33+Gyermekvéd.!D33+Családtám.!D33+'Egyéb szoc.'!D33+'Közösségi Ház'!D33</f>
        <v>205000</v>
      </c>
      <c r="E34" s="15">
        <f>Igazg.!E33+Adók!E34+Temető!E33+Önk.vagyon!E33+Múzeum!E33+Rendezvények!E33+Közter.rend.!E33+Közf.!E33+Közutak!E33+Közvil.!E33+Zöldter.!E33+'Város-község'!E33+Háziorvos!E33+Védőnő!E33+Sport!E33+Könyvtár!E33+'Művelődési H.'!E33+'Isk.1-4.'!E33+'Isk.5-8.'!E33+Gyermekétk.!E33+Családvéd.!E33+Gyermekvéd.!E33+Családtám.!E33+'Egyéb szoc.'!E33+'Közösségi Ház'!E33</f>
        <v>714611</v>
      </c>
      <c r="F34" s="15">
        <f>Igazg.!F33+Adók!F34+Temető!F33+Önk.vagyon!F33+Múzeum!F33+Rendezvények!F33+Közter.rend.!F33+Közf.!F33+Közutak!F33+Közvil.!F33+Zöldter.!F33+'Város-község'!F33+Háziorvos!F33+Védőnő!F33+Sport!F33+Könyvtár!F33+'Művelődési H.'!F33+'Isk.1-4.'!F33+'Isk.5-8.'!F33+Gyermekétk.!F33+Családvéd.!F33+Gyermekvéd.!F33+Családtám.!F33+'Egyéb szoc.'!F33+'Közösségi Ház'!F33</f>
        <v>919611</v>
      </c>
      <c r="G34" s="15">
        <f>Igazg.!G33+Adók!G34+Temető!G33+Önk.vagyon!G33+Múzeum!G33+Rendezvények!G33+Közter.rend.!G33+Közf.!G33+Közutak!G33+Közvil.!G33+Zöldter.!G33+'Város-község'!G33+Háziorvos!G33+Védőnő!G33+Sport!G33+Könyvtár!G33+'Művelődési H.'!G33+'Isk.1-4.'!G33+'Isk.5-8.'!G33+Gyermekétk.!G33+Családvéd.!G33+Gyermekvéd.!G33+Családtám.!G33+'Egyéb szoc.'!G33+'Közösségi Ház'!G33</f>
        <v>93474</v>
      </c>
      <c r="H34" s="124">
        <f t="shared" si="0"/>
        <v>0.10164515213497881</v>
      </c>
      <c r="L34" s="4">
        <v>1033663</v>
      </c>
    </row>
    <row r="35" spans="1:12">
      <c r="A35" s="13" t="s">
        <v>131</v>
      </c>
      <c r="B35" s="14" t="s">
        <v>218</v>
      </c>
      <c r="C35" s="15">
        <f>Igazg.!C34+Adók!C35+Temető!C34+Önk.vagyon!C34+Múzeum!C34+Rendezvények!C34+Közter.rend.!C34+Közf.!C34+Közutak!C34+Közvil.!C34+Zöldter.!C34+'Város-község'!C34+Háziorvos!C34+Védőnő!C34+Sport!C34+Könyvtár!C34+'Művelődési H.'!C34+'Isk.1-4.'!C34+'Isk.5-8.'!C34+Gyermekétk.!C34+Családvéd.!C34+Gyermekvéd.!C34+Családtám.!C34+'Egyéb szoc.'!C34+'Közösségi Ház'!C34</f>
        <v>260591</v>
      </c>
      <c r="D35" s="15">
        <f>Igazg.!D34+Adók!D35+Temető!D34+Önk.vagyon!D34+Múzeum!D34+Rendezvények!D34+Közter.rend.!D34+Közf.!D34+Közutak!D34+Közvil.!D34+Zöldter.!D34+'Város-község'!D34+Háziorvos!D34+Védőnő!D34+Sport!D34+Könyvtár!D34+'Művelődési H.'!D34+'Isk.1-4.'!D34+'Isk.5-8.'!D34+Gyermekétk.!D34+Családvéd.!D34+Gyermekvéd.!D34+Családtám.!D34+'Egyéb szoc.'!D34+'Közösségi Ház'!D34</f>
        <v>205000</v>
      </c>
      <c r="E35" s="15">
        <f>Igazg.!E34+Adók!E35+Temető!E34+Önk.vagyon!E34+Múzeum!E34+Rendezvények!E34+Közter.rend.!E34+Közf.!E34+Közutak!E34+Közvil.!E34+Zöldter.!E34+'Város-község'!E34+Háziorvos!E34+Védőnő!E34+Sport!E34+Könyvtár!E34+'Művelődési H.'!E34+'Isk.1-4.'!E34+'Isk.5-8.'!E34+Gyermekétk.!E34+Családvéd.!E34+Gyermekvéd.!E34+Családtám.!E34+'Egyéb szoc.'!E34+'Közösségi Ház'!E34</f>
        <v>0</v>
      </c>
      <c r="F35" s="15">
        <f>Igazg.!F34+Adók!F35+Temető!F34+Önk.vagyon!F34+Múzeum!F34+Rendezvények!F34+Közter.rend.!F34+Közf.!F34+Közutak!F34+Közvil.!F34+Zöldter.!F34+'Város-község'!F34+Háziorvos!F34+Védőnő!F34+Sport!F34+Könyvtár!F34+'Művelődési H.'!F34+'Isk.1-4.'!F34+'Isk.5-8.'!F34+Gyermekétk.!F34+Családvéd.!F34+Gyermekvéd.!F34+Családtám.!F34+'Egyéb szoc.'!F34+'Közösségi Ház'!F34</f>
        <v>205000</v>
      </c>
      <c r="G35" s="15">
        <f>Igazg.!G34+Adók!G35+Temető!G34+Önk.vagyon!G34+Múzeum!G34+Rendezvények!G34+Közter.rend.!G34+Közf.!G34+Közutak!G34+Közvil.!G34+Zöldter.!G34+'Város-község'!G34+Háziorvos!G34+Védőnő!G34+Sport!G34+Könyvtár!G34+'Művelődési H.'!G34+'Isk.1-4.'!G34+'Isk.5-8.'!G34+Gyermekétk.!G34+Családvéd.!G34+Gyermekvéd.!G34+Családtám.!G34+'Egyéb szoc.'!G34+'Közösségi Ház'!G34</f>
        <v>55000</v>
      </c>
      <c r="H35" s="124">
        <f t="shared" si="0"/>
        <v>0.26829268292682928</v>
      </c>
      <c r="L35" s="4">
        <v>260591</v>
      </c>
    </row>
    <row r="36" spans="1:12">
      <c r="A36" s="13" t="s">
        <v>219</v>
      </c>
      <c r="B36" s="14" t="s">
        <v>220</v>
      </c>
      <c r="C36" s="15">
        <f>Igazg.!C35+Adók!C36+Temető!C35+Önk.vagyon!C35+Múzeum!C35+Rendezvények!C35+Közter.rend.!C35+Közf.!C35+Közutak!C35+Közvil.!C35+Zöldter.!C35+'Város-község'!C35+Háziorvos!C35+Védőnő!C35+Sport!C35+Könyvtár!C35+'Művelődési H.'!C35+'Isk.1-4.'!C35+'Isk.5-8.'!C35+Gyermekétk.!C35+Családvéd.!C35+Gyermekvéd.!C35+Családtám.!C35+'Egyéb szoc.'!C35+'Közösségi Ház'!C35</f>
        <v>6000</v>
      </c>
      <c r="D36" s="15">
        <f>Igazg.!D35+Adók!D36+Temető!D35+Önk.vagyon!D35+Múzeum!D35+Rendezvények!D35+Közter.rend.!D35+Közf.!D35+Közutak!D35+Közvil.!D35+Zöldter.!D35+'Város-község'!D35+Háziorvos!D35+Védőnő!D35+Sport!D35+Könyvtár!D35+'Művelődési H.'!D35+'Isk.1-4.'!D35+'Isk.5-8.'!D35+Gyermekétk.!D35+Családvéd.!D35+Gyermekvéd.!D35+Családtám.!D35+'Egyéb szoc.'!D35+'Közösségi Ház'!D35</f>
        <v>0</v>
      </c>
      <c r="E36" s="15">
        <f>Igazg.!E35+Adók!E36+Temető!E35+Önk.vagyon!E35+Múzeum!E35+Rendezvények!E35+Közter.rend.!E35+Közf.!E35+Közutak!E35+Közvil.!E35+Zöldter.!E35+'Város-község'!E35+Háziorvos!E35+Védőnő!E35+Sport!E35+Könyvtár!E35+'Művelődési H.'!E35+'Isk.1-4.'!E35+'Isk.5-8.'!E35+Gyermekétk.!E35+Családvéd.!E35+Gyermekvéd.!E35+Családtám.!E35+'Egyéb szoc.'!E35+'Közösségi Ház'!E35</f>
        <v>714611</v>
      </c>
      <c r="F36" s="15">
        <f>Igazg.!F35+Adók!F36+Temető!F35+Önk.vagyon!F35+Múzeum!F35+Rendezvények!F35+Közter.rend.!F35+Közf.!F35+Közutak!F35+Közvil.!F35+Zöldter.!F35+'Város-község'!F35+Háziorvos!F35+Védőnő!F35+Sport!F35+Könyvtár!F35+'Művelődési H.'!F35+'Isk.1-4.'!F35+'Isk.5-8.'!F35+Gyermekétk.!F35+Családvéd.!F35+Gyermekvéd.!F35+Családtám.!F35+'Egyéb szoc.'!F35+'Közösségi Ház'!F35</f>
        <v>714611</v>
      </c>
      <c r="G36" s="15">
        <f>Igazg.!G35+Adók!G36+Temető!G35+Önk.vagyon!G35+Múzeum!G35+Rendezvények!G35+Közter.rend.!G35+Közf.!G35+Közutak!G35+Közvil.!G35+Zöldter.!G35+'Város-község'!G35+Háziorvos!G35+Védőnő!G35+Sport!G35+Könyvtár!G35+'Művelődési H.'!G35+'Isk.1-4.'!G35+'Isk.5-8.'!G35+Gyermekétk.!G35+Családvéd.!G35+Gyermekvéd.!G35+Családtám.!G35+'Egyéb szoc.'!G35+'Közösségi Ház'!G35</f>
        <v>38474</v>
      </c>
      <c r="H36" s="124">
        <f t="shared" si="0"/>
        <v>5.3839081682201924E-2</v>
      </c>
      <c r="L36" s="4">
        <v>6000</v>
      </c>
    </row>
    <row r="37" spans="1:12" ht="25.5">
      <c r="A37" s="16" t="s">
        <v>221</v>
      </c>
      <c r="B37" s="17" t="s">
        <v>222</v>
      </c>
      <c r="C37" s="15">
        <f>Igazg.!C36+Adók!C37+Temető!C36+Önk.vagyon!C36+Múzeum!C36+Rendezvények!C36+Közter.rend.!C36+Közf.!C36+Közutak!C36+Közvil.!C36+Zöldter.!C36+'Város-község'!C36+Háziorvos!C36+Védőnő!C36+Sport!C36+Könyvtár!C36+'Művelődési H.'!C36+'Isk.1-4.'!C36+'Isk.5-8.'!C36+Gyermekétk.!C36+Családvéd.!C36+Gyermekvéd.!C36+Családtám.!C36+'Egyéb szoc.'!C36+'Közösségi Ház'!C36</f>
        <v>26707966</v>
      </c>
      <c r="D37" s="15">
        <f>Igazg.!D36+Adók!D37+Temető!D36+Önk.vagyon!D36+Múzeum!D36+Rendezvények!D36+Közter.rend.!D36+Közf.!D36+Közutak!D36+Közvil.!D36+Zöldter.!D36+'Város-község'!D36+Háziorvos!D36+Védőnő!D36+Sport!D36+Könyvtár!D36+'Művelődési H.'!D36+'Isk.1-4.'!D36+'Isk.5-8.'!D36+Gyermekétk.!D36+Családvéd.!D36+Gyermekvéd.!D36+Családtám.!D36+'Egyéb szoc.'!D36+'Közösségi Ház'!D36</f>
        <v>20805000</v>
      </c>
      <c r="E37" s="15">
        <f>Igazg.!E36+Adók!E37+Temető!E36+Önk.vagyon!E36+Múzeum!E36+Rendezvények!E36+Közter.rend.!E36+Közf.!E36+Közutak!E36+Közvil.!E36+Zöldter.!E36+'Város-község'!E36+Háziorvos!E36+Védőnő!E36+Sport!E36+Könyvtár!E36+'Művelődési H.'!E36+'Isk.1-4.'!E36+'Isk.5-8.'!E36+Gyermekétk.!E36+Családvéd.!E36+Gyermekvéd.!E36+Családtám.!E36+'Egyéb szoc.'!E36+'Közösségi Ház'!E36</f>
        <v>6414255</v>
      </c>
      <c r="F37" s="15">
        <f>Igazg.!F36+Adók!F37+Temető!F36+Önk.vagyon!F36+Múzeum!F36+Rendezvények!F36+Közter.rend.!F36+Közf.!F36+Közutak!F36+Közvil.!F36+Zöldter.!F36+'Város-község'!F36+Háziorvos!F36+Védőnő!F36+Sport!F36+Könyvtár!F36+'Művelődési H.'!F36+'Isk.1-4.'!F36+'Isk.5-8.'!F36+Gyermekétk.!F36+Családvéd.!F36+Gyermekvéd.!F36+Családtám.!F36+'Egyéb szoc.'!F36+'Közösségi Ház'!F36</f>
        <v>27219255</v>
      </c>
      <c r="G37" s="15">
        <f>Igazg.!G36+Adók!G37+Temető!G36+Önk.vagyon!G36+Múzeum!G36+Rendezvények!G36+Közter.rend.!G36+Közf.!G36+Közutak!G36+Közvil.!G36+Zöldter.!G36+'Város-község'!G36+Háziorvos!G36+Védőnő!G36+Sport!G36+Könyvtár!G36+'Művelődési H.'!G36+'Isk.1-4.'!G36+'Isk.5-8.'!G36+Gyermekétk.!G36+Családvéd.!G36+Gyermekvéd.!G36+Családtám.!G36+'Egyéb szoc.'!G36+'Közösségi Ház'!G36</f>
        <v>9703870</v>
      </c>
      <c r="H37" s="125">
        <f t="shared" si="0"/>
        <v>0.35650755320084992</v>
      </c>
      <c r="L37" s="7">
        <v>26707966</v>
      </c>
    </row>
    <row r="38" spans="1:12">
      <c r="A38" s="13" t="s">
        <v>223</v>
      </c>
      <c r="B38" s="14" t="s">
        <v>224</v>
      </c>
      <c r="C38" s="15">
        <f>Igazg.!C37+Adók!C38+Temető!C37+Önk.vagyon!C37+Múzeum!C37+Rendezvények!C37+Közter.rend.!C37+Közf.!C37+Közutak!C37+Közvil.!C37+Zöldter.!C37+'Város-község'!C37+Háziorvos!C37+Védőnő!C37+Sport!C37+Könyvtár!C37+'Művelődési H.'!C37+'Isk.1-4.'!C37+'Isk.5-8.'!C37+Gyermekétk.!C37+Családvéd.!C37+Gyermekvéd.!C37+Családtám.!C37+'Egyéb szoc.'!C37+'Közösségi Ház'!C37</f>
        <v>77078</v>
      </c>
      <c r="D38" s="15">
        <f>Igazg.!D37+Adók!D38+Temető!D37+Önk.vagyon!D37+Múzeum!D37+Rendezvények!D37+Közter.rend.!D37+Közf.!D37+Közutak!D37+Közvil.!D37+Zöldter.!D37+'Város-község'!D37+Háziorvos!D37+Védőnő!D37+Sport!D37+Könyvtár!D37+'Művelődési H.'!D37+'Isk.1-4.'!D37+'Isk.5-8.'!D37+Gyermekétk.!D37+Családvéd.!D37+Gyermekvéd.!D37+Családtám.!D37+'Egyéb szoc.'!D37+'Közösségi Ház'!D37</f>
        <v>40000</v>
      </c>
      <c r="E38" s="15">
        <f>Igazg.!E37+Adók!E38+Temető!E37+Önk.vagyon!E37+Múzeum!E37+Rendezvények!E37+Közter.rend.!E37+Közf.!E37+Közutak!E37+Közvil.!E37+Zöldter.!E37+'Város-község'!E37+Háziorvos!E37+Védőnő!E37+Sport!E37+Könyvtár!E37+'Művelődési H.'!E37+'Isk.1-4.'!E37+'Isk.5-8.'!E37+Gyermekétk.!E37+Családvéd.!E37+Gyermekvéd.!E37+Családtám.!E37+'Egyéb szoc.'!E37+'Közösségi Ház'!E37</f>
        <v>0</v>
      </c>
      <c r="F38" s="15">
        <f>Igazg.!F37+Adók!F38+Temető!F37+Önk.vagyon!F37+Múzeum!F37+Rendezvények!F37+Közter.rend.!F37+Közf.!F37+Közutak!F37+Közvil.!F37+Zöldter.!F37+'Város-község'!F37+Háziorvos!F37+Védőnő!F37+Sport!F37+Könyvtár!F37+'Művelődési H.'!F37+'Isk.1-4.'!F37+'Isk.5-8.'!F37+Gyermekétk.!F37+Családvéd.!F37+Gyermekvéd.!F37+Családtám.!F37+'Egyéb szoc.'!F37+'Közösségi Ház'!F37</f>
        <v>40000</v>
      </c>
      <c r="G38" s="15">
        <f>Igazg.!G37+Adók!G38+Temető!G37+Önk.vagyon!G37+Múzeum!G37+Rendezvények!G37+Közter.rend.!G37+Közf.!G37+Közutak!G37+Közvil.!G37+Zöldter.!G37+'Város-község'!G37+Háziorvos!G37+Védőnő!G37+Sport!G37+Könyvtár!G37+'Művelődési H.'!G37+'Isk.1-4.'!G37+'Isk.5-8.'!G37+Gyermekétk.!G37+Családvéd.!G37+Gyermekvéd.!G37+Családtám.!G37+'Egyéb szoc.'!G37+'Közösségi Ház'!G37</f>
        <v>10637</v>
      </c>
      <c r="H38" s="124">
        <f t="shared" si="0"/>
        <v>0.26592500000000002</v>
      </c>
      <c r="L38" s="4">
        <v>77078</v>
      </c>
    </row>
    <row r="39" spans="1:12">
      <c r="A39" s="13" t="s">
        <v>135</v>
      </c>
      <c r="B39" s="14" t="s">
        <v>225</v>
      </c>
      <c r="C39" s="15">
        <f>Igazg.!C38+Adók!C39+Temető!C38+Önk.vagyon!C38+Múzeum!C38+Rendezvények!C38+Közter.rend.!C38+Közf.!C38+Közutak!C38+Közvil.!C38+Zöldter.!C38+'Város-község'!C38+Háziorvos!C38+Védőnő!C38+Sport!C38+Könyvtár!C38+'Művelődési H.'!C38+'Isk.1-4.'!C38+'Isk.5-8.'!C38+Gyermekétk.!C38+Családvéd.!C38+Gyermekvéd.!C38+Családtám.!C38+'Egyéb szoc.'!C38+'Közösségi Ház'!C38</f>
        <v>466175</v>
      </c>
      <c r="D39" s="15">
        <f>Igazg.!D38+Adók!D39+Temető!D38+Önk.vagyon!D38+Múzeum!D38+Rendezvények!D38+Közter.rend.!D38+Közf.!D38+Közutak!D38+Közvil.!D38+Zöldter.!D38+'Város-község'!D38+Háziorvos!D38+Védőnő!D38+Sport!D38+Könyvtár!D38+'Művelődési H.'!D38+'Isk.1-4.'!D38+'Isk.5-8.'!D38+Gyermekétk.!D38+Családvéd.!D38+Gyermekvéd.!D38+Családtám.!D38+'Egyéb szoc.'!D38+'Közösségi Ház'!D38</f>
        <v>2050000</v>
      </c>
      <c r="E39" s="15">
        <f>Igazg.!E38+Adók!E39+Temető!E38+Önk.vagyon!E38+Múzeum!E38+Rendezvények!E38+Közter.rend.!E38+Közf.!E38+Közutak!E38+Közvil.!E38+Zöldter.!E38+'Város-község'!E38+Háziorvos!E38+Védőnő!E38+Sport!E38+Könyvtár!E38+'Művelődési H.'!E38+'Isk.1-4.'!E38+'Isk.5-8.'!E38+Gyermekétk.!E38+Családvéd.!E38+Gyermekvéd.!E38+Családtám.!E38+'Egyéb szoc.'!E38+'Közösségi Ház'!E38</f>
        <v>0</v>
      </c>
      <c r="F39" s="15">
        <f>Igazg.!F38+Adók!F39+Temető!F38+Önk.vagyon!F38+Múzeum!F38+Rendezvények!F38+Közter.rend.!F38+Közf.!F38+Közutak!F38+Közvil.!F38+Zöldter.!F38+'Város-község'!F38+Háziorvos!F38+Védőnő!F38+Sport!F38+Könyvtár!F38+'Művelődési H.'!F38+'Isk.1-4.'!F38+'Isk.5-8.'!F38+Gyermekétk.!F38+Családvéd.!F38+Gyermekvéd.!F38+Családtám.!F38+'Egyéb szoc.'!F38+'Közösségi Ház'!F38</f>
        <v>2050000</v>
      </c>
      <c r="G39" s="15">
        <f>Igazg.!G38+Adók!G39+Temető!G38+Önk.vagyon!G38+Múzeum!G38+Rendezvények!G38+Közter.rend.!G38+Közf.!G38+Közutak!G38+Közvil.!G38+Zöldter.!G38+'Város-község'!G38+Háziorvos!G38+Védőnő!G38+Sport!G38+Könyvtár!G38+'Művelődési H.'!G38+'Isk.1-4.'!G38+'Isk.5-8.'!G38+Gyermekétk.!G38+Családvéd.!G38+Gyermekvéd.!G38+Családtám.!G38+'Egyéb szoc.'!G38+'Közösségi Ház'!G38</f>
        <v>252776</v>
      </c>
      <c r="H39" s="124">
        <f t="shared" si="0"/>
        <v>0.12330536585365853</v>
      </c>
      <c r="L39" s="4">
        <v>466175</v>
      </c>
    </row>
    <row r="40" spans="1:12" ht="25.5">
      <c r="A40" s="13" t="s">
        <v>226</v>
      </c>
      <c r="B40" s="14" t="s">
        <v>227</v>
      </c>
      <c r="C40" s="15">
        <f>Igazg.!C39+Adók!C40+Temető!C39+Önk.vagyon!C39+Múzeum!C39+Rendezvények!C39+Közter.rend.!C39+Közf.!C39+Közutak!C39+Közvil.!C39+Zöldter.!C39+'Város-község'!C39+Háziorvos!C39+Védőnő!C39+Sport!C39+Könyvtár!C39+'Művelődési H.'!C39+'Isk.1-4.'!C39+'Isk.5-8.'!C39+Gyermekétk.!C39+Családvéd.!C39+Gyermekvéd.!C39+Családtám.!C39+'Egyéb szoc.'!C39+'Közösségi Ház'!C39</f>
        <v>1604661</v>
      </c>
      <c r="D40" s="15">
        <f>Igazg.!D39+Adók!D40+Temető!D39+Önk.vagyon!D39+Múzeum!D39+Rendezvények!D39+Közter.rend.!D39+Közf.!D39+Közutak!D39+Közvil.!D39+Zöldter.!D39+'Város-község'!D39+Háziorvos!D39+Védőnő!D39+Sport!D39+Könyvtár!D39+'Művelődési H.'!D39+'Isk.1-4.'!D39+'Isk.5-8.'!D39+Gyermekétk.!D39+Családvéd.!D39+Gyermekvéd.!D39+Családtám.!D39+'Egyéb szoc.'!D39+'Közösségi Ház'!D39</f>
        <v>2545000</v>
      </c>
      <c r="E40" s="15">
        <f>Igazg.!E39+Adók!E40+Temető!E39+Önk.vagyon!E39+Múzeum!E39+Rendezvények!E39+Közter.rend.!E39+Közf.!E39+Közutak!E39+Közvil.!E39+Zöldter.!E39+'Város-község'!E39+Háziorvos!E39+Védőnő!E39+Sport!E39+Könyvtár!E39+'Művelődési H.'!E39+'Isk.1-4.'!E39+'Isk.5-8.'!E39+Gyermekétk.!E39+Családvéd.!E39+Gyermekvéd.!E39+Családtám.!E39+'Egyéb szoc.'!E39+'Közösségi Ház'!E39</f>
        <v>-45000</v>
      </c>
      <c r="F40" s="15">
        <f>Igazg.!F39+Adók!F40+Temető!F39+Önk.vagyon!F39+Múzeum!F39+Rendezvények!F39+Közter.rend.!F39+Közf.!F39+Közutak!F39+Közvil.!F39+Zöldter.!F39+'Város-község'!F39+Háziorvos!F39+Védőnő!F39+Sport!F39+Könyvtár!F39+'Művelődési H.'!F39+'Isk.1-4.'!F39+'Isk.5-8.'!F39+Gyermekétk.!F39+Családvéd.!F39+Gyermekvéd.!F39+Családtám.!F39+'Egyéb szoc.'!F39+'Közösségi Ház'!F39</f>
        <v>2500000</v>
      </c>
      <c r="G40" s="15">
        <f>Igazg.!G39+Adók!G40+Temető!G39+Önk.vagyon!G39+Múzeum!G39+Rendezvények!G39+Közter.rend.!G39+Közf.!G39+Közutak!G39+Közvil.!G39+Zöldter.!G39+'Város-község'!G39+Háziorvos!G39+Védőnő!G39+Sport!G39+Könyvtár!G39+'Művelődési H.'!G39+'Isk.1-4.'!G39+'Isk.5-8.'!G39+Gyermekétk.!G39+Családvéd.!G39+Gyermekvéd.!G39+Családtám.!G39+'Egyéb szoc.'!G39+'Közösségi Ház'!G39</f>
        <v>606574</v>
      </c>
      <c r="H40" s="124">
        <f t="shared" si="0"/>
        <v>0.2426296</v>
      </c>
      <c r="L40" s="4">
        <v>1604661</v>
      </c>
    </row>
    <row r="41" spans="1:12">
      <c r="A41" s="13" t="s">
        <v>228</v>
      </c>
      <c r="B41" s="14" t="s">
        <v>229</v>
      </c>
      <c r="C41" s="15">
        <f>Igazg.!C40+Adók!C41+Temető!C40+Önk.vagyon!C40+Múzeum!C40+Rendezvények!C40+Közter.rend.!C40+Közf.!C40+Közutak!C40+Közvil.!C40+Zöldter.!C40+'Város-község'!C40+Háziorvos!C40+Védőnő!C40+Sport!C40+Könyvtár!C40+'Művelődési H.'!C40+'Isk.1-4.'!C40+'Isk.5-8.'!C40+Gyermekétk.!C40+Családvéd.!C40+Gyermekvéd.!C40+Családtám.!C40+'Egyéb szoc.'!C40+'Közösségi Ház'!C40</f>
        <v>5123223</v>
      </c>
      <c r="D41" s="15">
        <f>Igazg.!D40+Adók!D41+Temető!D40+Önk.vagyon!D40+Múzeum!D40+Rendezvények!D40+Közter.rend.!D40+Közf.!D40+Közutak!D40+Közvil.!D40+Zöldter.!D40+'Város-község'!D40+Háziorvos!D40+Védőnő!D40+Sport!D40+Könyvtár!D40+'Művelődési H.'!D40+'Isk.1-4.'!D40+'Isk.5-8.'!D40+Gyermekétk.!D40+Családvéd.!D40+Gyermekvéd.!D40+Családtám.!D40+'Egyéb szoc.'!D40+'Közösségi Ház'!D40</f>
        <v>4600000</v>
      </c>
      <c r="E41" s="15">
        <f>Igazg.!E40+Adók!E41+Temető!E40+Önk.vagyon!E40+Múzeum!E40+Rendezvények!E40+Közter.rend.!E40+Közf.!E40+Közutak!E40+Közvil.!E40+Zöldter.!E40+'Város-község'!E40+Háziorvos!E40+Védőnő!E40+Sport!E40+Könyvtár!E40+'Művelődési H.'!E40+'Isk.1-4.'!E40+'Isk.5-8.'!E40+Gyermekétk.!E40+Családvéd.!E40+Gyermekvéd.!E40+Családtám.!E40+'Egyéb szoc.'!E40+'Közösségi Ház'!E40</f>
        <v>0</v>
      </c>
      <c r="F41" s="15">
        <f>Igazg.!F40+Adók!F41+Temető!F40+Önk.vagyon!F40+Múzeum!F40+Rendezvények!F40+Közter.rend.!F40+Közf.!F40+Közutak!F40+Közvil.!F40+Zöldter.!F40+'Város-község'!F40+Háziorvos!F40+Védőnő!F40+Sport!F40+Könyvtár!F40+'Művelődési H.'!F40+'Isk.1-4.'!F40+'Isk.5-8.'!F40+Gyermekétk.!F40+Családvéd.!F40+Gyermekvéd.!F40+Családtám.!F40+'Egyéb szoc.'!F40+'Közösségi Ház'!F40</f>
        <v>4600000</v>
      </c>
      <c r="G41" s="15">
        <f>Igazg.!G40+Adók!G41+Temető!G40+Önk.vagyon!G40+Múzeum!G40+Rendezvények!G40+Közter.rend.!G40+Közf.!G40+Közutak!G40+Közvil.!G40+Zöldter.!G40+'Város-község'!G40+Háziorvos!G40+Védőnő!G40+Sport!G40+Könyvtár!G40+'Művelődési H.'!G40+'Isk.1-4.'!G40+'Isk.5-8.'!G40+Gyermekétk.!G40+Családvéd.!G40+Gyermekvéd.!G40+Családtám.!G40+'Egyéb szoc.'!G40+'Közösségi Ház'!G40</f>
        <v>2821719</v>
      </c>
      <c r="H41" s="124">
        <f t="shared" si="0"/>
        <v>0.61341717391304351</v>
      </c>
      <c r="L41" s="4">
        <v>5123223</v>
      </c>
    </row>
    <row r="42" spans="1:12">
      <c r="A42" s="13" t="s">
        <v>145</v>
      </c>
      <c r="B42" s="14" t="s">
        <v>230</v>
      </c>
      <c r="C42" s="15">
        <f>Igazg.!C41+Adók!C42+Temető!C41+Önk.vagyon!C41+Múzeum!C41+Rendezvények!C41+Közter.rend.!C41+Közf.!C41+Közutak!C41+Közvil.!C41+Zöldter.!C41+'Város-község'!C41+Háziorvos!C41+Védőnő!C41+Sport!C41+Könyvtár!C41+'Művelődési H.'!C41+'Isk.1-4.'!C41+'Isk.5-8.'!C41+Gyermekétk.!C41+Családvéd.!C41+Gyermekvéd.!C41+Családtám.!C41+'Egyéb szoc.'!C41+'Közösségi Ház'!C41</f>
        <v>5826399</v>
      </c>
      <c r="D42" s="15">
        <f>Igazg.!D41+Adók!D42+Temető!D41+Önk.vagyon!D41+Múzeum!D41+Rendezvények!D41+Közter.rend.!D41+Közf.!D41+Közutak!D41+Közvil.!D41+Zöldter.!D41+'Város-község'!D41+Háziorvos!D41+Védőnő!D41+Sport!D41+Könyvtár!D41+'Művelődési H.'!D41+'Isk.1-4.'!D41+'Isk.5-8.'!D41+Gyermekétk.!D41+Családvéd.!D41+Gyermekvéd.!D41+Családtám.!D41+'Egyéb szoc.'!D41+'Közösségi Ház'!D41</f>
        <v>6855000</v>
      </c>
      <c r="E42" s="15">
        <f>Igazg.!E41+Adók!E42+Temető!E41+Önk.vagyon!E41+Múzeum!E41+Rendezvények!E41+Közter.rend.!E41+Közf.!E41+Közutak!E41+Közvil.!E41+Zöldter.!E41+'Város-község'!E41+Háziorvos!E41+Védőnő!E41+Sport!E41+Könyvtár!E41+'Művelődési H.'!E41+'Isk.1-4.'!E41+'Isk.5-8.'!E41+Gyermekétk.!E41+Családvéd.!E41+Gyermekvéd.!E41+Családtám.!E41+'Egyéb szoc.'!E41+'Közösségi Ház'!E41</f>
        <v>0</v>
      </c>
      <c r="F42" s="15">
        <f>Igazg.!F41+Adók!F42+Temető!F41+Önk.vagyon!F41+Múzeum!F41+Rendezvények!F41+Közter.rend.!F41+Közf.!F41+Közutak!F41+Közvil.!F41+Zöldter.!F41+'Város-község'!F41+Háziorvos!F41+Védőnő!F41+Sport!F41+Könyvtár!F41+'Művelődési H.'!F41+'Isk.1-4.'!F41+'Isk.5-8.'!F41+Gyermekétk.!F41+Családvéd.!F41+Gyermekvéd.!F41+Családtám.!F41+'Egyéb szoc.'!F41+'Közösségi Ház'!F41</f>
        <v>6855000</v>
      </c>
      <c r="G42" s="15">
        <f>Igazg.!G41+Adók!G42+Temető!G41+Önk.vagyon!G41+Múzeum!G41+Rendezvények!G41+Közter.rend.!G41+Közf.!G41+Közutak!G41+Közvil.!G41+Zöldter.!G41+'Város-község'!G41+Háziorvos!G41+Védőnő!G41+Sport!G41+Könyvtár!G41+'Művelődési H.'!G41+'Isk.1-4.'!G41+'Isk.5-8.'!G41+Gyermekétk.!G41+Családvéd.!G41+Gyermekvéd.!G41+Családtám.!G41+'Egyéb szoc.'!G41+'Közösségi Ház'!G41</f>
        <v>2014816</v>
      </c>
      <c r="H42" s="124">
        <f t="shared" si="0"/>
        <v>0.29391918307804521</v>
      </c>
      <c r="L42" s="4">
        <v>5826399</v>
      </c>
    </row>
    <row r="43" spans="1:12">
      <c r="A43" s="13" t="s">
        <v>147</v>
      </c>
      <c r="B43" s="14" t="s">
        <v>231</v>
      </c>
      <c r="C43" s="15">
        <f>Igazg.!C42+Adók!C43+Temető!C42+Önk.vagyon!C42+Múzeum!C42+Rendezvények!C42+Közter.rend.!C42+Közf.!C42+Közutak!C42+Közvil.!C42+Zöldter.!C42+'Város-község'!C42+Háziorvos!C42+Védőnő!C42+Sport!C42+Könyvtár!C42+'Művelődési H.'!C42+'Isk.1-4.'!C42+'Isk.5-8.'!C42+Gyermekétk.!C42+Családvéd.!C42+Gyermekvéd.!C42+Családtám.!C42+'Egyéb szoc.'!C42+'Közösségi Ház'!C42</f>
        <v>3593056</v>
      </c>
      <c r="D43" s="15">
        <f>Igazg.!D42+Adók!D43+Temető!D42+Önk.vagyon!D42+Múzeum!D42+Rendezvények!D42+Közter.rend.!D42+Közf.!D42+Közutak!D42+Közvil.!D42+Zöldter.!D42+'Város-község'!D42+Háziorvos!D42+Védőnő!D42+Sport!D42+Könyvtár!D42+'Művelődési H.'!D42+'Isk.1-4.'!D42+'Isk.5-8.'!D42+Gyermekétk.!D42+Családvéd.!D42+Gyermekvéd.!D42+Családtám.!D42+'Egyéb szoc.'!D42+'Közösségi Ház'!D42</f>
        <v>4319000</v>
      </c>
      <c r="E43" s="15">
        <f>Igazg.!E42+Adók!E43+Temető!E42+Önk.vagyon!E42+Múzeum!E42+Rendezvények!E42+Közter.rend.!E42+Közf.!E42+Közutak!E42+Közvil.!E42+Zöldter.!E42+'Város-község'!E42+Háziorvos!E42+Védőnő!E42+Sport!E42+Könyvtár!E42+'Művelődési H.'!E42+'Isk.1-4.'!E42+'Isk.5-8.'!E42+Gyermekétk.!E42+Családvéd.!E42+Gyermekvéd.!E42+Családtám.!E42+'Egyéb szoc.'!E42+'Közösségi Ház'!E42</f>
        <v>0</v>
      </c>
      <c r="F43" s="15">
        <f>Igazg.!F42+Adók!F43+Temető!F42+Önk.vagyon!F42+Múzeum!F42+Rendezvények!F42+Közter.rend.!F42+Közf.!F42+Közutak!F42+Közvil.!F42+Zöldter.!F42+'Város-község'!F42+Háziorvos!F42+Védőnő!F42+Sport!F42+Könyvtár!F42+'Művelődési H.'!F42+'Isk.1-4.'!F42+'Isk.5-8.'!F42+Gyermekétk.!F42+Családvéd.!F42+Gyermekvéd.!F42+Családtám.!F42+'Egyéb szoc.'!F42+'Közösségi Ház'!F42</f>
        <v>4319000</v>
      </c>
      <c r="G43" s="15">
        <f>Igazg.!G42+Adók!G43+Temető!G42+Önk.vagyon!G42+Múzeum!G42+Rendezvények!G42+Közter.rend.!G42+Közf.!G42+Közutak!G42+Közvil.!G42+Zöldter.!G42+'Város-község'!G42+Háziorvos!G42+Védőnő!G42+Sport!G42+Könyvtár!G42+'Művelődési H.'!G42+'Isk.1-4.'!G42+'Isk.5-8.'!G42+Gyermekétk.!G42+Családvéd.!G42+Gyermekvéd.!G42+Családtám.!G42+'Egyéb szoc.'!G42+'Közösségi Ház'!G42</f>
        <v>1480145</v>
      </c>
      <c r="H43" s="124">
        <f t="shared" si="0"/>
        <v>0.34270548738133827</v>
      </c>
      <c r="L43" s="4">
        <v>3593056</v>
      </c>
    </row>
    <row r="44" spans="1:12" s="122" customFormat="1" ht="25.5">
      <c r="A44" s="13">
        <v>204</v>
      </c>
      <c r="B44" s="19" t="s">
        <v>464</v>
      </c>
      <c r="C44" s="15">
        <f>Igazg.!C43</f>
        <v>0</v>
      </c>
      <c r="D44" s="15">
        <f>Igazg.!D43</f>
        <v>0</v>
      </c>
      <c r="E44" s="15">
        <f>Igazg.!E43</f>
        <v>530200</v>
      </c>
      <c r="F44" s="15">
        <f>Igazg.!F43</f>
        <v>530200</v>
      </c>
      <c r="G44" s="15">
        <f>Igazg.!G43</f>
        <v>530200</v>
      </c>
      <c r="H44" s="124">
        <f t="shared" si="0"/>
        <v>1</v>
      </c>
      <c r="L44" s="4"/>
    </row>
    <row r="45" spans="1:12" ht="25.5">
      <c r="A45" s="13" t="s">
        <v>155</v>
      </c>
      <c r="B45" s="14" t="s">
        <v>232</v>
      </c>
      <c r="C45" s="15">
        <f>Igazg.!C44+Adók!C44+Temető!C43+Önk.vagyon!C43+Múzeum!C43+Rendezvények!C43+Közter.rend.!C43+Közf.!C43+Közutak!C43+Közvil.!C43+Zöldter.!C43+'Város-község'!C43+Háziorvos!C43+Védőnő!C43+Sport!C43+Könyvtár!C43+'Művelődési H.'!C43+'Isk.1-4.'!C43+'Isk.5-8.'!C43+Gyermekétk.!C43+Családvéd.!C43+Gyermekvéd.!C43+Családtám.!C43+'Egyéb szoc.'!C43+'Közösségi Ház'!C43</f>
        <v>998657</v>
      </c>
      <c r="D45" s="15">
        <f>Igazg.!D44+Adók!D44+Temető!D43+Önk.vagyon!D43+Múzeum!D43+Rendezvények!D43+Közter.rend.!D43+Közf.!D43+Közutak!D43+Közvil.!D43+Zöldter.!D43+'Város-község'!D43+Háziorvos!D43+Védőnő!D43+Sport!D43+Könyvtár!D43+'Művelődési H.'!D43+'Isk.1-4.'!D43+'Isk.5-8.'!D43+Gyermekétk.!D43+Családvéd.!D43+Gyermekvéd.!D43+Családtám.!D43+'Egyéb szoc.'!D43+'Közösségi Ház'!D43</f>
        <v>1000000</v>
      </c>
      <c r="E45" s="15">
        <f>Igazg.!E44+Adók!E44+Temető!E43+Önk.vagyon!E43+Múzeum!E43+Rendezvények!E43+Közter.rend.!E43+Közf.!E43+Közutak!E43+Közvil.!E43+Zöldter.!E43+'Város-község'!E43+Háziorvos!E43+Védőnő!E43+Sport!E43+Könyvtár!E43+'Művelődési H.'!E43+'Isk.1-4.'!E43+'Isk.5-8.'!E43+Gyermekétk.!E43+Családvéd.!E43+Gyermekvéd.!E43+Családtám.!E43+'Egyéb szoc.'!E43+'Közösségi Ház'!E43</f>
        <v>-614347</v>
      </c>
      <c r="F45" s="15">
        <f>Igazg.!F44+Adók!F44+Temető!F43+Önk.vagyon!F43+Múzeum!F43+Rendezvények!F43+Közter.rend.!F43+Közf.!F43+Közutak!F43+Közvil.!F43+Zöldter.!F43+'Város-község'!F43+Háziorvos!F43+Védőnő!F43+Sport!F43+Könyvtár!F43+'Művelődési H.'!F43+'Isk.1-4.'!F43+'Isk.5-8.'!F43+Gyermekétk.!F43+Családvéd.!F43+Gyermekvéd.!F43+Családtám.!F43+'Egyéb szoc.'!F43+'Közösségi Ház'!F43</f>
        <v>385653</v>
      </c>
      <c r="G45" s="15">
        <f>Igazg.!G44+Adók!G44+Temető!G43+Önk.vagyon!G43+Múzeum!G43+Rendezvények!G43+Közter.rend.!G43+Közf.!G43+Közutak!G43+Közvil.!G43+Zöldter.!G43+'Város-község'!G43+Háziorvos!G43+Védőnő!G43+Sport!G43+Könyvtár!G43+'Művelődési H.'!G43+'Isk.1-4.'!G43+'Isk.5-8.'!G43+Gyermekétk.!G43+Családvéd.!G43+Gyermekvéd.!G43+Családtám.!G43+'Egyéb szoc.'!G43+'Közösségi Ház'!G43</f>
        <v>43006</v>
      </c>
      <c r="H45" s="124">
        <f t="shared" si="0"/>
        <v>0.11151475549263198</v>
      </c>
      <c r="L45" s="4">
        <v>998657</v>
      </c>
    </row>
    <row r="46" spans="1:12" ht="25.5">
      <c r="A46" s="13" t="s">
        <v>233</v>
      </c>
      <c r="B46" s="14" t="s">
        <v>234</v>
      </c>
      <c r="C46" s="15">
        <f>Igazg.!C45+Adók!C45+Temető!C44+Önk.vagyon!C44+Múzeum!C44+Rendezvények!C44+Közter.rend.!C44+Közf.!C44+Közutak!C44+Közvil.!C44+Zöldter.!C44+'Város-község'!C44+Háziorvos!C44+Védőnő!C44+Sport!C44+Könyvtár!C44+'Művelődési H.'!C44+'Isk.1-4.'!C44+'Isk.5-8.'!C44+Gyermekétk.!C44+Családvéd.!C44+Gyermekvéd.!C44+Családtám.!C44+'Egyéb szoc.'!C44+'Közösségi Ház'!C44</f>
        <v>998657</v>
      </c>
      <c r="D46" s="15">
        <f>Igazg.!D45+Adók!D45+Temető!D44+Önk.vagyon!D44+Múzeum!D44+Rendezvények!D44+Közter.rend.!D44+Közf.!D44+Közutak!D44+Közvil.!D44+Zöldter.!D44+'Város-község'!D44+Háziorvos!D44+Védőnő!D44+Sport!D44+Könyvtár!D44+'Művelődési H.'!D44+'Isk.1-4.'!D44+'Isk.5-8.'!D44+Gyermekétk.!D44+Családvéd.!D44+Gyermekvéd.!D44+Családtám.!D44+'Egyéb szoc.'!D44+'Közösségi Ház'!D44</f>
        <v>1000000</v>
      </c>
      <c r="E46" s="15">
        <f>Igazg.!E45+Adók!E45+Temető!E44+Önk.vagyon!E44+Múzeum!E44+Rendezvények!E44+Közter.rend.!E44+Közf.!E44+Közutak!E44+Közvil.!E44+Zöldter.!E44+'Város-község'!E44+Háziorvos!E44+Védőnő!E44+Sport!E44+Könyvtár!E44+'Művelődési H.'!E44+'Isk.1-4.'!E44+'Isk.5-8.'!E44+Gyermekétk.!E44+Családvéd.!E44+Gyermekvéd.!E44+Családtám.!E44+'Egyéb szoc.'!E44+'Közösségi Ház'!E44</f>
        <v>-84147</v>
      </c>
      <c r="F46" s="15">
        <f>Igazg.!F45+Adók!F45+Temető!F44+Önk.vagyon!F44+Múzeum!F44+Rendezvények!F44+Közter.rend.!F44+Közf.!F44+Közutak!F44+Közvil.!F44+Zöldter.!F44+'Város-község'!F44+Háziorvos!F44+Védőnő!F44+Sport!F44+Könyvtár!F44+'Művelődési H.'!F44+'Isk.1-4.'!F44+'Isk.5-8.'!F44+Gyermekétk.!F44+Családvéd.!F44+Gyermekvéd.!F44+Családtám.!F44+'Egyéb szoc.'!F44+'Közösségi Ház'!F44</f>
        <v>915853</v>
      </c>
      <c r="G46" s="15">
        <f>Igazg.!G45+Adók!G45+Temető!G44+Önk.vagyon!G44+Múzeum!G44+Rendezvények!G44+Közter.rend.!G44+Közf.!G44+Közutak!G44+Közvil.!G44+Zöldter.!G44+'Város-község'!G44+Háziorvos!G44+Védőnő!G44+Sport!G44+Könyvtár!G44+'Művelődési H.'!G44+'Isk.1-4.'!G44+'Isk.5-8.'!G44+Gyermekétk.!G44+Családvéd.!G44+Gyermekvéd.!G44+Családtám.!G44+'Egyéb szoc.'!G44+'Közösségi Ház'!G44</f>
        <v>573206</v>
      </c>
      <c r="H46" s="124">
        <f t="shared" si="0"/>
        <v>0.62587118238407258</v>
      </c>
      <c r="L46" s="4">
        <v>998657</v>
      </c>
    </row>
    <row r="47" spans="1:12">
      <c r="A47" s="13" t="s">
        <v>235</v>
      </c>
      <c r="B47" s="14" t="s">
        <v>236</v>
      </c>
      <c r="C47" s="15">
        <f>Igazg.!C46+Adók!C46+Temető!C45+Önk.vagyon!C45+Múzeum!C45+Rendezvények!C45+Közter.rend.!C45+Közf.!C45+Közutak!C45+Közvil.!C45+Zöldter.!C45+'Város-község'!C45+Háziorvos!C45+Védőnő!C45+Sport!C45+Könyvtár!C45+'Művelődési H.'!C45+'Isk.1-4.'!C45+'Isk.5-8.'!C45+Gyermekétk.!C45+Családvéd.!C45+Gyermekvéd.!C45+Családtám.!C45+'Egyéb szoc.'!C45+'Közösségi Ház'!C45</f>
        <v>16112</v>
      </c>
      <c r="D47" s="15">
        <f>Igazg.!D46+Adók!D46+Temető!D45+Önk.vagyon!D45+Múzeum!D45+Rendezvények!D45+Közter.rend.!D45+Közf.!D45+Közutak!D45+Közvil.!D45+Zöldter.!D45+'Város-község'!D45+Háziorvos!D45+Védőnő!D45+Sport!D45+Könyvtár!D45+'Művelődési H.'!D45+'Isk.1-4.'!D45+'Isk.5-8.'!D45+Gyermekétk.!D45+Családvéd.!D45+Gyermekvéd.!D45+Családtám.!D45+'Egyéb szoc.'!D45+'Közösségi Ház'!D45</f>
        <v>0</v>
      </c>
      <c r="E47" s="15">
        <f>Igazg.!E46+Adók!E46+Temető!E45+Önk.vagyon!E45+Múzeum!E45+Rendezvények!E45+Közter.rend.!E45+Közf.!E45+Közutak!E45+Közvil.!E45+Zöldter.!E45+'Város-község'!E45+Háziorvos!E45+Védőnő!E45+Sport!E45+Könyvtár!E45+'Művelődési H.'!E45+'Isk.1-4.'!E45+'Isk.5-8.'!E45+Gyermekétk.!E45+Családvéd.!E45+Gyermekvéd.!E45+Családtám.!E45+'Egyéb szoc.'!E45+'Közösségi Ház'!E45</f>
        <v>99257</v>
      </c>
      <c r="F47" s="15">
        <f>Igazg.!F46+Adók!F46+Temető!F45+Önk.vagyon!F45+Múzeum!F45+Rendezvények!F45+Közter.rend.!F45+Közf.!F45+Közutak!F45+Közvil.!F45+Zöldter.!F45+'Város-község'!F45+Háziorvos!F45+Védőnő!F45+Sport!F45+Könyvtár!F45+'Művelődési H.'!F45+'Isk.1-4.'!F45+'Isk.5-8.'!F45+Gyermekétk.!F45+Családvéd.!F45+Gyermekvéd.!F45+Családtám.!F45+'Egyéb szoc.'!F45+'Közösségi Ház'!F45</f>
        <v>99257</v>
      </c>
      <c r="G47" s="15">
        <f>Igazg.!G46+Adók!G46+Temető!G45+Önk.vagyon!G45+Múzeum!G45+Rendezvények!G45+Közter.rend.!G45+Közf.!G45+Közutak!G45+Közvil.!G45+Zöldter.!G45+'Város-község'!G45+Háziorvos!G45+Védőnő!G45+Sport!G45+Könyvtár!G45+'Művelődési H.'!G45+'Isk.1-4.'!G45+'Isk.5-8.'!G45+Gyermekétk.!G45+Családvéd.!G45+Gyermekvéd.!G45+Családtám.!G45+'Egyéb szoc.'!G45+'Közösségi Ház'!G45</f>
        <v>93051</v>
      </c>
      <c r="H47" s="124">
        <f t="shared" si="0"/>
        <v>0.93747544253805781</v>
      </c>
      <c r="L47" s="4">
        <v>16112</v>
      </c>
    </row>
    <row r="48" spans="1:12" ht="38.25">
      <c r="A48" s="16" t="s">
        <v>237</v>
      </c>
      <c r="B48" s="17" t="s">
        <v>238</v>
      </c>
      <c r="C48" s="15">
        <f>Igazg.!C47+Adók!C47+Temető!C46+Önk.vagyon!C46+Múzeum!C46+Rendezvények!C46+Közter.rend.!C46+Közf.!C46+Közutak!C46+Közvil.!C46+Zöldter.!C46+'Város-község'!C46+Háziorvos!C46+Védőnő!C46+Sport!C46+Könyvtár!C46+'Művelődési H.'!C46+'Isk.1-4.'!C46+'Isk.5-8.'!C46+Gyermekétk.!C46+Családvéd.!C46+Gyermekvéd.!C46+Családtám.!C46+'Egyéb szoc.'!C46+'Közösségi Ház'!C46</f>
        <v>17705361</v>
      </c>
      <c r="D48" s="15">
        <f>Igazg.!D47+Adók!D47+Temető!D46+Önk.vagyon!D46+Múzeum!D46+Rendezvények!D46+Közter.rend.!D46+Közf.!D46+Közutak!D46+Közvil.!D46+Zöldter.!D46+'Város-község'!D46+Háziorvos!D46+Védőnő!D46+Sport!D46+Könyvtár!D46+'Művelődési H.'!D46+'Isk.1-4.'!D46+'Isk.5-8.'!D46+Gyermekétk.!D46+Családvéd.!D46+Gyermekvéd.!D46+Családtám.!D46+'Egyéb szoc.'!D46+'Közösségi Ház'!D46</f>
        <v>21409000</v>
      </c>
      <c r="E48" s="15">
        <f>Igazg.!E47+Adók!E47+Temető!E46+Önk.vagyon!E46+Múzeum!E46+Rendezvények!E46+Közter.rend.!E46+Közf.!E46+Közutak!E46+Közvil.!E46+Zöldter.!E46+'Város-község'!E46+Háziorvos!E46+Védőnő!E46+Sport!E46+Könyvtár!E46+'Művelődési H.'!E46+'Isk.1-4.'!E46+'Isk.5-8.'!E46+Gyermekétk.!E46+Családvéd.!E46+Gyermekvéd.!E46+Családtám.!E46+'Egyéb szoc.'!E46+'Közösségi Ház'!E46</f>
        <v>-29890</v>
      </c>
      <c r="F48" s="15">
        <f>Igazg.!F47+Adók!F47+Temető!F46+Önk.vagyon!F46+Múzeum!F46+Rendezvények!F46+Közter.rend.!F46+Közf.!F46+Közutak!F46+Közvil.!F46+Zöldter.!F46+'Város-község'!F46+Háziorvos!F46+Védőnő!F46+Sport!F46+Könyvtár!F46+'Művelődési H.'!F46+'Isk.1-4.'!F46+'Isk.5-8.'!F46+Gyermekétk.!F46+Családvéd.!F46+Gyermekvéd.!F46+Családtám.!F46+'Egyéb szoc.'!F46+'Közösségi Ház'!F46</f>
        <v>21379110</v>
      </c>
      <c r="G48" s="15">
        <f>Igazg.!G47+Adók!G47+Temető!G46+Önk.vagyon!G46+Múzeum!G46+Rendezvények!G46+Közter.rend.!G46+Közf.!G46+Közutak!G46+Közvil.!G46+Zöldter.!G46+'Város-község'!G46+Háziorvos!G46+Védőnő!G46+Sport!G46+Könyvtár!G46+'Művelődési H.'!G46+'Isk.1-4.'!G46+'Isk.5-8.'!G46+Gyermekétk.!G46+Családvéd.!G46+Gyermekvéd.!G46+Családtám.!G46+'Egyéb szoc.'!G46+'Közösségi Ház'!G46</f>
        <v>7852924</v>
      </c>
      <c r="H48" s="125">
        <f t="shared" si="0"/>
        <v>0.36731762921842864</v>
      </c>
      <c r="L48" s="7">
        <v>17705361</v>
      </c>
    </row>
    <row r="49" spans="1:12">
      <c r="A49" s="13" t="s">
        <v>239</v>
      </c>
      <c r="B49" s="14" t="s">
        <v>240</v>
      </c>
      <c r="C49" s="15">
        <f>Igazg.!C48+Adók!C48+Temető!C47+Önk.vagyon!C47+Múzeum!C47+Rendezvények!C47+Közter.rend.!C47+Közf.!C47+Közutak!C47+Közvil.!C47+Zöldter.!C47+'Város-község'!C47+Háziorvos!C47+Védőnő!C47+Sport!C47+Könyvtár!C47+'Művelődési H.'!C47+'Isk.1-4.'!C47+'Isk.5-8.'!C47+Gyermekétk.!C47+Családvéd.!C47+Gyermekvéd.!C47+Családtám.!C47+'Egyéb szoc.'!C47+'Közösségi Ház'!C47</f>
        <v>2290000</v>
      </c>
      <c r="D49" s="15">
        <f>Igazg.!D48+Adók!D48+Temető!D47+Önk.vagyon!D47+Múzeum!D47+Rendezvények!D47+Közter.rend.!D47+Közf.!D47+Közutak!D47+Közvil.!D47+Zöldter.!D47+'Város-község'!D47+Háziorvos!D47+Védőnő!D47+Sport!D47+Könyvtár!D47+'Művelődési H.'!D47+'Isk.1-4.'!D47+'Isk.5-8.'!D47+Gyermekétk.!D47+Családvéd.!D47+Gyermekvéd.!D47+Családtám.!D47+'Egyéb szoc.'!D47+'Közösségi Ház'!D47</f>
        <v>90000</v>
      </c>
      <c r="E49" s="15">
        <f>Igazg.!E48+Adók!E48+Temető!E47+Önk.vagyon!E47+Múzeum!E47+Rendezvények!E47+Közter.rend.!E47+Közf.!E47+Közutak!E47+Közvil.!E47+Zöldter.!E47+'Város-község'!E47+Háziorvos!E47+Védőnő!E47+Sport!E47+Könyvtár!E47+'Művelődési H.'!E47+'Isk.1-4.'!E47+'Isk.5-8.'!E47+Gyermekétk.!E47+Családvéd.!E47+Gyermekvéd.!E47+Családtám.!E47+'Egyéb szoc.'!E47+'Közösségi Ház'!E47</f>
        <v>275000</v>
      </c>
      <c r="F49" s="15">
        <f>Igazg.!F48+Adók!F48+Temető!F47+Önk.vagyon!F47+Múzeum!F47+Rendezvények!F47+Közter.rend.!F47+Közf.!F47+Közutak!F47+Közvil.!F47+Zöldter.!F47+'Város-község'!F47+Háziorvos!F47+Védőnő!F47+Sport!F47+Könyvtár!F47+'Művelődési H.'!F47+'Isk.1-4.'!F47+'Isk.5-8.'!F47+Gyermekétk.!F47+Családvéd.!F47+Gyermekvéd.!F47+Családtám.!F47+'Egyéb szoc.'!F47+'Közösségi Ház'!F47</f>
        <v>365000</v>
      </c>
      <c r="G49" s="15">
        <f>Igazg.!G48+Adók!G48+Temető!G47+Önk.vagyon!G47+Múzeum!G47+Rendezvények!G47+Közter.rend.!G47+Közf.!G47+Közutak!G47+Közvil.!G47+Zöldter.!G47+'Város-község'!G47+Háziorvos!G47+Védőnő!G47+Sport!G47+Könyvtár!G47+'Művelődési H.'!G47+'Isk.1-4.'!G47+'Isk.5-8.'!G47+Gyermekétk.!G47+Családvéd.!G47+Gyermekvéd.!G47+Családtám.!G47+'Egyéb szoc.'!G47+'Közösségi Ház'!G47</f>
        <v>365000</v>
      </c>
      <c r="H49" s="124">
        <f t="shared" si="0"/>
        <v>1</v>
      </c>
      <c r="L49" s="4">
        <v>2290000</v>
      </c>
    </row>
    <row r="50" spans="1:12" ht="25.5">
      <c r="A50" s="16" t="s">
        <v>241</v>
      </c>
      <c r="B50" s="17" t="s">
        <v>242</v>
      </c>
      <c r="C50" s="15">
        <f>Igazg.!C49+Adók!C49+Temető!C48+Önk.vagyon!C48+Múzeum!C48+Rendezvények!C48+Közter.rend.!C48+Közf.!C48+Közutak!C48+Közvil.!C48+Zöldter.!C48+'Város-község'!C48+Háziorvos!C48+Védőnő!C48+Sport!C48+Könyvtár!C48+'Művelődési H.'!C48+'Isk.1-4.'!C48+'Isk.5-8.'!C48+Gyermekétk.!C48+Családvéd.!C48+Gyermekvéd.!C48+Családtám.!C48+'Egyéb szoc.'!C48+'Közösségi Ház'!C48</f>
        <v>2290000</v>
      </c>
      <c r="D50" s="15">
        <f>Igazg.!D49+Adók!D49+Temető!D48+Önk.vagyon!D48+Múzeum!D48+Rendezvények!D48+Közter.rend.!D48+Közf.!D48+Közutak!D48+Közvil.!D48+Zöldter.!D48+'Város-község'!D48+Háziorvos!D48+Védőnő!D48+Sport!D48+Könyvtár!D48+'Művelődési H.'!D48+'Isk.1-4.'!D48+'Isk.5-8.'!D48+Gyermekétk.!D48+Családvéd.!D48+Gyermekvéd.!D48+Családtám.!D48+'Egyéb szoc.'!D48+'Közösségi Ház'!D48</f>
        <v>90000</v>
      </c>
      <c r="E50" s="15">
        <f>Igazg.!E49+Adók!E49+Temető!E48+Önk.vagyon!E48+Múzeum!E48+Rendezvények!E48+Közter.rend.!E48+Közf.!E48+Közutak!E48+Közvil.!E48+Zöldter.!E48+'Város-község'!E48+Háziorvos!E48+Védőnő!E48+Sport!E48+Könyvtár!E48+'Művelődési H.'!E48+'Isk.1-4.'!E48+'Isk.5-8.'!E48+Gyermekétk.!E48+Családvéd.!E48+Gyermekvéd.!E48+Családtám.!E48+'Egyéb szoc.'!E48+'Közösségi Ház'!E48</f>
        <v>275000</v>
      </c>
      <c r="F50" s="15">
        <f>Igazg.!F49+Adók!F49+Temető!F48+Önk.vagyon!F48+Múzeum!F48+Rendezvények!F48+Közter.rend.!F48+Közf.!F48+Közutak!F48+Közvil.!F48+Zöldter.!F48+'Város-község'!F48+Háziorvos!F48+Védőnő!F48+Sport!F48+Könyvtár!F48+'Művelődési H.'!F48+'Isk.1-4.'!F48+'Isk.5-8.'!F48+Gyermekétk.!F48+Családvéd.!F48+Gyermekvéd.!F48+Családtám.!F48+'Egyéb szoc.'!F48+'Közösségi Ház'!F48</f>
        <v>365000</v>
      </c>
      <c r="G50" s="15">
        <f>Igazg.!G49+Adók!G49+Temető!G48+Önk.vagyon!G48+Múzeum!G48+Rendezvények!G48+Közter.rend.!G48+Közf.!G48+Közutak!G48+Közvil.!G48+Zöldter.!G48+'Város-község'!G48+Háziorvos!G48+Védőnő!G48+Sport!G48+Könyvtár!G48+'Művelődési H.'!G48+'Isk.1-4.'!G48+'Isk.5-8.'!G48+Gyermekétk.!G48+Családvéd.!G48+Gyermekvéd.!G48+Családtám.!G48+'Egyéb szoc.'!G48+'Közösségi Ház'!G48</f>
        <v>365000</v>
      </c>
      <c r="H50" s="125">
        <f t="shared" si="0"/>
        <v>1</v>
      </c>
      <c r="L50" s="7">
        <v>2290000</v>
      </c>
    </row>
    <row r="51" spans="1:12" s="122" customFormat="1" ht="25.5">
      <c r="A51" s="16">
        <v>231</v>
      </c>
      <c r="B51" s="17" t="s">
        <v>460</v>
      </c>
      <c r="C51" s="15">
        <f>Igazg.!C50+Adók!C50+Temető!C49+Önk.vagyon!C49+Múzeum!C49+Rendezvények!C49+Közter.rend.!C49+Közf.!C49+Közutak!C49+Közvil.!C49+Zöldter.!C49+'Város-község'!C49+Háziorvos!C49+Védőnő!C49+Sport!C49+Könyvtár!C49+'Művelődési H.'!C49+'Isk.1-4.'!C49+'Isk.5-8.'!C49+Gyermekétk.!C49+Családvéd.!C49+Gyermekvéd.!C49+Családtám.!C49+'Egyéb szoc.'!C49+'Közösségi Ház'!C49</f>
        <v>0</v>
      </c>
      <c r="D51" s="15">
        <f>Igazg.!D50+Adók!D50+Temető!D49+Önk.vagyon!D49+Múzeum!D49+Rendezvények!D49+Közter.rend.!D49+Közf.!D49+Közutak!D49+Közvil.!D49+Zöldter.!D49+'Város-község'!D49+Háziorvos!D49+Védőnő!D49+Sport!D49+Könyvtár!D49+'Művelődési H.'!D49+'Isk.1-4.'!D49+'Isk.5-8.'!D49+Gyermekétk.!D49+Családvéd.!D49+Gyermekvéd.!D49+Családtám.!D49+'Egyéb szoc.'!D49+'Közösségi Ház'!D49</f>
        <v>0</v>
      </c>
      <c r="E51" s="131">
        <f>Igazg.!E50+Adók!E50+Temető!E49+Önk.vagyon!E49+Múzeum!E49+Rendezvények!E49+Közter.rend.!E49+Közf.!E49+Közutak!E49+Közvil.!E49+Zöldter.!E49+'Város-község'!E49+Háziorvos!E49+Védőnő!E49+Sport!E49+Könyvtár!E49+'Művelődési H.'!E49+'Isk.1-4.'!E49+'Isk.5-8.'!E49+Gyermekétk.!E49+Családvéd.!E49+Gyermekvéd.!E49+Családtám.!E49+'Egyéb szoc.'!E49+'Közösségi Ház'!E49</f>
        <v>52500</v>
      </c>
      <c r="F51" s="15">
        <f>Igazg.!F50+Adók!F50+Temető!F49+Önk.vagyon!F49+Múzeum!F49+Rendezvények!F49+Közter.rend.!F49+Közf.!F49+Közutak!F49+Közvil.!F49+Zöldter.!F49+'Város-község'!F49+Háziorvos!F49+Védőnő!F49+Sport!F49+Könyvtár!F49+'Művelődési H.'!F49+'Isk.1-4.'!F49+'Isk.5-8.'!F49+Gyermekétk.!F49+Családvéd.!F49+Gyermekvéd.!F49+Családtám.!F49+'Egyéb szoc.'!F49+'Közösségi Ház'!F49</f>
        <v>52500</v>
      </c>
      <c r="G51" s="15">
        <f>Igazg.!G50+Adók!G50+Temető!G49+Önk.vagyon!G49+Múzeum!G49+Rendezvények!G49+Közter.rend.!G49+Közf.!G49+Közutak!G49+Közvil.!G49+Zöldter.!G49+'Város-község'!G49+Háziorvos!G49+Védőnő!G49+Sport!G49+Könyvtár!G49+'Művelődési H.'!G49+'Isk.1-4.'!G49+'Isk.5-8.'!G49+Gyermekétk.!G49+Családvéd.!G49+Gyermekvéd.!G49+Családtám.!G49+'Egyéb szoc.'!G49+'Közösségi Ház'!G49</f>
        <v>68000</v>
      </c>
      <c r="H51" s="125">
        <f t="shared" si="0"/>
        <v>1.2952380952380953</v>
      </c>
    </row>
    <row r="52" spans="1:12" s="130" customFormat="1" ht="38.25">
      <c r="A52" s="20">
        <v>232</v>
      </c>
      <c r="B52" s="19" t="s">
        <v>459</v>
      </c>
      <c r="C52" s="15">
        <f>Igazg.!C51+Adók!C51+Temető!C50+Önk.vagyon!C50+Múzeum!C50+Rendezvények!C50+Közter.rend.!C50+Közf.!C50+Közutak!C50+Közvil.!C50+Zöldter.!C50+'Város-község'!C50+Háziorvos!C50+Védőnő!C50+Sport!C50+Könyvtár!C50+'Művelődési H.'!C50+'Isk.1-4.'!C50+'Isk.5-8.'!C50+Gyermekétk.!C50+Családvéd.!C50+Gyermekvéd.!C50+Családtám.!C50+'Egyéb szoc.'!C50+'Közösségi Ház'!C50</f>
        <v>0</v>
      </c>
      <c r="D52" s="15">
        <f>Igazg.!D51+Adók!D51+Temető!D50+Önk.vagyon!D50+Múzeum!D50+Rendezvények!D50+Közter.rend.!D50+Közf.!D50+Közutak!D50+Közvil.!D50+Zöldter.!D50+'Város-község'!D50+Háziorvos!D50+Védőnő!D50+Sport!D50+Könyvtár!D50+'Művelődési H.'!D50+'Isk.1-4.'!D50+'Isk.5-8.'!D50+Gyermekétk.!D50+Családvéd.!D50+Gyermekvéd.!D50+Családtám.!D50+'Egyéb szoc.'!D50+'Közösségi Ház'!D50</f>
        <v>0</v>
      </c>
      <c r="E52" s="15">
        <f>Igazg.!E51+Adók!E51+Temető!E50+Önk.vagyon!E50+Múzeum!E50+Rendezvények!E50+Közter.rend.!E50+Közf.!E50+Közutak!E50+Közvil.!E50+Zöldter.!E50+'Város-község'!E50+Háziorvos!E50+Védőnő!E50+Sport!E50+Könyvtár!E50+'Művelődési H.'!E50+'Isk.1-4.'!E50+'Isk.5-8.'!E50+Gyermekétk.!E50+Családvéd.!E50+Gyermekvéd.!E50+Családtám.!E50+'Egyéb szoc.'!E50+'Közösségi Ház'!E50</f>
        <v>52500</v>
      </c>
      <c r="F52" s="15">
        <f>Igazg.!F51+Adók!F51+Temető!F50+Önk.vagyon!F50+Múzeum!F50+Rendezvények!F50+Közter.rend.!F50+Közf.!F50+Közutak!F50+Közvil.!F50+Zöldter.!F50+'Város-község'!F50+Háziorvos!F50+Védőnő!F50+Sport!F50+Könyvtár!F50+'Művelődési H.'!F50+'Isk.1-4.'!F50+'Isk.5-8.'!F50+Gyermekétk.!F50+Családvéd.!F50+Gyermekvéd.!F50+Családtám.!F50+'Egyéb szoc.'!F50+'Közösségi Ház'!F50</f>
        <v>52500</v>
      </c>
      <c r="G52" s="15">
        <f>Igazg.!G51+Adók!G51+Temető!G50+Önk.vagyon!G50+Múzeum!G50+Rendezvények!G50+Közter.rend.!G50+Közf.!G50+Közutak!G50+Közvil.!G50+Zöldter.!G50+'Város-község'!G50+Háziorvos!G50+Védőnő!G50+Sport!G50+Könyvtár!G50+'Művelődési H.'!G50+'Isk.1-4.'!G50+'Isk.5-8.'!G50+Gyermekétk.!G50+Családvéd.!G50+Gyermekvéd.!G50+Családtám.!G50+'Egyéb szoc.'!G50+'Közösségi Ház'!G50</f>
        <v>68000</v>
      </c>
      <c r="H52" s="125">
        <f t="shared" si="0"/>
        <v>1.2952380952380953</v>
      </c>
    </row>
    <row r="53" spans="1:12" ht="25.5">
      <c r="A53" s="13" t="s">
        <v>243</v>
      </c>
      <c r="B53" s="14" t="s">
        <v>244</v>
      </c>
      <c r="C53" s="15">
        <f>Igazg.!C52+Adók!C52+Temető!C51+Önk.vagyon!C51+Múzeum!C51+Rendezvények!C51+Közter.rend.!C51+Közf.!C51+Közutak!C51+Közvil.!C51+Zöldter.!C51+'Város-község'!C51+Háziorvos!C51+Védőnő!C51+Sport!C51+Könyvtár!C51+'Művelődési H.'!C51+'Isk.1-4.'!C51+'Isk.5-8.'!C51+Gyermekétk.!C51+Családvéd.!C51+Gyermekvéd.!C51+Családtám.!C51+'Egyéb szoc.'!C51+'Közösségi Ház'!C51</f>
        <v>562042</v>
      </c>
      <c r="D53" s="15">
        <f>Igazg.!D52+Adók!D52+Temető!D51+Önk.vagyon!D51+Múzeum!D51+Rendezvények!D51+Közter.rend.!D51+Közf.!D51+Közutak!D51+Közvil.!D51+Zöldter.!D51+'Város-község'!D51+Háziorvos!D51+Védőnő!D51+Sport!D51+Könyvtár!D51+'Művelődési H.'!D51+'Isk.1-4.'!D51+'Isk.5-8.'!D51+Gyermekétk.!D51+Családvéd.!D51+Gyermekvéd.!D51+Családtám.!D51+'Egyéb szoc.'!D51+'Közösségi Ház'!D51</f>
        <v>600000</v>
      </c>
      <c r="E53" s="15">
        <f>Igazg.!E52+Adók!E52+Temető!E51+Önk.vagyon!E51+Múzeum!E51+Rendezvények!E51+Közter.rend.!E51+Közf.!E51+Közutak!E51+Közvil.!E51+Zöldter.!E51+'Város-község'!E51+Háziorvos!E51+Védőnő!E51+Sport!E51+Könyvtár!E51+'Művelődési H.'!E51+'Isk.1-4.'!E51+'Isk.5-8.'!E51+Gyermekétk.!E51+Családvéd.!E51+Gyermekvéd.!E51+Családtám.!E51+'Egyéb szoc.'!E51+'Közösségi Ház'!E51</f>
        <v>0</v>
      </c>
      <c r="F53" s="15">
        <f>Igazg.!F52+Adók!F52+Temető!F51+Önk.vagyon!F51+Múzeum!F51+Rendezvények!F51+Közter.rend.!F51+Közf.!F51+Közutak!F51+Közvil.!F51+Zöldter.!F51+'Város-község'!F51+Háziorvos!F51+Védőnő!F51+Sport!F51+Könyvtár!F51+'Művelődési H.'!F51+'Isk.1-4.'!F51+'Isk.5-8.'!F51+Gyermekétk.!F51+Családvéd.!F51+Gyermekvéd.!F51+Családtám.!F51+'Egyéb szoc.'!F51+'Közösségi Ház'!F51</f>
        <v>600000</v>
      </c>
      <c r="G53" s="15">
        <f>Igazg.!G52+Adók!G52+Temető!G51+Önk.vagyon!G51+Múzeum!G51+Rendezvények!G51+Közter.rend.!G51+Közf.!G51+Közutak!G51+Közvil.!G51+Zöldter.!G51+'Város-község'!G51+Háziorvos!G51+Védőnő!G51+Sport!G51+Könyvtár!G51+'Művelődési H.'!G51+'Isk.1-4.'!G51+'Isk.5-8.'!G51+Gyermekétk.!G51+Családvéd.!G51+Gyermekvéd.!G51+Családtám.!G51+'Egyéb szoc.'!G51+'Közösségi Ház'!G51</f>
        <v>232000</v>
      </c>
      <c r="H53" s="124">
        <f t="shared" si="0"/>
        <v>0.38666666666666666</v>
      </c>
      <c r="L53" s="4">
        <v>562042</v>
      </c>
    </row>
    <row r="54" spans="1:12">
      <c r="A54" s="13" t="s">
        <v>245</v>
      </c>
      <c r="B54" s="14" t="s">
        <v>246</v>
      </c>
      <c r="C54" s="15">
        <f>Igazg.!C53+Adók!C53+Temető!C52+Önk.vagyon!C52+Múzeum!C52+Rendezvények!C52+Közter.rend.!C52+Közf.!C52+Közutak!C52+Közvil.!C52+Zöldter.!C52+'Város-község'!C52+Háziorvos!C52+Védőnő!C52+Sport!C52+Könyvtár!C52+'Művelődési H.'!C52+'Isk.1-4.'!C52+'Isk.5-8.'!C52+Gyermekétk.!C52+Családvéd.!C52+Gyermekvéd.!C52+Családtám.!C52+'Egyéb szoc.'!C52+'Közösségi Ház'!C52</f>
        <v>31470</v>
      </c>
      <c r="D54" s="15">
        <f>Igazg.!D53+Adók!D53+Temető!D52+Önk.vagyon!D52+Múzeum!D52+Rendezvények!D52+Közter.rend.!D52+Közf.!D52+Közutak!D52+Közvil.!D52+Zöldter.!D52+'Város-község'!D52+Háziorvos!D52+Védőnő!D52+Sport!D52+Könyvtár!D52+'Művelődési H.'!D52+'Isk.1-4.'!D52+'Isk.5-8.'!D52+Gyermekétk.!D52+Családvéd.!D52+Gyermekvéd.!D52+Családtám.!D52+'Egyéb szoc.'!D52+'Közösségi Ház'!D52</f>
        <v>0</v>
      </c>
      <c r="E54" s="131">
        <f>Igazg.!E53+Adók!E53+Temető!E52+Önk.vagyon!E52+Múzeum!E52+Rendezvények!E52+Közter.rend.!E52+Közf.!E52+Közutak!E52+Közvil.!E52+Zöldter.!E52+'Város-község'!E52+Háziorvos!E52+Védőnő!E52+Sport!E52+Könyvtár!E52+'Művelődési H.'!E52+'Isk.1-4.'!E52+'Isk.5-8.'!E52+Gyermekétk.!E52+Családvéd.!E52+Gyermekvéd.!E52+Családtám.!E52+'Egyéb szoc.'!E52+'Közösségi Ház'!E52</f>
        <v>45000</v>
      </c>
      <c r="F54" s="15">
        <f>Igazg.!F53+Adók!F53+Temető!F52+Önk.vagyon!F52+Múzeum!F52+Rendezvények!F52+Közter.rend.!F52+Közf.!F52+Közutak!F52+Közvil.!F52+Zöldter.!F52+'Város-község'!F52+Háziorvos!F52+Védőnő!F52+Sport!F52+Könyvtár!F52+'Művelődési H.'!F52+'Isk.1-4.'!F52+'Isk.5-8.'!F52+Gyermekétk.!F52+Családvéd.!F52+Gyermekvéd.!F52+Családtám.!F52+'Egyéb szoc.'!F52+'Közösségi Ház'!F52</f>
        <v>45000</v>
      </c>
      <c r="G54" s="15">
        <f>Igazg.!G53+Adók!G53+Temető!G52+Önk.vagyon!G52+Múzeum!G52+Rendezvények!G52+Közter.rend.!G52+Közf.!G52+Közutak!G52+Közvil.!G52+Zöldter.!G52+'Város-község'!G52+Háziorvos!G52+Védőnő!G52+Sport!G52+Könyvtár!G52+'Művelődési H.'!G52+'Isk.1-4.'!G52+'Isk.5-8.'!G52+Gyermekétk.!G52+Családvéd.!G52+Gyermekvéd.!G52+Családtám.!G52+'Egyéb szoc.'!G52+'Közösségi Ház'!G52</f>
        <v>45000</v>
      </c>
      <c r="H54" s="124">
        <f t="shared" si="0"/>
        <v>1</v>
      </c>
      <c r="L54" s="4">
        <v>31470</v>
      </c>
    </row>
    <row r="55" spans="1:12">
      <c r="A55" s="13" t="s">
        <v>247</v>
      </c>
      <c r="B55" s="14" t="s">
        <v>248</v>
      </c>
      <c r="C55" s="15">
        <f>Igazg.!C54+Adók!C54+Temető!C53+Önk.vagyon!C53+Múzeum!C53+Rendezvények!C53+Közter.rend.!C53+Közf.!C53+Közutak!C53+Közvil.!C53+Zöldter.!C53+'Város-község'!C53+Háziorvos!C53+Védőnő!C53+Sport!C53+Könyvtár!C53+'Művelődési H.'!C53+'Isk.1-4.'!C53+'Isk.5-8.'!C53+Gyermekétk.!C53+Családvéd.!C53+Gyermekvéd.!C53+Családtám.!C53+'Egyéb szoc.'!C53+'Közösségi Ház'!C53</f>
        <v>135572</v>
      </c>
      <c r="D55" s="15">
        <f>Igazg.!D54+Adók!D54+Temető!D53+Önk.vagyon!D53+Múzeum!D53+Rendezvények!D53+Közter.rend.!D53+Közf.!D53+Közutak!D53+Közvil.!D53+Zöldter.!D53+'Város-község'!D53+Háziorvos!D53+Védőnő!D53+Sport!D53+Könyvtár!D53+'Művelődési H.'!D53+'Isk.1-4.'!D53+'Isk.5-8.'!D53+Gyermekétk.!D53+Családvéd.!D53+Gyermekvéd.!D53+Családtám.!D53+'Egyéb szoc.'!D53+'Közösségi Ház'!D53</f>
        <v>300000</v>
      </c>
      <c r="E55" s="15">
        <f>Igazg.!E54+Adók!E54+Temető!E53+Önk.vagyon!E53+Múzeum!E53+Rendezvények!E53+Közter.rend.!E53+Közf.!E53+Közutak!E53+Közvil.!E53+Zöldter.!E53+'Város-község'!E53+Háziorvos!E53+Védőnő!E53+Sport!E53+Könyvtár!E53+'Művelődési H.'!E53+'Isk.1-4.'!E53+'Isk.5-8.'!E53+Gyermekétk.!E53+Családvéd.!E53+Gyermekvéd.!E53+Családtám.!E53+'Egyéb szoc.'!E53+'Közösségi Ház'!E53</f>
        <v>0</v>
      </c>
      <c r="F55" s="15">
        <f>Igazg.!F54+Adók!F54+Temető!F53+Önk.vagyon!F53+Múzeum!F53+Rendezvények!F53+Közter.rend.!F53+Közf.!F53+Közutak!F53+Közvil.!F53+Zöldter.!F53+'Város-község'!F53+Háziorvos!F53+Védőnő!F53+Sport!F53+Könyvtár!F53+'Művelődési H.'!F53+'Isk.1-4.'!F53+'Isk.5-8.'!F53+Gyermekétk.!F53+Családvéd.!F53+Gyermekvéd.!F53+Családtám.!F53+'Egyéb szoc.'!F53+'Közösségi Ház'!F53</f>
        <v>300000</v>
      </c>
      <c r="G55" s="15">
        <f>Igazg.!G54+Adók!G54+Temető!G53+Önk.vagyon!G53+Múzeum!G53+Rendezvények!G53+Közter.rend.!G53+Közf.!G53+Közutak!G53+Közvil.!G53+Zöldter.!G53+'Város-község'!G53+Háziorvos!G53+Védőnő!G53+Sport!G53+Könyvtár!G53+'Művelődési H.'!G53+'Isk.1-4.'!G53+'Isk.5-8.'!G53+Gyermekétk.!G53+Családvéd.!G53+Gyermekvéd.!G53+Családtám.!G53+'Egyéb szoc.'!G53+'Közösségi Ház'!G53</f>
        <v>60000</v>
      </c>
      <c r="H55" s="124">
        <f t="shared" si="0"/>
        <v>0.2</v>
      </c>
      <c r="L55" s="4">
        <v>135572</v>
      </c>
    </row>
    <row r="56" spans="1:12">
      <c r="A56" s="13" t="s">
        <v>249</v>
      </c>
      <c r="B56" s="14" t="s">
        <v>250</v>
      </c>
      <c r="C56" s="15">
        <f>Igazg.!C55+Adók!C55+Temető!C54+Önk.vagyon!C54+Múzeum!C54+Rendezvények!C54+Közter.rend.!C54+Közf.!C54+Közutak!C54+Közvil.!C54+Zöldter.!C54+'Város-község'!C54+Háziorvos!C54+Védőnő!C54+Sport!C54+Könyvtár!C54+'Művelődési H.'!C54+'Isk.1-4.'!C54+'Isk.5-8.'!C54+Gyermekétk.!C54+Családvéd.!C54+Gyermekvéd.!C54+Családtám.!C54+'Egyéb szoc.'!C54+'Közösségi Ház'!C54</f>
        <v>395000</v>
      </c>
      <c r="D56" s="15">
        <f>Igazg.!D55+Adók!D55+Temető!D54+Önk.vagyon!D54+Múzeum!D54+Rendezvények!D54+Közter.rend.!D54+Közf.!D54+Közutak!D54+Közvil.!D54+Zöldter.!D54+'Város-község'!D54+Háziorvos!D54+Védőnő!D54+Sport!D54+Könyvtár!D54+'Művelődési H.'!D54+'Isk.1-4.'!D54+'Isk.5-8.'!D54+Gyermekétk.!D54+Családvéd.!D54+Gyermekvéd.!D54+Családtám.!D54+'Egyéb szoc.'!D54+'Közösségi Ház'!D54</f>
        <v>300000</v>
      </c>
      <c r="E56" s="15">
        <f>Igazg.!E55+Adók!E55+Temető!E54+Önk.vagyon!E54+Múzeum!E54+Rendezvények!E54+Közter.rend.!E54+Közf.!E54+Közutak!E54+Közvil.!E54+Zöldter.!E54+'Város-község'!E54+Háziorvos!E54+Védőnő!E54+Sport!E54+Könyvtár!E54+'Művelődési H.'!E54+'Isk.1-4.'!E54+'Isk.5-8.'!E54+Gyermekétk.!E54+Családvéd.!E54+Gyermekvéd.!E54+Családtám.!E54+'Egyéb szoc.'!E54+'Közösségi Ház'!E54</f>
        <v>-45000</v>
      </c>
      <c r="F56" s="15">
        <f>Igazg.!F55+Adók!F55+Temető!F54+Önk.vagyon!F54+Múzeum!F54+Rendezvények!F54+Közter.rend.!F54+Közf.!F54+Közutak!F54+Közvil.!F54+Zöldter.!F54+'Város-község'!F54+Háziorvos!F54+Védőnő!F54+Sport!F54+Könyvtár!F54+'Művelődési H.'!F54+'Isk.1-4.'!F54+'Isk.5-8.'!F54+Gyermekétk.!F54+Családvéd.!F54+Gyermekvéd.!F54+Családtám.!F54+'Egyéb szoc.'!F54+'Közösségi Ház'!F54</f>
        <v>255000</v>
      </c>
      <c r="G56" s="15">
        <f>Igazg.!G55+Adók!G55+Temető!G54+Önk.vagyon!G54+Múzeum!G54+Rendezvények!G54+Közter.rend.!G54+Közf.!G54+Közutak!G54+Közvil.!G54+Zöldter.!G54+'Város-község'!G54+Háziorvos!G54+Védőnő!G54+Sport!G54+Könyvtár!G54+'Művelődési H.'!G54+'Isk.1-4.'!G54+'Isk.5-8.'!G54+Gyermekétk.!G54+Családvéd.!G54+Gyermekvéd.!G54+Családtám.!G54+'Egyéb szoc.'!G54+'Közösségi Ház'!G54</f>
        <v>127000</v>
      </c>
      <c r="H56" s="124">
        <f t="shared" si="0"/>
        <v>0.49803921568627452</v>
      </c>
      <c r="L56" s="4">
        <v>395000</v>
      </c>
    </row>
    <row r="57" spans="1:12" ht="25.5">
      <c r="A57" s="16" t="s">
        <v>251</v>
      </c>
      <c r="B57" s="17" t="s">
        <v>252</v>
      </c>
      <c r="C57" s="15">
        <f>Igazg.!C56+Adók!C56+Temető!C55+Önk.vagyon!C55+Múzeum!C55+Rendezvények!C55+Közter.rend.!C55+Közf.!C55+Közutak!C55+Közvil.!C55+Zöldter.!C55+'Város-község'!C55+Háziorvos!C55+Védőnő!C55+Sport!C55+Könyvtár!C55+'Művelődési H.'!C55+'Isk.1-4.'!C55+'Isk.5-8.'!C55+Gyermekétk.!C55+Családvéd.!C55+Gyermekvéd.!C55+Családtám.!C55+'Egyéb szoc.'!C55+'Közösségi Ház'!C55</f>
        <v>562042</v>
      </c>
      <c r="D57" s="15">
        <f>Igazg.!D56+Adók!D56+Temető!D55+Önk.vagyon!D55+Múzeum!D55+Rendezvények!D55+Közter.rend.!D55+Közf.!D55+Közutak!D55+Közvil.!D55+Zöldter.!D55+'Város-község'!D55+Háziorvos!D55+Védőnő!D55+Sport!D55+Könyvtár!D55+'Művelődési H.'!D55+'Isk.1-4.'!D55+'Isk.5-8.'!D55+Gyermekétk.!D55+Családvéd.!D55+Gyermekvéd.!D55+Családtám.!D55+'Egyéb szoc.'!D55+'Közösségi Ház'!D55</f>
        <v>600000</v>
      </c>
      <c r="E57" s="15">
        <f>Igazg.!E56+Adók!E56+Temető!E55+Önk.vagyon!E55+Múzeum!E55+Rendezvények!E55+Közter.rend.!E55+Közf.!E55+Közutak!E55+Közvil.!E55+Zöldter.!E55+'Város-község'!E55+Háziorvos!E55+Védőnő!E55+Sport!E55+Könyvtár!E55+'Művelődési H.'!E55+'Isk.1-4.'!E55+'Isk.5-8.'!E55+Gyermekétk.!E55+Családvéd.!E55+Gyermekvéd.!E55+Családtám.!E55+'Egyéb szoc.'!E55+'Közösségi Ház'!E55</f>
        <v>52500</v>
      </c>
      <c r="F57" s="15">
        <f>Igazg.!F56+Adók!F56+Temető!F55+Önk.vagyon!F55+Múzeum!F55+Rendezvények!F55+Közter.rend.!F55+Közf.!F55+Közutak!F55+Közvil.!F55+Zöldter.!F55+'Város-község'!F55+Háziorvos!F55+Védőnő!F55+Sport!F55+Könyvtár!F55+'Művelődési H.'!F55+'Isk.1-4.'!F55+'Isk.5-8.'!F55+Gyermekétk.!F55+Családvéd.!F55+Gyermekvéd.!F55+Családtám.!F55+'Egyéb szoc.'!F55+'Közösségi Ház'!F55</f>
        <v>652500</v>
      </c>
      <c r="G57" s="15">
        <f>Igazg.!G56+Adók!G56+Temető!G55+Önk.vagyon!G55+Múzeum!G55+Rendezvények!G55+Közter.rend.!G55+Közf.!G55+Közutak!G55+Közvil.!G55+Zöldter.!G55+'Város-község'!G55+Háziorvos!G55+Védőnő!G55+Sport!G55+Könyvtár!G55+'Művelődési H.'!G55+'Isk.1-4.'!G55+'Isk.5-8.'!G55+Gyermekétk.!G55+Családvéd.!G55+Gyermekvéd.!G55+Családtám.!G55+'Egyéb szoc.'!G55+'Közösségi Ház'!G55</f>
        <v>300000</v>
      </c>
      <c r="H57" s="125">
        <f t="shared" si="0"/>
        <v>0.45977011494252873</v>
      </c>
      <c r="L57" s="7">
        <v>562042</v>
      </c>
    </row>
    <row r="58" spans="1:12" ht="25.5">
      <c r="A58" s="16" t="s">
        <v>253</v>
      </c>
      <c r="B58" s="17" t="s">
        <v>254</v>
      </c>
      <c r="C58" s="15">
        <f>Igazg.!C57+Adók!C57+Temető!C56+Önk.vagyon!C56+Múzeum!C56+Rendezvények!C56+Közter.rend.!C56+Közf.!C56+Közutak!C56+Közvil.!C56+Zöldter.!C56+'Város-község'!C56+Háziorvos!C56+Védőnő!C56+Sport!C56+Könyvtár!C56+'Művelődési H.'!C56+'Isk.1-4.'!C56+'Isk.5-8.'!C56+Gyermekétk.!C56+Családvéd.!C56+Gyermekvéd.!C56+Családtám.!C56+'Egyéb szoc.'!C56+'Közösségi Ház'!C56</f>
        <v>373707982</v>
      </c>
      <c r="D58" s="15">
        <f>Igazg.!D57+Adók!D57+Temető!D56+Önk.vagyon!D56+Múzeum!D56+Rendezvények!D56+Közter.rend.!D56+Közf.!D56+Közutak!D56+Közvil.!D56+Zöldter.!D56+'Város-község'!D56+Háziorvos!D56+Védőnő!D56+Sport!D56+Könyvtár!D56+'Művelődési H.'!D56+'Isk.1-4.'!D56+'Isk.5-8.'!D56+Gyermekétk.!D56+Családvéd.!D56+Gyermekvéd.!D56+Családtám.!D56+'Egyéb szoc.'!D56+'Közösségi Ház'!D56</f>
        <v>224379554</v>
      </c>
      <c r="E58" s="15">
        <f>Igazg.!E57+Adók!E57+Temető!E56+Önk.vagyon!E56+Múzeum!E56+Rendezvények!E56+Közter.rend.!E56+Közf.!E56+Közutak!E56+Közvil.!E56+Zöldter.!E56+'Város-község'!E56+Háziorvos!E56+Védőnő!E56+Sport!E56+Könyvtár!E56+'Művelődési H.'!E56+'Isk.1-4.'!E56+'Isk.5-8.'!E56+Gyermekétk.!E56+Családvéd.!E56+Gyermekvéd.!E56+Családtám.!E56+'Egyéb szoc.'!E56+'Közösségi Ház'!E56</f>
        <v>54503398</v>
      </c>
      <c r="F58" s="15">
        <f>Igazg.!F57+Adók!F57+Temető!F56+Önk.vagyon!F56+Múzeum!F56+Rendezvények!F56+Közter.rend.!F56+Közf.!F56+Közutak!F56+Közvil.!F56+Zöldter.!F56+'Város-község'!F56+Háziorvos!F56+Védőnő!F56+Sport!F56+Könyvtár!F56+'Művelődési H.'!F56+'Isk.1-4.'!F56+'Isk.5-8.'!F56+Gyermekétk.!F56+Családvéd.!F56+Gyermekvéd.!F56+Családtám.!F56+'Egyéb szoc.'!F56+'Közösségi Ház'!F56</f>
        <v>278882952</v>
      </c>
      <c r="G58" s="15">
        <f>Igazg.!G57+Adók!G57+Temető!G56+Önk.vagyon!G56+Múzeum!G56+Rendezvények!G56+Közter.rend.!G56+Közf.!G56+Közutak!G56+Közvil.!G56+Zöldter.!G56+'Város-község'!G56+Háziorvos!G56+Védőnő!G56+Sport!G56+Könyvtár!G56+'Művelődési H.'!G56+'Isk.1-4.'!G56+'Isk.5-8.'!G56+Gyermekétk.!G56+Családvéd.!G56+Gyermekvéd.!G56+Családtám.!G56+'Egyéb szoc.'!G56+'Közösségi Ház'!G56</f>
        <v>164907404</v>
      </c>
      <c r="H58" s="125">
        <f t="shared" si="0"/>
        <v>0.59131403629146895</v>
      </c>
      <c r="L58" s="7">
        <v>373707982</v>
      </c>
    </row>
    <row r="59" spans="1:12" s="130" customFormat="1" ht="25.5">
      <c r="A59" s="20">
        <v>294</v>
      </c>
      <c r="B59" s="19" t="s">
        <v>465</v>
      </c>
      <c r="C59" s="129">
        <f>Igazg.!C58+Közutak!C57</f>
        <v>0</v>
      </c>
      <c r="D59" s="129">
        <f>Igazg.!D58+Közutak!D57</f>
        <v>0</v>
      </c>
      <c r="E59" s="129">
        <f>Igazg.!E58+Közutak!E57</f>
        <v>200000000</v>
      </c>
      <c r="F59" s="129">
        <f>Igazg.!F58+Közutak!F57</f>
        <v>200000000</v>
      </c>
      <c r="G59" s="129">
        <f>Igazg.!G58+Közutak!G57</f>
        <v>200000000</v>
      </c>
      <c r="H59" s="124">
        <f t="shared" si="0"/>
        <v>1</v>
      </c>
    </row>
    <row r="60" spans="1:12" ht="25.5">
      <c r="A60" s="13" t="s">
        <v>255</v>
      </c>
      <c r="B60" s="14" t="s">
        <v>256</v>
      </c>
      <c r="C60" s="15">
        <f>Igazg.!C59+Adók!C58+Temető!C57+Önk.vagyon!C57+Múzeum!C57+Rendezvények!C57+Közter.rend.!C57+Közf.!C57+Közutak!C58+Közvil.!C57+Zöldter.!C57+'Város-község'!C57+Háziorvos!C57+Védőnő!C57+Sport!C57+Könyvtár!C57+'Művelődési H.'!C57+'Isk.1-4.'!C57+'Isk.5-8.'!C57+Gyermekétk.!C57+Családvéd.!C57+Gyermekvéd.!C57+Családtám.!C57+'Egyéb szoc.'!C57+'Közösségi Ház'!C57</f>
        <v>202359580</v>
      </c>
      <c r="D60" s="15">
        <f>Igazg.!D59+Adók!D58+Temető!D57+Önk.vagyon!D57+Múzeum!D57+Rendezvények!D57+Közter.rend.!D57+Közf.!D57+Közutak!D58+Közvil.!D57+Zöldter.!D57+'Város-község'!D57+Háziorvos!D57+Védőnő!D57+Sport!D57+Könyvtár!D57+'Művelődési H.'!D57+'Isk.1-4.'!D57+'Isk.5-8.'!D57+Gyermekétk.!D57+Családvéd.!D57+Gyermekvéd.!D57+Családtám.!D57+'Egyéb szoc.'!D57+'Közösségi Ház'!D57</f>
        <v>251471000</v>
      </c>
      <c r="E60" s="15">
        <f>Igazg.!E59+Adók!E58+Temető!E57+Önk.vagyon!E57+Múzeum!E57+Rendezvények!E57+Közter.rend.!E57+Közf.!E57+Közutak!E58+Közvil.!E57+Zöldter.!E57+'Város-község'!E57+Háziorvos!E57+Védőnő!E57+Sport!E57+Könyvtár!E57+'Művelődési H.'!E57+'Isk.1-4.'!E57+'Isk.5-8.'!E57+Gyermekétk.!E57+Családvéd.!E57+Gyermekvéd.!E57+Családtám.!E57+'Egyéb szoc.'!E57+'Közösségi Ház'!E57</f>
        <v>533</v>
      </c>
      <c r="F60" s="15">
        <f>Igazg.!F59+Adók!F58+Temető!F57+Önk.vagyon!F57+Múzeum!F57+Rendezvények!F57+Közter.rend.!F57+Közf.!F57+Közutak!F58+Közvil.!F57+Zöldter.!F57+'Város-község'!F57+Háziorvos!F57+Védőnő!F57+Sport!F57+Könyvtár!F57+'Művelődési H.'!F57+'Isk.1-4.'!F57+'Isk.5-8.'!F57+Gyermekétk.!F57+Családvéd.!F57+Gyermekvéd.!F57+Családtám.!F57+'Egyéb szoc.'!F57+'Közösségi Ház'!F57</f>
        <v>251471533</v>
      </c>
      <c r="G60" s="15">
        <f>Igazg.!G59+Adók!G58+Temető!G57+Önk.vagyon!G57+Múzeum!G57+Rendezvények!G57+Közter.rend.!G57+Közf.!G57+Közutak!G58+Közvil.!G57+Zöldter.!G57+'Város-község'!G57+Háziorvos!G57+Védőnő!G57+Sport!G57+Könyvtár!G57+'Művelődési H.'!G57+'Isk.1-4.'!G57+'Isk.5-8.'!G57+Gyermekétk.!G57+Családvéd.!G57+Gyermekvéd.!G57+Családtám.!G57+'Egyéb szoc.'!G57+'Közösségi Ház'!G57</f>
        <v>251471533</v>
      </c>
      <c r="H60" s="124">
        <f t="shared" si="0"/>
        <v>1</v>
      </c>
      <c r="L60" s="4">
        <v>202359580</v>
      </c>
    </row>
    <row r="61" spans="1:12">
      <c r="A61" s="13" t="s">
        <v>163</v>
      </c>
      <c r="B61" s="14" t="s">
        <v>257</v>
      </c>
      <c r="C61" s="15">
        <f>Igazg.!C60+Adók!C59+Temető!C58+Önk.vagyon!C58+Múzeum!C58+Rendezvények!C58+Közter.rend.!C58+Közf.!C58+Közutak!C59+Közvil.!C58+Zöldter.!C58+'Város-község'!C58+Háziorvos!C58+Védőnő!C58+Sport!C58+Könyvtár!C58+'Művelődési H.'!C58+'Isk.1-4.'!C58+'Isk.5-8.'!C58+Gyermekétk.!C58+Családvéd.!C58+Gyermekvéd.!C58+Családtám.!C58+'Egyéb szoc.'!C58+'Közösségi Ház'!C58</f>
        <v>202359580</v>
      </c>
      <c r="D61" s="15">
        <f>Igazg.!D60+Adók!D59+Temető!D58+Önk.vagyon!D58+Múzeum!D58+Rendezvények!D58+Közter.rend.!D58+Közf.!D58+Közutak!D59+Közvil.!D58+Zöldter.!D58+'Város-község'!D58+Háziorvos!D58+Védőnő!D58+Sport!D58+Könyvtár!D58+'Művelődési H.'!D58+'Isk.1-4.'!D58+'Isk.5-8.'!D58+Gyermekétk.!D58+Családvéd.!D58+Gyermekvéd.!D58+Családtám.!D58+'Egyéb szoc.'!D58+'Közösségi Ház'!D58</f>
        <v>251471000</v>
      </c>
      <c r="E61" s="15">
        <f>Igazg.!E60+Adók!E59+Temető!E58+Önk.vagyon!E58+Múzeum!E58+Rendezvények!E58+Közter.rend.!E58+Közf.!E58+Közutak!E59+Közvil.!E58+Zöldter.!E58+'Város-község'!E58+Háziorvos!E58+Védőnő!E58+Sport!E58+Könyvtár!E58+'Művelődési H.'!E58+'Isk.1-4.'!E58+'Isk.5-8.'!E58+Gyermekétk.!E58+Családvéd.!E58+Gyermekvéd.!E58+Családtám.!E58+'Egyéb szoc.'!E58+'Közösségi Ház'!E58</f>
        <v>533</v>
      </c>
      <c r="F61" s="15">
        <f>Igazg.!F60+Adók!F59+Temető!F58+Önk.vagyon!F58+Múzeum!F58+Rendezvények!F58+Közter.rend.!F58+Közf.!F58+Közutak!F59+Közvil.!F58+Zöldter.!F58+'Város-község'!F58+Háziorvos!F58+Védőnő!F58+Sport!F58+Könyvtár!F58+'Művelődési H.'!F58+'Isk.1-4.'!F58+'Isk.5-8.'!F58+Gyermekétk.!F58+Családvéd.!F58+Gyermekvéd.!F58+Családtám.!F58+'Egyéb szoc.'!F58+'Közösségi Ház'!F58</f>
        <v>251471533</v>
      </c>
      <c r="G61" s="15">
        <f>Igazg.!G60+Adók!G59+Temető!G58+Önk.vagyon!G58+Múzeum!G58+Rendezvények!G58+Közter.rend.!G58+Közf.!G58+Közutak!G59+Közvil.!G58+Zöldter.!G58+'Város-község'!G58+Háziorvos!G58+Védőnő!G58+Sport!G58+Könyvtár!G58+'Művelődési H.'!G58+'Isk.1-4.'!G58+'Isk.5-8.'!G58+Gyermekétk.!G58+Családvéd.!G58+Gyermekvéd.!G58+Családtám.!G58+'Egyéb szoc.'!G58+'Közösségi Ház'!G58</f>
        <v>251471533</v>
      </c>
      <c r="H61" s="124">
        <f t="shared" si="0"/>
        <v>1</v>
      </c>
      <c r="L61" s="4">
        <v>202359580</v>
      </c>
    </row>
    <row r="62" spans="1:12">
      <c r="A62" s="13" t="s">
        <v>258</v>
      </c>
      <c r="B62" s="14" t="s">
        <v>259</v>
      </c>
      <c r="C62" s="15">
        <f>Igazg.!C61+Adók!C60+Temető!C59+Önk.vagyon!C59+Múzeum!C59+Rendezvények!C59+Közter.rend.!C59+Közf.!C59+Közutak!C60+Közvil.!C59+Zöldter.!C59+'Város-község'!C59+Háziorvos!C59+Védőnő!C59+Sport!C59+Könyvtár!C59+'Művelődési H.'!C59+'Isk.1-4.'!C59+'Isk.5-8.'!C59+Gyermekétk.!C59+Családvéd.!C59+Gyermekvéd.!C59+Családtám.!C59+'Egyéb szoc.'!C59+'Közösségi Ház'!C59</f>
        <v>18336223</v>
      </c>
      <c r="D62" s="15">
        <f>Igazg.!D61+Adók!D60+Temető!D59+Önk.vagyon!D59+Múzeum!D59+Rendezvények!D59+Közter.rend.!D59+Közf.!D59+Közutak!D60+Közvil.!D59+Zöldter.!D59+'Város-község'!D59+Háziorvos!D59+Védőnő!D59+Sport!D59+Könyvtár!D59+'Művelődési H.'!D59+'Isk.1-4.'!D59+'Isk.5-8.'!D59+Gyermekétk.!D59+Családvéd.!D59+Gyermekvéd.!D59+Családtám.!D59+'Egyéb szoc.'!D59+'Közösségi Ház'!D59</f>
        <v>6005000</v>
      </c>
      <c r="E62" s="15">
        <f>Igazg.!E61+Adók!E60+Temető!E59+Önk.vagyon!E59+Múzeum!E59+Rendezvények!E59+Közter.rend.!E59+Közf.!E59+Közutak!E60+Közvil.!E59+Zöldter.!E59+'Város-község'!E59+Háziorvos!E59+Védőnő!E59+Sport!E59+Könyvtár!E59+'Művelődési H.'!E59+'Isk.1-4.'!E59+'Isk.5-8.'!E59+Gyermekétk.!E59+Családvéd.!E59+Gyermekvéd.!E59+Családtám.!E59+'Egyéb szoc.'!E59+'Közösségi Ház'!E59</f>
        <v>909193</v>
      </c>
      <c r="F62" s="15">
        <f>Igazg.!F61+Adók!F60+Temető!F59+Önk.vagyon!F59+Múzeum!F59+Rendezvények!F59+Közter.rend.!F59+Közf.!F59+Közutak!F60+Közvil.!F59+Zöldter.!F59+'Város-község'!F59+Háziorvos!F59+Védőnő!F59+Sport!F59+Könyvtár!F59+'Művelődési H.'!F59+'Isk.1-4.'!F59+'Isk.5-8.'!F59+Gyermekétk.!F59+Családvéd.!F59+Gyermekvéd.!F59+Családtám.!F59+'Egyéb szoc.'!F59+'Közösségi Ház'!F59</f>
        <v>6914193</v>
      </c>
      <c r="G62" s="15">
        <f>Igazg.!G61+Adók!G60+Temető!G59+Önk.vagyon!G59+Múzeum!G59+Rendezvények!G59+Közter.rend.!G59+Közf.!G59+Közutak!G60+Közvil.!G59+Zöldter.!G59+'Város-község'!G59+Háziorvos!G59+Védőnő!G59+Sport!G59+Könyvtár!G59+'Művelődési H.'!G59+'Isk.1-4.'!G59+'Isk.5-8.'!G59+Gyermekétk.!G59+Családvéd.!G59+Gyermekvéd.!G59+Családtám.!G59+'Egyéb szoc.'!G59+'Közösségi Ház'!G59</f>
        <v>908477</v>
      </c>
      <c r="H62" s="124">
        <f t="shared" si="0"/>
        <v>0.13139306351442606</v>
      </c>
      <c r="L62" s="4">
        <v>18336223</v>
      </c>
    </row>
    <row r="63" spans="1:12">
      <c r="A63" s="13">
        <v>300</v>
      </c>
      <c r="B63" s="19" t="s">
        <v>412</v>
      </c>
      <c r="C63" s="15"/>
      <c r="D63" s="15"/>
      <c r="E63" s="15"/>
      <c r="F63" s="15"/>
      <c r="G63" s="15"/>
      <c r="H63" s="124"/>
      <c r="L63" s="4"/>
    </row>
    <row r="64" spans="1:12" ht="25.5">
      <c r="A64" s="13" t="s">
        <v>260</v>
      </c>
      <c r="B64" s="14" t="s">
        <v>261</v>
      </c>
      <c r="C64" s="15">
        <f>Igazg.!C63+Adók!C62+Temető!C61+Önk.vagyon!C61+Múzeum!C61+Rendezvények!C61+Közter.rend.!C61+Közf.!C61+Közutak!C62+Közvil.!C61+Zöldter.!C61+'Város-község'!C61+Háziorvos!C61+Védőnő!C61+Sport!C61+Könyvtár!C61+'Művelődési H.'!C61+'Isk.1-4.'!C61+'Isk.5-8.'!C61+Gyermekétk.!C61+Családvéd.!C61+Gyermekvéd.!C61+Családtám.!C61+'Egyéb szoc.'!C61+'Közösségi Ház'!C61</f>
        <v>220695803</v>
      </c>
      <c r="D64" s="15">
        <f>Igazg.!D63+Adók!D62+Temető!D61+Önk.vagyon!D61+Múzeum!D61+Rendezvények!D61+Közter.rend.!D61+Közf.!D61+Közutak!D62+Közvil.!D61+Zöldter.!D61+'Város-község'!D61+Háziorvos!D61+Védőnő!D61+Sport!D61+Könyvtár!D61+'Művelődési H.'!D61+'Isk.1-4.'!D61+'Isk.5-8.'!D61+Gyermekétk.!D61+Családvéd.!D61+Gyermekvéd.!D61+Családtám.!D61+'Egyéb szoc.'!D61+'Közösségi Ház'!D61</f>
        <v>257476000</v>
      </c>
      <c r="E64" s="15">
        <f>Igazg.!E63+Adók!E62+Temető!E61+Önk.vagyon!E61+Múzeum!E61+Rendezvények!E61+Közter.rend.!E61+Közf.!E61+Közutak!E62+Közvil.!E61+Zöldter.!E61+'Város-község'!E61+Háziorvos!E61+Védőnő!E61+Sport!E61+Könyvtár!E61+'Művelődési H.'!E61+'Isk.1-4.'!E61+'Isk.5-8.'!E61+Gyermekétk.!E61+Családvéd.!E61+Gyermekvéd.!E61+Családtám.!E61+'Egyéb szoc.'!E61+'Közösségi Ház'!E61</f>
        <v>200909726</v>
      </c>
      <c r="F64" s="15">
        <f>Igazg.!F63+Adók!F62+Temető!F61+Önk.vagyon!F61+Múzeum!F61+Rendezvények!F61+Közter.rend.!F61+Közf.!F61+Közutak!F62+Közvil.!F61+Zöldter.!F61+'Város-község'!F61+Háziorvos!F61+Védőnő!F61+Sport!F61+Könyvtár!F61+'Művelődési H.'!F61+'Isk.1-4.'!F61+'Isk.5-8.'!F61+Gyermekétk.!F61+Családvéd.!F61+Gyermekvéd.!F61+Családtám.!F61+'Egyéb szoc.'!F61+'Közösségi Ház'!F61</f>
        <v>458385726</v>
      </c>
      <c r="G64" s="15">
        <f>Igazg.!G63+Adók!G62+Temető!G61+Önk.vagyon!G61+Múzeum!G61+Rendezvények!G61+Közter.rend.!G61+Közf.!G61+Közutak!G62+Közvil.!G61+Zöldter.!G61+'Város-község'!G61+Háziorvos!G61+Védőnő!G61+Sport!G61+Könyvtár!G61+'Művelődési H.'!G61+'Isk.1-4.'!G61+'Isk.5-8.'!G61+Gyermekétk.!G61+Családvéd.!G61+Gyermekvéd.!G61+Családtám.!G61+'Egyéb szoc.'!G61+'Közösségi Ház'!G61</f>
        <v>452380010</v>
      </c>
      <c r="H64" s="124">
        <f t="shared" si="0"/>
        <v>0.98689811732924682</v>
      </c>
      <c r="L64" s="4">
        <v>220695803</v>
      </c>
    </row>
    <row r="65" spans="1:12" ht="25.5">
      <c r="A65" s="16" t="s">
        <v>262</v>
      </c>
      <c r="B65" s="17" t="s">
        <v>263</v>
      </c>
      <c r="C65" s="15">
        <f>Igazg.!C64+Adók!C63+Temető!C62+Önk.vagyon!C62+Múzeum!C62+Rendezvények!C62+Közter.rend.!C62+Közf.!C62+Közutak!C63+Közvil.!C62+Zöldter.!C62+'Város-község'!C62+Háziorvos!C62+Védőnő!C62+Sport!C62+Könyvtár!C62+'Művelődési H.'!C62+'Isk.1-4.'!C62+'Isk.5-8.'!C62+Gyermekétk.!C62+Családvéd.!C62+Gyermekvéd.!C62+Családtám.!C62+'Egyéb szoc.'!C62+'Közösségi Ház'!C62</f>
        <v>220695803</v>
      </c>
      <c r="D65" s="15">
        <f>Igazg.!D64+Adók!D63+Temető!D62+Önk.vagyon!D62+Múzeum!D62+Rendezvények!D62+Közter.rend.!D62+Közf.!D62+Közutak!D63+Közvil.!D62+Zöldter.!D62+'Város-község'!D62+Háziorvos!D62+Védőnő!D62+Sport!D62+Könyvtár!D62+'Művelődési H.'!D62+'Isk.1-4.'!D62+'Isk.5-8.'!D62+Gyermekétk.!D62+Családvéd.!D62+Gyermekvéd.!D62+Családtám.!D62+'Egyéb szoc.'!D62+'Közösségi Ház'!D62</f>
        <v>257476000</v>
      </c>
      <c r="E65" s="15">
        <f>Igazg.!E64+Adók!E63+Temető!E62+Önk.vagyon!E62+Múzeum!E62+Rendezvények!E62+Közter.rend.!E62+Közf.!E62+Közutak!E63+Közvil.!E62+Zöldter.!E62+'Város-község'!E62+Háziorvos!E62+Védőnő!E62+Sport!E62+Könyvtár!E62+'Művelődési H.'!E62+'Isk.1-4.'!E62+'Isk.5-8.'!E62+Gyermekétk.!E62+Családvéd.!E62+Gyermekvéd.!E62+Családtám.!E62+'Egyéb szoc.'!E62+'Közösségi Ház'!E62</f>
        <v>200909726</v>
      </c>
      <c r="F65" s="15">
        <f>Igazg.!F64+Adók!F63+Temető!F62+Önk.vagyon!F62+Múzeum!F62+Rendezvények!F62+Közter.rend.!F62+Közf.!F62+Közutak!F63+Közvil.!F62+Zöldter.!F62+'Város-község'!F62+Háziorvos!F62+Védőnő!F62+Sport!F62+Könyvtár!F62+'Művelődési H.'!F62+'Isk.1-4.'!F62+'Isk.5-8.'!F62+Gyermekétk.!F62+Családvéd.!F62+Gyermekvéd.!F62+Családtám.!F62+'Egyéb szoc.'!F62+'Közösségi Ház'!F62</f>
        <v>458385726</v>
      </c>
      <c r="G65" s="15">
        <f>Igazg.!G64+Adók!G63+Temető!G62+Önk.vagyon!G62+Múzeum!G62+Rendezvények!G62+Közter.rend.!G62+Közf.!G62+Közutak!G63+Közvil.!G62+Zöldter.!G62+'Város-község'!G62+Háziorvos!G62+Védőnő!G62+Sport!G62+Könyvtár!G62+'Művelődési H.'!G62+'Isk.1-4.'!G62+'Isk.5-8.'!G62+Gyermekétk.!G62+Családvéd.!G62+Gyermekvéd.!G62+Családtám.!G62+'Egyéb szoc.'!G62+'Közösségi Ház'!G62</f>
        <v>452380010</v>
      </c>
      <c r="H65" s="125">
        <f t="shared" si="0"/>
        <v>0.98689811732924682</v>
      </c>
      <c r="L65" s="7">
        <v>220695803</v>
      </c>
    </row>
    <row r="66" spans="1:12">
      <c r="A66" s="16" t="s">
        <v>264</v>
      </c>
      <c r="B66" s="17" t="s">
        <v>265</v>
      </c>
      <c r="C66" s="15">
        <f>Igazg.!C65+Adók!C64+Temető!C63+Önk.vagyon!C63+Múzeum!C63+Rendezvények!C63+Közter.rend.!C63+Közf.!C63+Közutak!C64+Közvil.!C63+Zöldter.!C63+'Város-község'!C63+Háziorvos!C63+Védőnő!C63+Sport!C63+Könyvtár!C63+'Művelődési H.'!C63+'Isk.1-4.'!C63+'Isk.5-8.'!C63+Gyermekétk.!C63+Családvéd.!C63+Gyermekvéd.!C63+Családtám.!C63+'Egyéb szoc.'!C63+'Közösségi Ház'!C63</f>
        <v>594403785</v>
      </c>
      <c r="D66" s="15">
        <f>Igazg.!D65+Adók!D64+Temető!D63+Önk.vagyon!D63+Múzeum!D63+Rendezvények!D63+Közter.rend.!D63+Közf.!D63+Közutak!D64+Közvil.!D63+Zöldter.!D63+'Város-község'!D63+Háziorvos!D63+Védőnő!D63+Sport!D63+Könyvtár!D63+'Művelődési H.'!D63+'Isk.1-4.'!D63+'Isk.5-8.'!D63+Gyermekétk.!D63+Családvéd.!D63+Gyermekvéd.!D63+Családtám.!D63+'Egyéb szoc.'!D63+'Közösségi Ház'!D63</f>
        <v>481855554</v>
      </c>
      <c r="E66" s="15">
        <f>Igazg.!E65+Adók!E64+Temető!E63+Önk.vagyon!E63+Múzeum!E63+Rendezvények!E63+Közter.rend.!E63+Közf.!E63+Közutak!E64+Közvil.!E63+Zöldter.!E63+'Város-község'!E63+Háziorvos!E63+Védőnő!E63+Sport!E63+Könyvtár!E63+'Művelődési H.'!E63+'Isk.1-4.'!E63+'Isk.5-8.'!E63+Gyermekétk.!E63+Családvéd.!E63+Gyermekvéd.!E63+Családtám.!E63+'Egyéb szoc.'!E63+'Közösségi Ház'!E63</f>
        <v>255413124</v>
      </c>
      <c r="F66" s="15">
        <f>Igazg.!F65+Adók!F64+Temető!F63+Önk.vagyon!F63+Múzeum!F63+Rendezvények!F63+Közter.rend.!F63+Közf.!F63+Közutak!F64+Közvil.!F63+Zöldter.!F63+'Város-község'!F63+Háziorvos!F63+Védőnő!F63+Sport!F63+Könyvtár!F63+'Művelődési H.'!F63+'Isk.1-4.'!F63+'Isk.5-8.'!F63+Gyermekétk.!F63+Családvéd.!F63+Gyermekvéd.!F63+Családtám.!F63+'Egyéb szoc.'!F63+'Közösségi Ház'!F63</f>
        <v>737268678</v>
      </c>
      <c r="G66" s="15">
        <f>Igazg.!G65+Adók!G64+Temető!G63+Önk.vagyon!G63+Múzeum!G63+Rendezvények!G63+Közter.rend.!G63+Közf.!G63+Közutak!G64+Közvil.!G63+Zöldter.!G63+'Város-község'!G63+Háziorvos!G63+Védőnő!G63+Sport!G63+Könyvtár!G63+'Művelődési H.'!G63+'Isk.1-4.'!G63+'Isk.5-8.'!G63+Gyermekétk.!G63+Családvéd.!G63+Gyermekvéd.!G63+Családtám.!G63+'Egyéb szoc.'!G63+'Közösségi Ház'!G63</f>
        <v>617287414</v>
      </c>
      <c r="H66" s="125">
        <f t="shared" si="0"/>
        <v>0.83726249659015084</v>
      </c>
      <c r="L66" s="7">
        <v>594403785</v>
      </c>
    </row>
    <row r="68" spans="1:12" ht="60">
      <c r="A68" s="12" t="s">
        <v>0</v>
      </c>
      <c r="B68" s="12" t="s">
        <v>1</v>
      </c>
      <c r="C68" s="12" t="s">
        <v>269</v>
      </c>
      <c r="D68" s="12" t="s">
        <v>270</v>
      </c>
      <c r="E68" s="12" t="s">
        <v>271</v>
      </c>
      <c r="F68" s="12" t="s">
        <v>457</v>
      </c>
      <c r="G68" s="12" t="s">
        <v>273</v>
      </c>
      <c r="H68" s="123" t="s">
        <v>274</v>
      </c>
      <c r="L68" s="1"/>
    </row>
    <row r="69" spans="1:12" ht="25.5">
      <c r="A69" s="13" t="s">
        <v>31</v>
      </c>
      <c r="B69" s="14" t="s">
        <v>32</v>
      </c>
      <c r="C69" s="15">
        <f>Igazg.!C68+Adók!C67+Temető!C66+Önk.vagyon!C66+Múzeum!C66+Rendezvények!C66+Közter.rend.!C66+Közf.!C66+Közutak!C67+Közvil.!C66+Zöldter.!C66+'Város-község'!C66+Háziorvos!C66+Védőnő!C66+Sport!C66+Könyvtár!C66+'Művelődési H.'!C66+'Isk.1-4.'!C66+'Isk.5-8.'!C66+Gyermekétk.!C66+Családvéd.!C66+Gyermekvéd.!C66+Családtám.!C66+'Egyéb szoc.'!C66+'Közösségi Ház'!C66</f>
        <v>36618429</v>
      </c>
      <c r="D69" s="15">
        <f>Igazg.!D68+Adók!D67+Temető!D66+Önk.vagyon!D66+Múzeum!D66+Rendezvények!D66+Közter.rend.!D66+Közf.!D66+Közutak!D67+Közvil.!D66+Zöldter.!D66+'Város-község'!D66+Háziorvos!D66+Védőnő!D66+Sport!D66+Könyvtár!D66+'Művelődési H.'!D66+'Isk.1-4.'!D66+'Isk.5-8.'!D66+Gyermekétk.!D66+Családvéd.!D66+Gyermekvéd.!D66+Családtám.!D66+'Egyéb szoc.'!D66+'Közösségi Ház'!D66</f>
        <v>19568000</v>
      </c>
      <c r="E69" s="15">
        <f>Igazg.!E68+Adók!E67+Temető!E66+Önk.vagyon!E66+Múzeum!E66+Rendezvények!E66+Közter.rend.!E66+Közf.!E66+Közutak!E67+Közvil.!E66+Zöldter.!E66+'Város-község'!E66+Háziorvos!E66+Védőnő!E66+Sport!E66+Könyvtár!E66+'Művelődési H.'!E66+'Isk.1-4.'!E66+'Isk.5-8.'!E66+Gyermekétk.!E66+Családvéd.!E66+Gyermekvéd.!E66+Családtám.!E66+'Egyéb szoc.'!E66+'Közösségi Ház'!E66</f>
        <v>659134</v>
      </c>
      <c r="F69" s="15">
        <f>Igazg.!F68+Adók!F67+Temető!F66+Önk.vagyon!F66+Múzeum!F66+Rendezvények!F66+Közter.rend.!F66+Közf.!F66+Közutak!F67+Közvil.!F66+Zöldter.!F66+'Város-község'!F66+Háziorvos!F66+Védőnő!F66+Sport!F66+Könyvtár!F66+'Művelődési H.'!F66+'Isk.1-4.'!F66+'Isk.5-8.'!F66+Gyermekétk.!F66+Családvéd.!F66+Gyermekvéd.!F66+Családtám.!F66+'Egyéb szoc.'!F66+'Közösségi Ház'!F66</f>
        <v>20227134</v>
      </c>
      <c r="G69" s="15">
        <f>Igazg.!G68+Adók!G67+Temető!G66+Önk.vagyon!G66+Múzeum!G66+Rendezvények!G66+Közter.rend.!G66+Közf.!G66+Közutak!G67+Közvil.!G66+Zöldter.!G66+'Város-község'!G66+Háziorvos!G66+Védőnő!G66+Sport!G66+Könyvtár!G66+'Művelődési H.'!G66+'Isk.1-4.'!G66+'Isk.5-8.'!G66+Gyermekétk.!G66+Családvéd.!G66+Gyermekvéd.!G66+Családtám.!G66+'Egyéb szoc.'!G66+'Közösségi Ház'!G66</f>
        <v>13162148</v>
      </c>
      <c r="H69" s="124">
        <f t="shared" si="0"/>
        <v>0.65071739772920867</v>
      </c>
      <c r="L69" s="4">
        <v>36618429</v>
      </c>
    </row>
    <row r="70" spans="1:12" ht="25.5">
      <c r="A70" s="21" t="s">
        <v>178</v>
      </c>
      <c r="B70" s="14" t="s">
        <v>282</v>
      </c>
      <c r="C70" s="15">
        <f>Igazg.!C69+Adók!C68+Temető!C67+Önk.vagyon!C67+Múzeum!C67+Rendezvények!C67+Közter.rend.!C67+Közf.!C67+Közutak!C68+Közvil.!C67+Zöldter.!C67+'Város-község'!C67+Háziorvos!C67+Védőnő!C67+Sport!C67+Könyvtár!C67+'Művelődési H.'!C67+'Isk.1-4.'!C67+'Isk.5-8.'!C67+Gyermekétk.!C67+Családvéd.!C67+Gyermekvéd.!C67+Családtám.!C67+'Egyéb szoc.'!C67+'Közösségi Ház'!C67</f>
        <v>0</v>
      </c>
      <c r="D70" s="15">
        <f>Igazg.!D69+Adók!D68+Temető!D67+Önk.vagyon!D67+Múzeum!D67+Rendezvények!D67+Közter.rend.!D67+Közf.!D67+Közutak!D68+Közvil.!D67+Zöldter.!D67+'Város-község'!D67+Háziorvos!D67+Védőnő!D67+Sport!D67+Könyvtár!D67+'Művelődési H.'!D67+'Isk.1-4.'!D67+'Isk.5-8.'!D67+Gyermekétk.!D67+Családvéd.!D67+Gyermekvéd.!D67+Családtám.!D67+'Egyéb szoc.'!D67+'Közösségi Ház'!D67</f>
        <v>80000</v>
      </c>
      <c r="E70" s="15">
        <f>Igazg.!E69+Adók!E68+Temető!E67+Önk.vagyon!E67+Múzeum!E67+Rendezvények!E67+Közter.rend.!E67+Közf.!E67+Közutak!E68+Közvil.!E67+Zöldter.!E67+'Város-község'!E67+Háziorvos!E67+Védőnő!E67+Sport!E67+Könyvtár!E67+'Művelődési H.'!E67+'Isk.1-4.'!E67+'Isk.5-8.'!E67+Gyermekétk.!E67+Családvéd.!E67+Gyermekvéd.!E67+Családtám.!E67+'Egyéb szoc.'!E67+'Közösségi Ház'!E67</f>
        <v>697532</v>
      </c>
      <c r="F70" s="15">
        <f>Igazg.!F69+Adók!F68+Temető!F67+Önk.vagyon!F67+Múzeum!F67+Rendezvények!F67+Közter.rend.!F67+Közf.!F67+Közutak!F68+Közvil.!F67+Zöldter.!F67+'Város-község'!F67+Háziorvos!F67+Védőnő!F67+Sport!F67+Könyvtár!F67+'Művelődési H.'!F67+'Isk.1-4.'!F67+'Isk.5-8.'!F67+Gyermekétk.!F67+Családvéd.!F67+Gyermekvéd.!F67+Családtám.!F67+'Egyéb szoc.'!F67+'Közösségi Ház'!F67</f>
        <v>777532</v>
      </c>
      <c r="G70" s="15">
        <f>Igazg.!G69+Adók!G68+Temető!G67+Önk.vagyon!G67+Múzeum!G67+Rendezvények!G67+Közter.rend.!G67+Közf.!G67+Közutak!G68+Közvil.!G67+Zöldter.!G67+'Város-község'!G67+Háziorvos!G67+Védőnő!G67+Sport!G67+Könyvtár!G67+'Művelődési H.'!G67+'Isk.1-4.'!G67+'Isk.5-8.'!G67+Gyermekétk.!G67+Családvéd.!G67+Gyermekvéd.!G67+Családtám.!G67+'Egyéb szoc.'!G67+'Közösségi Ház'!G67</f>
        <v>777532</v>
      </c>
      <c r="H70" s="124"/>
      <c r="L70" s="4"/>
    </row>
    <row r="71" spans="1:12">
      <c r="A71" s="13" t="s">
        <v>33</v>
      </c>
      <c r="B71" s="14" t="s">
        <v>34</v>
      </c>
      <c r="C71" s="15">
        <f>Igazg.!C70+Adók!C69+Temető!C68+Önk.vagyon!C68+Múzeum!C68+Rendezvények!C68+Közter.rend.!C68+Közf.!C68+Közutak!C69+Közvil.!C68+Zöldter.!C68+'Város-község'!C68+Háziorvos!C68+Védőnő!C68+Sport!C68+Könyvtár!C68+'Művelődési H.'!C68+'Isk.1-4.'!C68+'Isk.5-8.'!C68+Gyermekétk.!C68+Családvéd.!C68+Gyermekvéd.!C68+Családtám.!C68+'Egyéb szoc.'!C68+'Közösségi Ház'!C68</f>
        <v>943500</v>
      </c>
      <c r="D71" s="15">
        <f>Igazg.!D70+Adók!D69+Temető!D68+Önk.vagyon!D68+Múzeum!D68+Rendezvények!D68+Közter.rend.!D68+Közf.!D68+Közutak!D69+Közvil.!D68+Zöldter.!D68+'Város-község'!D68+Háziorvos!D68+Védőnő!D68+Sport!D68+Könyvtár!D68+'Művelődési H.'!D68+'Isk.1-4.'!D68+'Isk.5-8.'!D68+Gyermekétk.!D68+Családvéd.!D68+Gyermekvéd.!D68+Családtám.!D68+'Egyéb szoc.'!D68+'Közösségi Ház'!D68</f>
        <v>630000</v>
      </c>
      <c r="E71" s="15">
        <f>Igazg.!E70+Adók!E69+Temető!E68+Önk.vagyon!E68+Múzeum!E68+Rendezvények!E68+Közter.rend.!E68+Közf.!E68+Közutak!E69+Közvil.!E68+Zöldter.!E68+'Város-község'!E68+Háziorvos!E68+Védőnő!E68+Sport!E68+Könyvtár!E68+'Művelődési H.'!E68+'Isk.1-4.'!E68+'Isk.5-8.'!E68+Gyermekétk.!E68+Családvéd.!E68+Gyermekvéd.!E68+Családtám.!E68+'Egyéb szoc.'!E68+'Közösségi Ház'!E68</f>
        <v>0</v>
      </c>
      <c r="F71" s="15">
        <f>Igazg.!F70+Adók!F69+Temető!F68+Önk.vagyon!F68+Múzeum!F68+Rendezvények!F68+Közter.rend.!F68+Közf.!F68+Közutak!F69+Közvil.!F68+Zöldter.!F68+'Város-község'!F68+Háziorvos!F68+Védőnő!F68+Sport!F68+Könyvtár!F68+'Művelődési H.'!F68+'Isk.1-4.'!F68+'Isk.5-8.'!F68+Gyermekétk.!F68+Családvéd.!F68+Gyermekvéd.!F68+Családtám.!F68+'Egyéb szoc.'!F68+'Közösségi Ház'!F68</f>
        <v>630000</v>
      </c>
      <c r="G71" s="15">
        <f>Igazg.!G70+Adók!G69+Temető!G68+Önk.vagyon!G68+Múzeum!G68+Rendezvények!G68+Közter.rend.!G68+Közf.!G68+Közutak!G69+Közvil.!G68+Zöldter.!G68+'Város-község'!G68+Háziorvos!G68+Védőnő!G68+Sport!G68+Könyvtár!G68+'Művelődési H.'!G68+'Isk.1-4.'!G68+'Isk.5-8.'!G68+Gyermekétk.!G68+Családvéd.!G68+Gyermekvéd.!G68+Családtám.!G68+'Egyéb szoc.'!G68+'Közösségi Ház'!G68</f>
        <v>165000</v>
      </c>
      <c r="H71" s="124">
        <f t="shared" si="0"/>
        <v>0.26190476190476192</v>
      </c>
      <c r="L71" s="4">
        <v>943500</v>
      </c>
    </row>
    <row r="72" spans="1:12">
      <c r="A72" s="13" t="s">
        <v>35</v>
      </c>
      <c r="B72" s="14" t="s">
        <v>36</v>
      </c>
      <c r="C72" s="15">
        <f>Igazg.!C71+Adók!C70+Temető!C69+Önk.vagyon!C69+Múzeum!C69+Rendezvények!C69+Közter.rend.!C69+Közf.!C69+Közutak!C70+Közvil.!C69+Zöldter.!C69+'Város-község'!C69+Háziorvos!C69+Védőnő!C69+Sport!C69+Könyvtár!C69+'Művelődési H.'!C69+'Isk.1-4.'!C69+'Isk.5-8.'!C69+Gyermekétk.!C69+Családvéd.!C69+Gyermekvéd.!C69+Családtám.!C69+'Egyéb szoc.'!C69+'Közösségi Ház'!C69</f>
        <v>75447</v>
      </c>
      <c r="D72" s="15">
        <f>Igazg.!D71+Adók!D70+Temető!D69+Önk.vagyon!D69+Múzeum!D69+Rendezvények!D69+Közter.rend.!D69+Közf.!D69+Közutak!D70+Közvil.!D69+Zöldter.!D69+'Város-község'!D69+Háziorvos!D69+Védőnő!D69+Sport!D69+Könyvtár!D69+'Művelődési H.'!D69+'Isk.1-4.'!D69+'Isk.5-8.'!D69+Gyermekétk.!D69+Családvéd.!D69+Gyermekvéd.!D69+Családtám.!D69+'Egyéb szoc.'!D69+'Közösségi Ház'!D69</f>
        <v>107000</v>
      </c>
      <c r="E72" s="15">
        <f>Igazg.!E71+Adók!E70+Temető!E69+Önk.vagyon!E69+Múzeum!E69+Rendezvények!E69+Közter.rend.!E69+Közf.!E69+Közutak!E70+Közvil.!E69+Zöldter.!E69+'Város-község'!E69+Háziorvos!E69+Védőnő!E69+Sport!E69+Könyvtár!E69+'Művelődési H.'!E69+'Isk.1-4.'!E69+'Isk.5-8.'!E69+Gyermekétk.!E69+Családvéd.!E69+Gyermekvéd.!E69+Családtám.!E69+'Egyéb szoc.'!E69+'Közösségi Ház'!E69</f>
        <v>0</v>
      </c>
      <c r="F72" s="15">
        <f>Igazg.!F71+Adók!F70+Temető!F69+Önk.vagyon!F69+Múzeum!F69+Rendezvények!F69+Közter.rend.!F69+Közf.!F69+Közutak!F70+Közvil.!F69+Zöldter.!F69+'Város-község'!F69+Háziorvos!F69+Védőnő!F69+Sport!F69+Könyvtár!F69+'Művelődési H.'!F69+'Isk.1-4.'!F69+'Isk.5-8.'!F69+Gyermekétk.!F69+Családvéd.!F69+Gyermekvéd.!F69+Családtám.!F69+'Egyéb szoc.'!F69+'Közösségi Ház'!F69</f>
        <v>107000</v>
      </c>
      <c r="G72" s="15">
        <f>Igazg.!G71+Adók!G70+Temető!G69+Önk.vagyon!G69+Múzeum!G69+Rendezvények!G69+Közter.rend.!G69+Közf.!G69+Közutak!G70+Közvil.!G69+Zöldter.!G69+'Város-község'!G69+Háziorvos!G69+Védőnő!G69+Sport!G69+Könyvtár!G69+'Művelődési H.'!G69+'Isk.1-4.'!G69+'Isk.5-8.'!G69+Gyermekétk.!G69+Családvéd.!G69+Gyermekvéd.!G69+Családtám.!G69+'Egyéb szoc.'!G69+'Közösségi Ház'!G69</f>
        <v>38313</v>
      </c>
      <c r="H72" s="124">
        <f t="shared" si="0"/>
        <v>0.35806542056074764</v>
      </c>
      <c r="L72" s="4">
        <v>75447</v>
      </c>
    </row>
    <row r="73" spans="1:12">
      <c r="A73" s="13" t="s">
        <v>37</v>
      </c>
      <c r="B73" s="14" t="s">
        <v>38</v>
      </c>
      <c r="C73" s="15">
        <f>Igazg.!C72+Adók!C71+Temető!C70+Önk.vagyon!C70+Múzeum!C70+Rendezvények!C70+Közter.rend.!C70+Közf.!C70+Közutak!C71+Közvil.!C70+Zöldter.!C70+'Város-község'!C70+Háziorvos!C70+Védőnő!C70+Sport!C70+Könyvtár!C70+'Művelődési H.'!C70+'Isk.1-4.'!C70+'Isk.5-8.'!C70+Gyermekétk.!C70+Családvéd.!C70+Gyermekvéd.!C70+Családtám.!C70+'Egyéb szoc.'!C70+'Közösségi Ház'!C70</f>
        <v>91000</v>
      </c>
      <c r="D73" s="15">
        <f>Igazg.!D72+Adók!D71+Temető!D70+Önk.vagyon!D70+Múzeum!D70+Rendezvények!D70+Közter.rend.!D70+Közf.!D70+Közutak!D71+Közvil.!D70+Zöldter.!D70+'Város-község'!D70+Háziorvos!D70+Védőnő!D70+Sport!D70+Könyvtár!D70+'Művelődési H.'!D70+'Isk.1-4.'!D70+'Isk.5-8.'!D70+Gyermekétk.!D70+Családvéd.!D70+Gyermekvéd.!D70+Családtám.!D70+'Egyéb szoc.'!D70+'Közösségi Ház'!D70</f>
        <v>0</v>
      </c>
      <c r="E73" s="15">
        <f>Igazg.!E72+Adók!E71+Temető!E70+Önk.vagyon!E70+Múzeum!E70+Rendezvények!E70+Közter.rend.!E70+Közf.!E70+Közutak!E71+Közvil.!E70+Zöldter.!E70+'Város-község'!E70+Háziorvos!E70+Védőnő!E70+Sport!E70+Könyvtár!E70+'Művelődési H.'!E70+'Isk.1-4.'!E70+'Isk.5-8.'!E70+Gyermekétk.!E70+Családvéd.!E70+Gyermekvéd.!E70+Családtám.!E70+'Egyéb szoc.'!E70+'Közösségi Ház'!E70</f>
        <v>0</v>
      </c>
      <c r="F73" s="15">
        <f>Igazg.!F72+Adók!F71+Temető!F70+Önk.vagyon!F70+Múzeum!F70+Rendezvények!F70+Közter.rend.!F70+Közf.!F70+Közutak!F71+Közvil.!F70+Zöldter.!F70+'Város-község'!F70+Háziorvos!F70+Védőnő!F70+Sport!F70+Könyvtár!F70+'Művelődési H.'!F70+'Isk.1-4.'!F70+'Isk.5-8.'!F70+Gyermekétk.!F70+Családvéd.!F70+Gyermekvéd.!F70+Családtám.!F70+'Egyéb szoc.'!F70+'Közösségi Ház'!F70</f>
        <v>0</v>
      </c>
      <c r="G73" s="15">
        <f>Igazg.!G72+Adók!G71+Temető!G70+Önk.vagyon!G70+Múzeum!G70+Rendezvények!G70+Közter.rend.!G70+Közf.!G70+Közutak!G71+Közvil.!G70+Zöldter.!G70+'Város-község'!G70+Háziorvos!G70+Védőnő!G70+Sport!G70+Könyvtár!G70+'Művelődési H.'!G70+'Isk.1-4.'!G70+'Isk.5-8.'!G70+Gyermekétk.!G70+Családvéd.!G70+Gyermekvéd.!G70+Családtám.!G70+'Egyéb szoc.'!G70+'Közösségi Ház'!G70</f>
        <v>0</v>
      </c>
      <c r="H73" s="124" t="e">
        <f t="shared" si="0"/>
        <v>#DIV/0!</v>
      </c>
      <c r="L73" s="4">
        <v>91000</v>
      </c>
    </row>
    <row r="74" spans="1:12" ht="25.5">
      <c r="A74" s="13" t="s">
        <v>39</v>
      </c>
      <c r="B74" s="14" t="s">
        <v>40</v>
      </c>
      <c r="C74" s="15">
        <f>Igazg.!C73+Adók!C72+Temető!C71+Önk.vagyon!C71+Múzeum!C71+Rendezvények!C71+Közter.rend.!C71+Közf.!C71+Közutak!C72+Közvil.!C71+Zöldter.!C71+'Város-község'!C71+Háziorvos!C71+Védőnő!C71+Sport!C71+Könyvtár!C71+'Művelődési H.'!C71+'Isk.1-4.'!C71+'Isk.5-8.'!C71+Gyermekétk.!C71+Családvéd.!C71+Gyermekvéd.!C71+Családtám.!C71+'Egyéb szoc.'!C71+'Közösségi Ház'!C71</f>
        <v>1123445</v>
      </c>
      <c r="D74" s="15">
        <f>Igazg.!D73+Adók!D72+Temető!D71+Önk.vagyon!D71+Múzeum!D71+Rendezvények!D71+Közter.rend.!D71+Közf.!D71+Közutak!D72+Közvil.!D71+Zöldter.!D71+'Város-község'!D71+Háziorvos!D71+Védőnő!D71+Sport!D71+Könyvtár!D71+'Művelődési H.'!D71+'Isk.1-4.'!D71+'Isk.5-8.'!D71+Gyermekétk.!D71+Családvéd.!D71+Gyermekvéd.!D71+Családtám.!D71+'Egyéb szoc.'!D71+'Közösségi Ház'!D71</f>
        <v>381000</v>
      </c>
      <c r="E74" s="15">
        <f>Igazg.!E73+Adók!E72+Temető!E71+Önk.vagyon!E71+Múzeum!E71+Rendezvények!E71+Közter.rend.!E71+Közf.!E71+Közutak!E72+Közvil.!E71+Zöldter.!E71+'Város-község'!E71+Háziorvos!E71+Védőnő!E71+Sport!E71+Könyvtár!E71+'Művelődési H.'!E71+'Isk.1-4.'!E71+'Isk.5-8.'!E71+Gyermekétk.!E71+Családvéd.!E71+Gyermekvéd.!E71+Családtám.!E71+'Egyéb szoc.'!E71+'Közösségi Ház'!E71</f>
        <v>0</v>
      </c>
      <c r="F74" s="15">
        <f>Igazg.!F73+Adók!F72+Temető!F71+Önk.vagyon!F71+Múzeum!F71+Rendezvények!F71+Közter.rend.!F71+Közf.!F71+Közutak!F72+Közvil.!F71+Zöldter.!F71+'Város-község'!F71+Háziorvos!F71+Védőnő!F71+Sport!F71+Könyvtár!F71+'Művelődési H.'!F71+'Isk.1-4.'!F71+'Isk.5-8.'!F71+Gyermekétk.!F71+Családvéd.!F71+Gyermekvéd.!F71+Családtám.!F71+'Egyéb szoc.'!F71+'Közösségi Ház'!F71</f>
        <v>381000</v>
      </c>
      <c r="G74" s="15">
        <f>Igazg.!G73+Adók!G72+Temető!G71+Önk.vagyon!G71+Múzeum!G71+Rendezvények!G71+Közter.rend.!G71+Közf.!G71+Közutak!G72+Közvil.!G71+Zöldter.!G71+'Város-község'!G71+Háziorvos!G71+Védőnő!G71+Sport!G71+Könyvtár!G71+'Művelődési H.'!G71+'Isk.1-4.'!G71+'Isk.5-8.'!G71+Gyermekétk.!G71+Családvéd.!G71+Gyermekvéd.!G71+Családtám.!G71+'Egyéb szoc.'!G71+'Közösségi Ház'!G71</f>
        <v>125661</v>
      </c>
      <c r="H74" s="124">
        <f t="shared" si="0"/>
        <v>0.32981889763779526</v>
      </c>
      <c r="L74" s="4">
        <v>1123445</v>
      </c>
    </row>
    <row r="75" spans="1:12" ht="25.5">
      <c r="A75" s="13" t="s">
        <v>41</v>
      </c>
      <c r="B75" s="14" t="s">
        <v>42</v>
      </c>
      <c r="C75" s="15">
        <f>Igazg.!C74+Adók!C73+Temető!C72+Önk.vagyon!C72+Múzeum!C72+Rendezvények!C72+Közter.rend.!C72+Közf.!C72+Közutak!C73+Közvil.!C72+Zöldter.!C72+'Város-község'!C72+Háziorvos!C72+Védőnő!C72+Sport!C72+Könyvtár!C72+'Művelődési H.'!C72+'Isk.1-4.'!C72+'Isk.5-8.'!C72+Gyermekétk.!C72+Családvéd.!C72+Gyermekvéd.!C72+Családtám.!C72+'Egyéb szoc.'!C72+'Közösségi Ház'!C72</f>
        <v>38851821</v>
      </c>
      <c r="D75" s="15">
        <f>Igazg.!D74+Adók!D73+Temető!D72+Önk.vagyon!D72+Múzeum!D72+Rendezvények!D72+Közter.rend.!D72+Közf.!D72+Közutak!D73+Közvil.!D72+Zöldter.!D72+'Város-község'!D72+Háziorvos!D72+Védőnő!D72+Sport!D72+Könyvtár!D72+'Művelődési H.'!D72+'Isk.1-4.'!D72+'Isk.5-8.'!D72+Gyermekétk.!D72+Családvéd.!D72+Gyermekvéd.!D72+Családtám.!D72+'Egyéb szoc.'!D72+'Közösségi Ház'!D72</f>
        <v>20766000</v>
      </c>
      <c r="E75" s="15">
        <f>Igazg.!E74+Adók!E73+Temető!E72+Önk.vagyon!E72+Múzeum!E72+Rendezvények!E72+Közter.rend.!E72+Közf.!E72+Közutak!E73+Közvil.!E72+Zöldter.!E72+'Város-község'!E72+Háziorvos!E72+Védőnő!E72+Sport!E72+Könyvtár!E72+'Művelődési H.'!E72+'Isk.1-4.'!E72+'Isk.5-8.'!E72+Gyermekétk.!E72+Családvéd.!E72+Gyermekvéd.!E72+Családtám.!E72+'Egyéb szoc.'!E72+'Közösségi Ház'!E72</f>
        <v>1356666</v>
      </c>
      <c r="F75" s="15">
        <f>Igazg.!F74+Adók!F73+Temető!F72+Önk.vagyon!F72+Múzeum!F72+Rendezvények!F72+Közter.rend.!F72+Közf.!F72+Közutak!F73+Közvil.!F72+Zöldter.!F72+'Város-község'!F72+Háziorvos!F72+Védőnő!F72+Sport!F72+Könyvtár!F72+'Művelődési H.'!F72+'Isk.1-4.'!F72+'Isk.5-8.'!F72+Gyermekétk.!F72+Családvéd.!F72+Gyermekvéd.!F72+Családtám.!F72+'Egyéb szoc.'!F72+'Közösségi Ház'!F72</f>
        <v>22122666</v>
      </c>
      <c r="G75" s="15">
        <f>Igazg.!G74+Adók!G73+Temető!G72+Önk.vagyon!G72+Múzeum!G72+Rendezvények!G72+Közter.rend.!G72+Közf.!G72+Közutak!G73+Közvil.!G72+Zöldter.!G72+'Város-község'!G72+Háziorvos!G72+Védőnő!G72+Sport!G72+Könyvtár!G72+'Művelődési H.'!G72+'Isk.1-4.'!G72+'Isk.5-8.'!G72+Gyermekétk.!G72+Családvéd.!G72+Gyermekvéd.!G72+Családtám.!G72+'Egyéb szoc.'!G72+'Közösségi Ház'!G72</f>
        <v>14268654</v>
      </c>
      <c r="H75" s="124">
        <f t="shared" si="0"/>
        <v>0.64497895506807357</v>
      </c>
      <c r="L75" s="4">
        <v>38851821</v>
      </c>
    </row>
    <row r="76" spans="1:12">
      <c r="A76" s="13" t="s">
        <v>43</v>
      </c>
      <c r="B76" s="14" t="s">
        <v>44</v>
      </c>
      <c r="C76" s="15">
        <f>Igazg.!C75+Adók!C74+Temető!C73+Önk.vagyon!C73+Múzeum!C73+Rendezvények!C73+Közter.rend.!C73+Közf.!C73+Közutak!C74+Közvil.!C73+Zöldter.!C73+'Város-község'!C73+Háziorvos!C73+Védőnő!C73+Sport!C73+Könyvtár!C73+'Művelődési H.'!C73+'Isk.1-4.'!C73+'Isk.5-8.'!C73+Gyermekétk.!C73+Családvéd.!C73+Gyermekvéd.!C73+Családtám.!C73+'Egyéb szoc.'!C73+'Közösségi Ház'!C73</f>
        <v>9129590</v>
      </c>
      <c r="D76" s="15">
        <f>Igazg.!D75+Adók!D74+Temető!D73+Önk.vagyon!D73+Múzeum!D73+Rendezvények!D73+Közter.rend.!D73+Közf.!D73+Közutak!D74+Közvil.!D73+Zöldter.!D73+'Város-község'!D73+Háziorvos!D73+Védőnő!D73+Sport!D73+Könyvtár!D73+'Művelődési H.'!D73+'Isk.1-4.'!D73+'Isk.5-8.'!D73+Gyermekétk.!D73+Családvéd.!D73+Gyermekvéd.!D73+Családtám.!D73+'Egyéb szoc.'!D73+'Közösségi Ház'!D73</f>
        <v>10215000</v>
      </c>
      <c r="E76" s="15">
        <f>Igazg.!E75+Adók!E74+Temető!E73+Önk.vagyon!E73+Múzeum!E73+Rendezvények!E73+Közter.rend.!E73+Közf.!E73+Közutak!E74+Közvil.!E73+Zöldter.!E73+'Város-község'!E73+Háziorvos!E73+Védőnő!E73+Sport!E73+Könyvtár!E73+'Művelődési H.'!E73+'Isk.1-4.'!E73+'Isk.5-8.'!E73+Gyermekétk.!E73+Családvéd.!E73+Gyermekvéd.!E73+Családtám.!E73+'Egyéb szoc.'!E73+'Közösségi Ház'!E73</f>
        <v>0</v>
      </c>
      <c r="F76" s="15">
        <f>Igazg.!F75+Adók!F74+Temető!F73+Önk.vagyon!F73+Múzeum!F73+Rendezvények!F73+Közter.rend.!F73+Közf.!F73+Közutak!F74+Közvil.!F73+Zöldter.!F73+'Város-község'!F73+Háziorvos!F73+Védőnő!F73+Sport!F73+Könyvtár!F73+'Művelődési H.'!F73+'Isk.1-4.'!F73+'Isk.5-8.'!F73+Gyermekétk.!F73+Családvéd.!F73+Gyermekvéd.!F73+Családtám.!F73+'Egyéb szoc.'!F73+'Közösségi Ház'!F73</f>
        <v>10215000</v>
      </c>
      <c r="G76" s="15">
        <f>Igazg.!G75+Adók!G74+Temető!G73+Önk.vagyon!G73+Múzeum!G73+Rendezvények!G73+Közter.rend.!G73+Közf.!G73+Közutak!G74+Közvil.!G73+Zöldter.!G73+'Város-község'!G73+Háziorvos!G73+Védőnő!G73+Sport!G73+Könyvtár!G73+'Művelődési H.'!G73+'Isk.1-4.'!G73+'Isk.5-8.'!G73+Gyermekétk.!G73+Családvéd.!G73+Gyermekvéd.!G73+Családtám.!G73+'Egyéb szoc.'!G73+'Közösségi Ház'!G73</f>
        <v>5156102</v>
      </c>
      <c r="H76" s="124">
        <f t="shared" si="0"/>
        <v>0.50475790504160545</v>
      </c>
      <c r="L76" s="4">
        <v>9129590</v>
      </c>
    </row>
    <row r="77" spans="1:12" ht="38.25">
      <c r="A77" s="13" t="s">
        <v>45</v>
      </c>
      <c r="B77" s="14" t="s">
        <v>46</v>
      </c>
      <c r="C77" s="15">
        <f>Igazg.!C76+Adók!C75+Temető!C74+Önk.vagyon!C74+Múzeum!C74+Rendezvények!C74+Közter.rend.!C74+Közf.!C74+Közutak!C75+Közvil.!C74+Zöldter.!C74+'Város-község'!C74+Háziorvos!C74+Védőnő!C74+Sport!C74+Könyvtár!C74+'Művelődési H.'!C74+'Isk.1-4.'!C74+'Isk.5-8.'!C74+Gyermekétk.!C74+Családvéd.!C74+Gyermekvéd.!C74+Családtám.!C74+'Egyéb szoc.'!C74+'Közösségi Ház'!C74</f>
        <v>2606542</v>
      </c>
      <c r="D77" s="15">
        <f>Igazg.!D76+Adók!D75+Temető!D74+Önk.vagyon!D74+Múzeum!D74+Rendezvények!D74+Közter.rend.!D74+Közf.!D74+Közutak!D75+Közvil.!D74+Zöldter.!D74+'Város-község'!D74+Háziorvos!D74+Védőnő!D74+Sport!D74+Könyvtár!D74+'Művelődési H.'!D74+'Isk.1-4.'!D74+'Isk.5-8.'!D74+Gyermekétk.!D74+Családvéd.!D74+Gyermekvéd.!D74+Családtám.!D74+'Egyéb szoc.'!D74+'Közösségi Ház'!D74</f>
        <v>1150000</v>
      </c>
      <c r="E77" s="15">
        <f>Igazg.!E76+Adók!E75+Temető!E74+Önk.vagyon!E74+Múzeum!E74+Rendezvények!E74+Közter.rend.!E74+Közf.!E74+Közutak!E75+Közvil.!E74+Zöldter.!E74+'Város-község'!E74+Háziorvos!E74+Védőnő!E74+Sport!E74+Könyvtár!E74+'Művelődési H.'!E74+'Isk.1-4.'!E74+'Isk.5-8.'!E74+Gyermekétk.!E74+Családvéd.!E74+Gyermekvéd.!E74+Családtám.!E74+'Egyéb szoc.'!E74+'Közösségi Ház'!E74</f>
        <v>0</v>
      </c>
      <c r="F77" s="15">
        <f>Igazg.!F76+Adók!F75+Temető!F74+Önk.vagyon!F74+Múzeum!F74+Rendezvények!F74+Közter.rend.!F74+Közf.!F74+Közutak!F75+Közvil.!F74+Zöldter.!F74+'Város-község'!F74+Háziorvos!F74+Védőnő!F74+Sport!F74+Könyvtár!F74+'Művelődési H.'!F74+'Isk.1-4.'!F74+'Isk.5-8.'!F74+Gyermekétk.!F74+Családvéd.!F74+Gyermekvéd.!F74+Családtám.!F74+'Egyéb szoc.'!F74+'Közösségi Ház'!F74</f>
        <v>1150000</v>
      </c>
      <c r="G77" s="15">
        <f>Igazg.!G76+Adók!G75+Temető!G74+Önk.vagyon!G74+Múzeum!G74+Rendezvények!G74+Közter.rend.!G74+Közf.!G74+Közutak!G75+Közvil.!G74+Zöldter.!G74+'Város-község'!G74+Háziorvos!G74+Védőnő!G74+Sport!G74+Könyvtár!G74+'Művelődési H.'!G74+'Isk.1-4.'!G74+'Isk.5-8.'!G74+Gyermekétk.!G74+Családvéd.!G74+Gyermekvéd.!G74+Családtám.!G74+'Egyéb szoc.'!G74+'Közösségi Ház'!G74</f>
        <v>1136310</v>
      </c>
      <c r="H77" s="124">
        <f t="shared" si="0"/>
        <v>0.98809565217391304</v>
      </c>
      <c r="L77" s="4">
        <v>2606542</v>
      </c>
    </row>
    <row r="78" spans="1:12">
      <c r="A78" s="13" t="s">
        <v>47</v>
      </c>
      <c r="B78" s="14" t="s">
        <v>48</v>
      </c>
      <c r="C78" s="15">
        <f>Igazg.!C77+Adók!C76+Temető!C75+Önk.vagyon!C75+Múzeum!C75+Rendezvények!C75+Közter.rend.!C75+Közf.!C75+Közutak!C76+Közvil.!C75+Zöldter.!C75+'Város-község'!C75+Háziorvos!C75+Védőnő!C75+Sport!C75+Könyvtár!C75+'Művelődési H.'!C75+'Isk.1-4.'!C75+'Isk.5-8.'!C75+Gyermekétk.!C75+Családvéd.!C75+Gyermekvéd.!C75+Családtám.!C75+'Egyéb szoc.'!C75+'Közösségi Ház'!C75</f>
        <v>674229</v>
      </c>
      <c r="D78" s="15">
        <f>Igazg.!D77+Adók!D76+Temető!D75+Önk.vagyon!D75+Múzeum!D75+Rendezvények!D75+Közter.rend.!D75+Közf.!D75+Közutak!D76+Közvil.!D75+Zöldter.!D75+'Város-község'!D75+Háziorvos!D75+Védőnő!D75+Sport!D75+Könyvtár!D75+'Művelődési H.'!D75+'Isk.1-4.'!D75+'Isk.5-8.'!D75+Gyermekétk.!D75+Családvéd.!D75+Gyermekvéd.!D75+Családtám.!D75+'Egyéb szoc.'!D75+'Közösségi Ház'!D75</f>
        <v>350000</v>
      </c>
      <c r="E78" s="15">
        <f>Igazg.!E77+Adók!E76+Temető!E75+Önk.vagyon!E75+Múzeum!E75+Rendezvények!E75+Közter.rend.!E75+Közf.!E75+Közutak!E76+Közvil.!E75+Zöldter.!E75+'Város-község'!E75+Háziorvos!E75+Védőnő!E75+Sport!E75+Könyvtár!E75+'Művelődési H.'!E75+'Isk.1-4.'!E75+'Isk.5-8.'!E75+Gyermekétk.!E75+Családvéd.!E75+Gyermekvéd.!E75+Családtám.!E75+'Egyéb szoc.'!E75+'Közösségi Ház'!E75</f>
        <v>0</v>
      </c>
      <c r="F78" s="15">
        <f>Igazg.!F77+Adók!F76+Temető!F75+Önk.vagyon!F75+Múzeum!F75+Rendezvények!F75+Közter.rend.!F75+Közf.!F75+Közutak!F76+Közvil.!F75+Zöldter.!F75+'Város-község'!F75+Háziorvos!F75+Védőnő!F75+Sport!F75+Könyvtár!F75+'Művelődési H.'!F75+'Isk.1-4.'!F75+'Isk.5-8.'!F75+Gyermekétk.!F75+Családvéd.!F75+Gyermekvéd.!F75+Családtám.!F75+'Egyéb szoc.'!F75+'Közösségi Ház'!F75</f>
        <v>350000</v>
      </c>
      <c r="G78" s="15">
        <f>Igazg.!G77+Adók!G76+Temető!G75+Önk.vagyon!G75+Múzeum!G75+Rendezvények!G75+Közter.rend.!G75+Közf.!G75+Közutak!G76+Közvil.!G75+Zöldter.!G75+'Város-község'!G75+Háziorvos!G75+Védőnő!G75+Sport!G75+Könyvtár!G75+'Művelődési H.'!G75+'Isk.1-4.'!G75+'Isk.5-8.'!G75+Gyermekétk.!G75+Családvéd.!G75+Gyermekvéd.!G75+Családtám.!G75+'Egyéb szoc.'!G75+'Közösségi Ház'!G75</f>
        <v>175309</v>
      </c>
      <c r="H78" s="124">
        <f t="shared" ref="H78:H147" si="1">G78/F78</f>
        <v>0.50088285714285719</v>
      </c>
      <c r="L78" s="4">
        <v>674229</v>
      </c>
    </row>
    <row r="79" spans="1:12">
      <c r="A79" s="13" t="s">
        <v>49</v>
      </c>
      <c r="B79" s="14" t="s">
        <v>50</v>
      </c>
      <c r="C79" s="15">
        <f>Igazg.!C78+Adók!C77+Temető!C76+Önk.vagyon!C76+Múzeum!C76+Rendezvények!C76+Közter.rend.!C76+Közf.!C76+Közutak!C77+Közvil.!C76+Zöldter.!C76+'Város-község'!C76+Háziorvos!C76+Védőnő!C76+Sport!C76+Könyvtár!C76+'Művelődési H.'!C76+'Isk.1-4.'!C76+'Isk.5-8.'!C76+Gyermekétk.!C76+Családvéd.!C76+Gyermekvéd.!C76+Családtám.!C76+'Egyéb szoc.'!C76+'Közösségi Ház'!C76</f>
        <v>12410361</v>
      </c>
      <c r="D79" s="15">
        <f>Igazg.!D78+Adók!D77+Temető!D76+Önk.vagyon!D76+Múzeum!D76+Rendezvények!D76+Közter.rend.!D76+Közf.!D76+Közutak!D77+Közvil.!D76+Zöldter.!D76+'Város-község'!D76+Háziorvos!D76+Védőnő!D76+Sport!D76+Könyvtár!D76+'Művelődési H.'!D76+'Isk.1-4.'!D76+'Isk.5-8.'!D76+Gyermekétk.!D76+Családvéd.!D76+Gyermekvéd.!D76+Családtám.!D76+'Egyéb szoc.'!D76+'Közösségi Ház'!D76</f>
        <v>11715000</v>
      </c>
      <c r="E79" s="15">
        <f>Igazg.!E78+Adók!E77+Temető!E76+Önk.vagyon!E76+Múzeum!E76+Rendezvények!E76+Közter.rend.!E76+Közf.!E76+Közutak!E77+Közvil.!E76+Zöldter.!E76+'Város-község'!E76+Háziorvos!E76+Védőnő!E76+Sport!E76+Könyvtár!E76+'Művelődési H.'!E76+'Isk.1-4.'!E76+'Isk.5-8.'!E76+Gyermekétk.!E76+Családvéd.!E76+Gyermekvéd.!E76+Családtám.!E76+'Egyéb szoc.'!E76+'Közösségi Ház'!E76</f>
        <v>0</v>
      </c>
      <c r="F79" s="15">
        <f>Igazg.!F78+Adók!F77+Temető!F76+Önk.vagyon!F76+Múzeum!F76+Rendezvények!F76+Közter.rend.!F76+Közf.!F76+Közutak!F77+Közvil.!F76+Zöldter.!F76+'Város-község'!F76+Háziorvos!F76+Védőnő!F76+Sport!F76+Könyvtár!F76+'Művelődési H.'!F76+'Isk.1-4.'!F76+'Isk.5-8.'!F76+Gyermekétk.!F76+Családvéd.!F76+Gyermekvéd.!F76+Családtám.!F76+'Egyéb szoc.'!F76+'Közösségi Ház'!F76</f>
        <v>11715000</v>
      </c>
      <c r="G79" s="15">
        <f>Igazg.!G78+Adók!G77+Temető!G76+Önk.vagyon!G76+Múzeum!G76+Rendezvények!G76+Közter.rend.!G76+Közf.!G76+Közutak!G77+Közvil.!G76+Zöldter.!G76+'Város-község'!G76+Háziorvos!G76+Védőnő!G76+Sport!G76+Könyvtár!G76+'Művelődési H.'!G76+'Isk.1-4.'!G76+'Isk.5-8.'!G76+Gyermekétk.!G76+Családvéd.!G76+Gyermekvéd.!G76+Családtám.!G76+'Egyéb szoc.'!G76+'Közösségi Ház'!G76</f>
        <v>6467721</v>
      </c>
      <c r="H79" s="124">
        <f t="shared" si="1"/>
        <v>0.55208886043533933</v>
      </c>
      <c r="L79" s="4">
        <v>12410361</v>
      </c>
    </row>
    <row r="80" spans="1:12">
      <c r="A80" s="16" t="s">
        <v>51</v>
      </c>
      <c r="B80" s="17" t="s">
        <v>52</v>
      </c>
      <c r="C80" s="15">
        <f>Igazg.!C79+Adók!C78+Temető!C77+Önk.vagyon!C77+Múzeum!C77+Rendezvények!C77+Közter.rend.!C77+Közf.!C77+Közutak!C78+Közvil.!C77+Zöldter.!C77+'Város-község'!C77+Háziorvos!C77+Védőnő!C77+Sport!C77+Könyvtár!C77+'Művelődési H.'!C77+'Isk.1-4.'!C77+'Isk.5-8.'!C77+Gyermekétk.!C77+Családvéd.!C77+Gyermekvéd.!C77+Családtám.!C77+'Egyéb szoc.'!C77+'Közösségi Ház'!C77</f>
        <v>51262182</v>
      </c>
      <c r="D80" s="15">
        <f>Igazg.!D79+Adók!D78+Temető!D77+Önk.vagyon!D77+Múzeum!D77+Rendezvények!D77+Közter.rend.!D77+Közf.!D77+Közutak!D78+Közvil.!D77+Zöldter.!D77+'Város-község'!D77+Háziorvos!D77+Védőnő!D77+Sport!D77+Könyvtár!D77+'Művelődési H.'!D77+'Isk.1-4.'!D77+'Isk.5-8.'!D77+Gyermekétk.!D77+Családvéd.!D77+Gyermekvéd.!D77+Családtám.!D77+'Egyéb szoc.'!D77+'Közösségi Ház'!D77</f>
        <v>32481000</v>
      </c>
      <c r="E80" s="15">
        <f>Igazg.!E79+Adók!E78+Temető!E77+Önk.vagyon!E77+Múzeum!E77+Rendezvények!E77+Közter.rend.!E77+Közf.!E77+Közutak!E78+Közvil.!E77+Zöldter.!E77+'Város-község'!E77+Háziorvos!E77+Védőnő!E77+Sport!E77+Könyvtár!E77+'Művelődési H.'!E77+'Isk.1-4.'!E77+'Isk.5-8.'!E77+Gyermekétk.!E77+Családvéd.!E77+Gyermekvéd.!E77+Családtám.!E77+'Egyéb szoc.'!E77+'Közösségi Ház'!E77</f>
        <v>1356666</v>
      </c>
      <c r="F80" s="15">
        <f>Igazg.!F79+Adók!F78+Temető!F77+Önk.vagyon!F77+Múzeum!F77+Rendezvények!F77+Közter.rend.!F77+Közf.!F77+Közutak!F78+Közvil.!F77+Zöldter.!F77+'Város-község'!F77+Háziorvos!F77+Védőnő!F77+Sport!F77+Könyvtár!F77+'Művelődési H.'!F77+'Isk.1-4.'!F77+'Isk.5-8.'!F77+Gyermekétk.!F77+Családvéd.!F77+Gyermekvéd.!F77+Családtám.!F77+'Egyéb szoc.'!F77+'Közösségi Ház'!F77</f>
        <v>33837666</v>
      </c>
      <c r="G80" s="15">
        <f>Igazg.!G79+Adók!G78+Temető!G77+Önk.vagyon!G77+Múzeum!G77+Rendezvények!G77+Közter.rend.!G77+Közf.!G77+Közutak!G78+Közvil.!G77+Zöldter.!G77+'Város-község'!G77+Háziorvos!G77+Védőnő!G77+Sport!G77+Könyvtár!G77+'Művelődési H.'!G77+'Isk.1-4.'!G77+'Isk.5-8.'!G77+Gyermekétk.!G77+Családvéd.!G77+Gyermekvéd.!G77+Családtám.!G77+'Egyéb szoc.'!G77+'Közösségi Ház'!G77</f>
        <v>20736375</v>
      </c>
      <c r="H80" s="125">
        <f t="shared" si="1"/>
        <v>0.61281930615427194</v>
      </c>
      <c r="L80" s="7">
        <v>51262182</v>
      </c>
    </row>
    <row r="81" spans="1:12" ht="25.5">
      <c r="A81" s="16" t="s">
        <v>53</v>
      </c>
      <c r="B81" s="17" t="s">
        <v>54</v>
      </c>
      <c r="C81" s="15">
        <f>Igazg.!C80+Adók!C79+Temető!C78+Önk.vagyon!C78+Múzeum!C78+Rendezvények!C78+Közter.rend.!C78+Közf.!C78+Közutak!C79+Közvil.!C78+Zöldter.!C78+'Város-község'!C78+Háziorvos!C78+Védőnő!C78+Sport!C78+Könyvtár!C78+'Művelődési H.'!C78+'Isk.1-4.'!C78+'Isk.5-8.'!C78+Gyermekétk.!C78+Családvéd.!C78+Gyermekvéd.!C78+Családtám.!C78+'Egyéb szoc.'!C78+'Közösségi Ház'!C78</f>
        <v>13328043</v>
      </c>
      <c r="D81" s="15">
        <f>Igazg.!D80+Adók!D79+Temető!D78+Önk.vagyon!D78+Múzeum!D78+Rendezvények!D78+Közter.rend.!D78+Közf.!D78+Közutak!D79+Közvil.!D78+Zöldter.!D78+'Város-község'!D78+Háziorvos!D78+Védőnő!D78+Sport!D78+Könyvtár!D78+'Művelődési H.'!D78+'Isk.1-4.'!D78+'Isk.5-8.'!D78+Gyermekétk.!D78+Családvéd.!D78+Gyermekvéd.!D78+Családtám.!D78+'Egyéb szoc.'!D78+'Közösségi Ház'!D78</f>
        <v>7837000</v>
      </c>
      <c r="E81" s="15">
        <f>Igazg.!E80+Adók!E79+Temető!E78+Önk.vagyon!E78+Múzeum!E78+Rendezvények!E78+Közter.rend.!E78+Közf.!E78+Közutak!E79+Közvil.!E78+Zöldter.!E78+'Város-község'!E78+Háziorvos!E78+Védőnő!E78+Sport!E78+Könyvtár!E78+'Művelődési H.'!E78+'Isk.1-4.'!E78+'Isk.5-8.'!E78+Gyermekétk.!E78+Családvéd.!E78+Gyermekvéd.!E78+Családtám.!E78+'Egyéb szoc.'!E78+'Közösségi Ház'!E78</f>
        <v>0</v>
      </c>
      <c r="F81" s="15">
        <f>Igazg.!F80+Adók!F79+Temető!F78+Önk.vagyon!F78+Múzeum!F78+Rendezvények!F78+Közter.rend.!F78+Közf.!F78+Közutak!F79+Közvil.!F78+Zöldter.!F78+'Város-község'!F78+Háziorvos!F78+Védőnő!F78+Sport!F78+Könyvtár!F78+'Művelődési H.'!F78+'Isk.1-4.'!F78+'Isk.5-8.'!F78+Gyermekétk.!F78+Családvéd.!F78+Gyermekvéd.!F78+Családtám.!F78+'Egyéb szoc.'!F78+'Közösségi Ház'!F78</f>
        <v>7837000</v>
      </c>
      <c r="G81" s="15">
        <f>Igazg.!G80+Adók!G79+Temető!G78+Önk.vagyon!G78+Múzeum!G78+Rendezvények!G78+Közter.rend.!G78+Közf.!G78+Közutak!G79+Közvil.!G78+Zöldter.!G78+'Város-község'!G78+Háziorvos!G78+Védőnő!G78+Sport!G78+Könyvtár!G78+'Művelődési H.'!G78+'Isk.1-4.'!G78+'Isk.5-8.'!G78+Gyermekétk.!G78+Családvéd.!G78+Gyermekvéd.!G78+Családtám.!G78+'Egyéb szoc.'!G78+'Közösségi Ház'!G78</f>
        <v>4828949</v>
      </c>
      <c r="H81" s="125">
        <f t="shared" si="1"/>
        <v>0.61617315299221642</v>
      </c>
      <c r="L81" s="7">
        <v>13328043</v>
      </c>
    </row>
    <row r="82" spans="1:12">
      <c r="A82" s="13" t="s">
        <v>55</v>
      </c>
      <c r="B82" s="14" t="s">
        <v>56</v>
      </c>
      <c r="C82" s="15">
        <f>Igazg.!C81+Adók!C80+Temető!C79+Önk.vagyon!C79+Múzeum!C79+Rendezvények!C79+Közter.rend.!C79+Közf.!C79+Közutak!C80+Közvil.!C79+Zöldter.!C79+'Város-község'!C79+Háziorvos!C79+Védőnő!C79+Sport!C79+Könyvtár!C79+'Művelődési H.'!C79+'Isk.1-4.'!C79+'Isk.5-8.'!C79+Gyermekétk.!C79+Családvéd.!C79+Gyermekvéd.!C79+Családtám.!C79+'Egyéb szoc.'!C79+'Közösségi Ház'!C79</f>
        <v>12400329</v>
      </c>
      <c r="D82" s="15">
        <f>Igazg.!D81+Adók!D80+Temető!D79+Önk.vagyon!D79+Múzeum!D79+Rendezvények!D79+Közter.rend.!D79+Közf.!D79+Közutak!D80+Közvil.!D79+Zöldter.!D79+'Város-község'!D79+Háziorvos!D79+Védőnő!D79+Sport!D79+Könyvtár!D79+'Művelődési H.'!D79+'Isk.1-4.'!D79+'Isk.5-8.'!D79+Gyermekétk.!D79+Családvéd.!D79+Gyermekvéd.!D79+Családtám.!D79+'Egyéb szoc.'!D79+'Közösségi Ház'!D79</f>
        <v>7384000</v>
      </c>
      <c r="E82" s="15">
        <f>Igazg.!E81+Adók!E80+Temető!E79+Önk.vagyon!E79+Múzeum!E79+Rendezvények!E79+Közter.rend.!E79+Közf.!E79+Közutak!E80+Közvil.!E79+Zöldter.!E79+'Város-község'!E79+Háziorvos!E79+Védőnő!E79+Sport!E79+Könyvtár!E79+'Művelődési H.'!E79+'Isk.1-4.'!E79+'Isk.5-8.'!E79+Gyermekétk.!E79+Családvéd.!E79+Gyermekvéd.!E79+Családtám.!E79+'Egyéb szoc.'!E79+'Közösségi Ház'!E79</f>
        <v>-11000</v>
      </c>
      <c r="F82" s="15">
        <f>Igazg.!F81+Adók!F80+Temető!F79+Önk.vagyon!F79+Múzeum!F79+Rendezvények!F79+Közter.rend.!F79+Közf.!F79+Közutak!F80+Közvil.!F79+Zöldter.!F79+'Város-község'!F79+Háziorvos!F79+Védőnő!F79+Sport!F79+Könyvtár!F79+'Művelődési H.'!F79+'Isk.1-4.'!F79+'Isk.5-8.'!F79+Gyermekétk.!F79+Családvéd.!F79+Gyermekvéd.!F79+Családtám.!F79+'Egyéb szoc.'!F79+'Közösségi Ház'!F79</f>
        <v>7373000</v>
      </c>
      <c r="G82" s="15">
        <f>Igazg.!G81+Adók!G80+Temető!G79+Önk.vagyon!G79+Múzeum!G79+Rendezvények!G79+Közter.rend.!G79+Közf.!G79+Közutak!G80+Közvil.!G79+Zöldter.!G79+'Város-község'!G79+Háziorvos!G79+Védőnő!G79+Sport!G79+Könyvtár!G79+'Művelődési H.'!G79+'Isk.1-4.'!G79+'Isk.5-8.'!G79+Gyermekétk.!G79+Családvéd.!G79+Gyermekvéd.!G79+Családtám.!G79+'Egyéb szoc.'!G79+'Közösségi Ház'!G79</f>
        <v>4574592</v>
      </c>
      <c r="H82" s="124">
        <f t="shared" si="1"/>
        <v>0.62045191916451914</v>
      </c>
      <c r="L82" s="4">
        <v>12400329</v>
      </c>
    </row>
    <row r="83" spans="1:12">
      <c r="A83" s="13" t="s">
        <v>57</v>
      </c>
      <c r="B83" s="14" t="s">
        <v>58</v>
      </c>
      <c r="C83" s="15">
        <f>Igazg.!C82+Adók!C81+Temető!C80+Önk.vagyon!C80+Múzeum!C80+Rendezvények!C80+Közter.rend.!C80+Közf.!C80+Közutak!C81+Közvil.!C80+Zöldter.!C80+'Város-község'!C80+Háziorvos!C80+Védőnő!C80+Sport!C80+Könyvtár!C80+'Művelődési H.'!C80+'Isk.1-4.'!C80+'Isk.5-8.'!C80+Gyermekétk.!C80+Családvéd.!C80+Gyermekvéd.!C80+Családtám.!C80+'Egyéb szoc.'!C80+'Közösségi Ház'!C80</f>
        <v>546455</v>
      </c>
      <c r="D83" s="15">
        <f>Igazg.!D82+Adók!D81+Temető!D80+Önk.vagyon!D80+Múzeum!D80+Rendezvények!D80+Közter.rend.!D80+Közf.!D80+Közutak!D81+Közvil.!D80+Zöldter.!D80+'Város-község'!D80+Háziorvos!D80+Védőnő!D80+Sport!D80+Könyvtár!D80+'Művelődési H.'!D80+'Isk.1-4.'!D80+'Isk.5-8.'!D80+Gyermekétk.!D80+Családvéd.!D80+Gyermekvéd.!D80+Családtám.!D80+'Egyéb szoc.'!D80+'Közösségi Ház'!D80</f>
        <v>252000</v>
      </c>
      <c r="E83" s="15">
        <f>Igazg.!E82+Adók!E81+Temető!E80+Önk.vagyon!E80+Múzeum!E80+Rendezvények!E80+Közter.rend.!E80+Közf.!E80+Közutak!E81+Közvil.!E80+Zöldter.!E80+'Város-község'!E80+Háziorvos!E80+Védőnő!E80+Sport!E80+Könyvtár!E80+'Művelődési H.'!E80+'Isk.1-4.'!E80+'Isk.5-8.'!E80+Gyermekétk.!E80+Családvéd.!E80+Gyermekvéd.!E80+Családtám.!E80+'Egyéb szoc.'!E80+'Közösségi Ház'!E80</f>
        <v>30000</v>
      </c>
      <c r="F83" s="15">
        <f>Igazg.!F82+Adók!F81+Temető!F80+Önk.vagyon!F80+Múzeum!F80+Rendezvények!F80+Közter.rend.!F80+Közf.!F80+Közutak!F81+Közvil.!F80+Zöldter.!F80+'Város-község'!F80+Háziorvos!F80+Védőnő!F80+Sport!F80+Könyvtár!F80+'Művelődési H.'!F80+'Isk.1-4.'!F80+'Isk.5-8.'!F80+Gyermekétk.!F80+Családvéd.!F80+Gyermekvéd.!F80+Családtám.!F80+'Egyéb szoc.'!F80+'Közösségi Ház'!F80</f>
        <v>282000</v>
      </c>
      <c r="G83" s="15">
        <f>Igazg.!G82+Adók!G81+Temető!G80+Önk.vagyon!G80+Múzeum!G80+Rendezvények!G80+Közter.rend.!G80+Közf.!G80+Közutak!G81+Közvil.!G80+Zöldter.!G80+'Város-község'!G80+Háziorvos!G80+Védőnő!G80+Sport!G80+Könyvtár!G80+'Művelődési H.'!G80+'Isk.1-4.'!G80+'Isk.5-8.'!G80+Gyermekétk.!G80+Családvéd.!G80+Gyermekvéd.!G80+Családtám.!G80+'Egyéb szoc.'!G80+'Közösségi Ház'!G80</f>
        <v>163726</v>
      </c>
      <c r="H83" s="124">
        <f t="shared" si="1"/>
        <v>0.58058865248226954</v>
      </c>
      <c r="L83" s="4">
        <v>546455</v>
      </c>
    </row>
    <row r="84" spans="1:12">
      <c r="A84" s="13" t="s">
        <v>59</v>
      </c>
      <c r="B84" s="14" t="s">
        <v>60</v>
      </c>
      <c r="C84" s="15">
        <f>Igazg.!C83+Adók!C82+Temető!C81+Önk.vagyon!C81+Múzeum!C81+Rendezvények!C81+Közter.rend.!C81+Közf.!C81+Közutak!C82+Közvil.!C81+Zöldter.!C81+'Város-község'!C81+Háziorvos!C81+Védőnő!C81+Sport!C81+Könyvtár!C81+'Művelődési H.'!C81+'Isk.1-4.'!C81+'Isk.5-8.'!C81+Gyermekétk.!C81+Családvéd.!C81+Gyermekvéd.!C81+Családtám.!C81+'Egyéb szoc.'!C81+'Közösségi Ház'!C81</f>
        <v>111936</v>
      </c>
      <c r="D84" s="15">
        <f>Igazg.!D83+Adók!D82+Temető!D81+Önk.vagyon!D81+Múzeum!D81+Rendezvények!D81+Közter.rend.!D81+Közf.!D81+Közutak!D82+Közvil.!D81+Zöldter.!D81+'Város-község'!D81+Háziorvos!D81+Védőnő!D81+Sport!D81+Könyvtár!D81+'Művelődési H.'!D81+'Isk.1-4.'!D81+'Isk.5-8.'!D81+Gyermekétk.!D81+Családvéd.!D81+Gyermekvéd.!D81+Családtám.!D81+'Egyéb szoc.'!D81+'Közösségi Ház'!D81</f>
        <v>3000</v>
      </c>
      <c r="E84" s="15">
        <f>Igazg.!E83+Adók!E82+Temető!E81+Önk.vagyon!E81+Múzeum!E81+Rendezvények!E81+Közter.rend.!E81+Közf.!E81+Közutak!E82+Közvil.!E81+Zöldter.!E81+'Város-község'!E81+Háziorvos!E81+Védőnő!E81+Sport!E81+Könyvtár!E81+'Művelődési H.'!E81+'Isk.1-4.'!E81+'Isk.5-8.'!E81+Gyermekétk.!E81+Családvéd.!E81+Gyermekvéd.!E81+Családtám.!E81+'Egyéb szoc.'!E81+'Közösségi Ház'!E81</f>
        <v>11000</v>
      </c>
      <c r="F84" s="15">
        <f>Igazg.!F83+Adók!F82+Temető!F81+Önk.vagyon!F81+Múzeum!F81+Rendezvények!F81+Közter.rend.!F81+Közf.!F81+Közutak!F82+Közvil.!F81+Zöldter.!F81+'Város-község'!F81+Háziorvos!F81+Védőnő!F81+Sport!F81+Könyvtár!F81+'Művelődési H.'!F81+'Isk.1-4.'!F81+'Isk.5-8.'!F81+Gyermekétk.!F81+Családvéd.!F81+Gyermekvéd.!F81+Családtám.!F81+'Egyéb szoc.'!F81+'Közösségi Ház'!F81</f>
        <v>14000</v>
      </c>
      <c r="G84" s="15">
        <f>Igazg.!G83+Adók!G82+Temető!G81+Önk.vagyon!G81+Múzeum!G81+Rendezvények!G81+Közter.rend.!G81+Közf.!G81+Közutak!G82+Közvil.!G81+Zöldter.!G81+'Város-község'!G81+Háziorvos!G81+Védőnő!G81+Sport!G81+Könyvtár!G81+'Művelődési H.'!G81+'Isk.1-4.'!G81+'Isk.5-8.'!G81+Gyermekétk.!G81+Családvéd.!G81+Gyermekvéd.!G81+Családtám.!G81+'Egyéb szoc.'!G81+'Közösségi Ház'!G81</f>
        <v>13622</v>
      </c>
      <c r="H84" s="124">
        <f t="shared" si="1"/>
        <v>0.97299999999999998</v>
      </c>
      <c r="L84" s="4">
        <v>111936</v>
      </c>
    </row>
    <row r="85" spans="1:12" ht="25.5">
      <c r="A85" s="13" t="s">
        <v>61</v>
      </c>
      <c r="B85" s="14" t="s">
        <v>62</v>
      </c>
      <c r="C85" s="15">
        <f>Igazg.!C84+Adók!C83+Temető!C82+Önk.vagyon!C82+Múzeum!C82+Rendezvények!C82+Közter.rend.!C82+Közf.!C82+Közutak!C83+Közvil.!C82+Zöldter.!C82+'Város-község'!C82+Háziorvos!C82+Védőnő!C82+Sport!C82+Könyvtár!C82+'Művelődési H.'!C82+'Isk.1-4.'!C82+'Isk.5-8.'!C82+Gyermekétk.!C82+Családvéd.!C82+Gyermekvéd.!C82+Családtám.!C82+'Egyéb szoc.'!C82+'Közösségi Ház'!C82</f>
        <v>269323</v>
      </c>
      <c r="D85" s="15">
        <f>Igazg.!D84+Adók!D83+Temető!D82+Önk.vagyon!D82+Múzeum!D82+Rendezvények!D82+Közter.rend.!D82+Közf.!D82+Közutak!D83+Közvil.!D82+Zöldter.!D82+'Város-község'!D82+Háziorvos!D82+Védőnő!D82+Sport!D82+Könyvtár!D82+'Művelődési H.'!D82+'Isk.1-4.'!D82+'Isk.5-8.'!D82+Gyermekétk.!D82+Családvéd.!D82+Gyermekvéd.!D82+Családtám.!D82+'Egyéb szoc.'!D82+'Közösségi Ház'!D82</f>
        <v>198000</v>
      </c>
      <c r="E85" s="15">
        <f>Igazg.!E84+Adók!E83+Temető!E82+Önk.vagyon!E82+Múzeum!E82+Rendezvények!E82+Közter.rend.!E82+Közf.!E82+Közutak!E83+Közvil.!E82+Zöldter.!E82+'Város-község'!E82+Háziorvos!E82+Védőnő!E82+Sport!E82+Könyvtár!E82+'Művelődési H.'!E82+'Isk.1-4.'!E82+'Isk.5-8.'!E82+Gyermekétk.!E82+Családvéd.!E82+Gyermekvéd.!E82+Családtám.!E82+'Egyéb szoc.'!E82+'Közösségi Ház'!E82</f>
        <v>-30000</v>
      </c>
      <c r="F85" s="15">
        <f>Igazg.!F84+Adók!F83+Temető!F82+Önk.vagyon!F82+Múzeum!F82+Rendezvények!F82+Közter.rend.!F82+Közf.!F82+Közutak!F83+Közvil.!F82+Zöldter.!F82+'Város-község'!F82+Háziorvos!F82+Védőnő!F82+Sport!F82+Könyvtár!F82+'Művelődési H.'!F82+'Isk.1-4.'!F82+'Isk.5-8.'!F82+Gyermekétk.!F82+Családvéd.!F82+Gyermekvéd.!F82+Családtám.!F82+'Egyéb szoc.'!F82+'Közösségi Ház'!F82</f>
        <v>168000</v>
      </c>
      <c r="G85" s="15">
        <f>Igazg.!G84+Adók!G83+Temető!G82+Önk.vagyon!G82+Múzeum!G82+Rendezvények!G82+Közter.rend.!G82+Közf.!G82+Közutak!G83+Közvil.!G82+Zöldter.!G82+'Város-község'!G82+Háziorvos!G82+Védőnő!G82+Sport!G82+Könyvtár!G82+'Művelődési H.'!G82+'Isk.1-4.'!G82+'Isk.5-8.'!G82+Gyermekétk.!G82+Családvéd.!G82+Gyermekvéd.!G82+Családtám.!G82+'Egyéb szoc.'!G82+'Közösségi Ház'!G82</f>
        <v>77009</v>
      </c>
      <c r="H85" s="124">
        <f t="shared" si="1"/>
        <v>0.45838690476190475</v>
      </c>
      <c r="L85" s="4">
        <v>269323</v>
      </c>
    </row>
    <row r="86" spans="1:12">
      <c r="A86" s="13" t="s">
        <v>63</v>
      </c>
      <c r="B86" s="14" t="s">
        <v>64</v>
      </c>
      <c r="C86" s="15">
        <f>Igazg.!C85+Adók!C84+Temető!C83+Önk.vagyon!C83+Múzeum!C83+Rendezvények!C83+Közter.rend.!C83+Közf.!C83+Közutak!C84+Közvil.!C83+Zöldter.!C83+'Város-község'!C83+Háziorvos!C83+Védőnő!C83+Sport!C83+Könyvtár!C83+'Művelődési H.'!C83+'Isk.1-4.'!C83+'Isk.5-8.'!C83+Gyermekétk.!C83+Családvéd.!C83+Gyermekvéd.!C83+Családtám.!C83+'Egyéb szoc.'!C83+'Közösségi Ház'!C83</f>
        <v>615929</v>
      </c>
      <c r="D86" s="15">
        <f>Igazg.!D85+Adók!D84+Temető!D83+Önk.vagyon!D83+Múzeum!D83+Rendezvények!D83+Közter.rend.!D83+Közf.!D83+Közutak!D84+Közvil.!D83+Zöldter.!D83+'Város-község'!D83+Háziorvos!D83+Védőnő!D83+Sport!D83+Könyvtár!D83+'Művelődési H.'!D83+'Isk.1-4.'!D83+'Isk.5-8.'!D83+Gyermekétk.!D83+Családvéd.!D83+Gyermekvéd.!D83+Családtám.!D83+'Egyéb szoc.'!D83+'Közösségi Ház'!D83</f>
        <v>460000</v>
      </c>
      <c r="E86" s="15">
        <f>Igazg.!E85+Adók!E84+Temető!E83+Önk.vagyon!E83+Múzeum!E83+Rendezvények!E83+Közter.rend.!E83+Közf.!E83+Közutak!E84+Közvil.!E83+Zöldter.!E83+'Város-község'!E83+Háziorvos!E83+Védőnő!E83+Sport!E83+Könyvtár!E83+'Művelődési H.'!E83+'Isk.1-4.'!E83+'Isk.5-8.'!E83+Gyermekétk.!E83+Családvéd.!E83+Gyermekvéd.!E83+Családtám.!E83+'Egyéb szoc.'!E83+'Közösségi Ház'!E83</f>
        <v>0</v>
      </c>
      <c r="F86" s="15">
        <f>Igazg.!F85+Adók!F84+Temető!F83+Önk.vagyon!F83+Múzeum!F83+Rendezvények!F83+Közter.rend.!F83+Közf.!F83+Közutak!F84+Közvil.!F83+Zöldter.!F83+'Város-község'!F83+Háziorvos!F83+Védőnő!F83+Sport!F83+Könyvtár!F83+'Művelődési H.'!F83+'Isk.1-4.'!F83+'Isk.5-8.'!F83+Gyermekétk.!F83+Családvéd.!F83+Gyermekvéd.!F83+Családtám.!F83+'Egyéb szoc.'!F83+'Közösségi Ház'!F83</f>
        <v>460000</v>
      </c>
      <c r="G86" s="15">
        <f>Igazg.!G85+Adók!G84+Temető!G83+Önk.vagyon!G83+Múzeum!G83+Rendezvények!G83+Közter.rend.!G83+Közf.!G83+Közutak!G84+Közvil.!G83+Zöldter.!G83+'Város-község'!G83+Háziorvos!G83+Védőnő!G83+Sport!G83+Könyvtár!G83+'Művelődési H.'!G83+'Isk.1-4.'!G83+'Isk.5-8.'!G83+Gyermekétk.!G83+Családvéd.!G83+Gyermekvéd.!G83+Családtám.!G83+'Egyéb szoc.'!G83+'Közösségi Ház'!G83</f>
        <v>114084</v>
      </c>
      <c r="H86" s="124">
        <f t="shared" si="1"/>
        <v>0.2480086956521739</v>
      </c>
      <c r="L86" s="4">
        <v>615929</v>
      </c>
    </row>
    <row r="87" spans="1:12">
      <c r="A87" s="13" t="s">
        <v>65</v>
      </c>
      <c r="B87" s="14" t="s">
        <v>66</v>
      </c>
      <c r="C87" s="15">
        <f>Igazg.!C86+Adók!C85+Temető!C84+Önk.vagyon!C84+Múzeum!C84+Rendezvények!C84+Közter.rend.!C84+Közf.!C84+Közutak!C85+Közvil.!C84+Zöldter.!C84+'Város-község'!C84+Háziorvos!C84+Védőnő!C84+Sport!C84+Könyvtár!C84+'Művelődési H.'!C84+'Isk.1-4.'!C84+'Isk.5-8.'!C84+Gyermekétk.!C84+Családvéd.!C84+Gyermekvéd.!C84+Családtám.!C84+'Egyéb szoc.'!C84+'Közösségi Ház'!C84</f>
        <v>14470779</v>
      </c>
      <c r="D87" s="15">
        <f>Igazg.!D86+Adók!D85+Temető!D84+Önk.vagyon!D84+Múzeum!D84+Rendezvények!D84+Közter.rend.!D84+Közf.!D84+Közutak!D85+Közvil.!D84+Zöldter.!D84+'Város-község'!D84+Háziorvos!D84+Védőnő!D84+Sport!D84+Könyvtár!D84+'Művelődési H.'!D84+'Isk.1-4.'!D84+'Isk.5-8.'!D84+Gyermekétk.!D84+Családvéd.!D84+Gyermekvéd.!D84+Családtám.!D84+'Egyéb szoc.'!D84+'Közösségi Ház'!D84</f>
        <v>11545000</v>
      </c>
      <c r="E87" s="15">
        <f>Igazg.!E86+Adók!E85+Temető!E84+Önk.vagyon!E84+Múzeum!E84+Rendezvények!E84+Közter.rend.!E84+Közf.!E84+Közutak!E85+Közvil.!E84+Zöldter.!E84+'Város-község'!E84+Háziorvos!E84+Védőnő!E84+Sport!E84+Könyvtár!E84+'Művelődési H.'!E84+'Isk.1-4.'!E84+'Isk.5-8.'!E84+Gyermekétk.!E84+Családvéd.!E84+Gyermekvéd.!E84+Családtám.!E84+'Egyéb szoc.'!E84+'Közösségi Ház'!E84</f>
        <v>0</v>
      </c>
      <c r="F87" s="15">
        <f>Igazg.!F86+Adók!F85+Temető!F84+Önk.vagyon!F84+Múzeum!F84+Rendezvények!F84+Közter.rend.!F84+Közf.!F84+Közutak!F85+Közvil.!F84+Zöldter.!F84+'Város-község'!F84+Háziorvos!F84+Védőnő!F84+Sport!F84+Könyvtár!F84+'Művelődési H.'!F84+'Isk.1-4.'!F84+'Isk.5-8.'!F84+Gyermekétk.!F84+Családvéd.!F84+Gyermekvéd.!F84+Családtám.!F84+'Egyéb szoc.'!F84+'Közösségi Ház'!F84</f>
        <v>11545000</v>
      </c>
      <c r="G87" s="15">
        <f>Igazg.!G86+Adók!G85+Temető!G84+Önk.vagyon!G84+Múzeum!G84+Rendezvények!G84+Közter.rend.!G84+Közf.!G84+Közutak!G85+Közvil.!G84+Zöldter.!G84+'Város-község'!G84+Háziorvos!G84+Védőnő!G84+Sport!G84+Könyvtár!G84+'Művelődési H.'!G84+'Isk.1-4.'!G84+'Isk.5-8.'!G84+Gyermekétk.!G84+Családvéd.!G84+Gyermekvéd.!G84+Családtám.!G84+'Egyéb szoc.'!G84+'Közösségi Ház'!G84</f>
        <v>2710739</v>
      </c>
      <c r="H87" s="124">
        <f t="shared" si="1"/>
        <v>0.23479766132524901</v>
      </c>
      <c r="L87" s="4">
        <v>14470779</v>
      </c>
    </row>
    <row r="88" spans="1:12">
      <c r="A88" s="13" t="s">
        <v>67</v>
      </c>
      <c r="B88" s="14" t="s">
        <v>68</v>
      </c>
      <c r="C88" s="15">
        <f>Igazg.!C87+Adók!C86+Temető!C85+Önk.vagyon!C85+Múzeum!C85+Rendezvények!C85+Közter.rend.!C85+Közf.!C85+Közutak!C86+Közvil.!C85+Zöldter.!C85+'Város-község'!C85+Háziorvos!C85+Védőnő!C85+Sport!C85+Könyvtár!C85+'Művelődési H.'!C85+'Isk.1-4.'!C85+'Isk.5-8.'!C85+Gyermekétk.!C85+Családvéd.!C85+Gyermekvéd.!C85+Családtám.!C85+'Egyéb szoc.'!C85+'Közösségi Ház'!C85</f>
        <v>15086708</v>
      </c>
      <c r="D88" s="15">
        <f>Igazg.!D87+Adók!D86+Temető!D85+Önk.vagyon!D85+Múzeum!D85+Rendezvények!D85+Közter.rend.!D85+Közf.!D85+Közutak!D86+Közvil.!D85+Zöldter.!D85+'Város-község'!D85+Háziorvos!D85+Védőnő!D85+Sport!D85+Könyvtár!D85+'Művelődési H.'!D85+'Isk.1-4.'!D85+'Isk.5-8.'!D85+Gyermekétk.!D85+Családvéd.!D85+Gyermekvéd.!D85+Családtám.!D85+'Egyéb szoc.'!D85+'Közösségi Ház'!D85</f>
        <v>12005000</v>
      </c>
      <c r="E88" s="15">
        <f>Igazg.!E87+Adók!E86+Temető!E85+Önk.vagyon!E85+Múzeum!E85+Rendezvények!E85+Közter.rend.!E85+Közf.!E85+Közutak!E86+Közvil.!E85+Zöldter.!E85+'Város-község'!E85+Háziorvos!E85+Védőnő!E85+Sport!E85+Könyvtár!E85+'Művelődési H.'!E85+'Isk.1-4.'!E85+'Isk.5-8.'!E85+Gyermekétk.!E85+Családvéd.!E85+Gyermekvéd.!E85+Családtám.!E85+'Egyéb szoc.'!E85+'Közösségi Ház'!E85</f>
        <v>0</v>
      </c>
      <c r="F88" s="15">
        <f>Igazg.!F87+Adók!F86+Temető!F85+Önk.vagyon!F85+Múzeum!F85+Rendezvények!F85+Közter.rend.!F85+Közf.!F85+Közutak!F86+Közvil.!F85+Zöldter.!F85+'Város-község'!F85+Háziorvos!F85+Védőnő!F85+Sport!F85+Könyvtár!F85+'Művelődési H.'!F85+'Isk.1-4.'!F85+'Isk.5-8.'!F85+Gyermekétk.!F85+Családvéd.!F85+Gyermekvéd.!F85+Családtám.!F85+'Egyéb szoc.'!F85+'Közösségi Ház'!F85</f>
        <v>12005000</v>
      </c>
      <c r="G88" s="15">
        <f>Igazg.!G87+Adók!G86+Temető!G85+Önk.vagyon!G85+Múzeum!G85+Rendezvények!G85+Közter.rend.!G85+Közf.!G85+Közutak!G86+Közvil.!G85+Zöldter.!G85+'Város-község'!G85+Háziorvos!G85+Védőnő!G85+Sport!G85+Könyvtár!G85+'Művelődési H.'!G85+'Isk.1-4.'!G85+'Isk.5-8.'!G85+Gyermekétk.!G85+Családvéd.!G85+Gyermekvéd.!G85+Családtám.!G85+'Egyéb szoc.'!G85+'Közösségi Ház'!G85</f>
        <v>2824823</v>
      </c>
      <c r="H88" s="124">
        <f t="shared" si="1"/>
        <v>0.23530387338608913</v>
      </c>
      <c r="L88" s="4">
        <v>15086708</v>
      </c>
    </row>
    <row r="89" spans="1:12">
      <c r="A89" s="13" t="s">
        <v>69</v>
      </c>
      <c r="B89" s="14" t="s">
        <v>70</v>
      </c>
      <c r="C89" s="15">
        <f>Igazg.!C88+Adók!C87+Temető!C86+Önk.vagyon!C86+Múzeum!C86+Rendezvények!C86+Közter.rend.!C86+Közf.!C86+Közutak!C87+Közvil.!C86+Zöldter.!C86+'Város-község'!C86+Háziorvos!C86+Védőnő!C86+Sport!C86+Könyvtár!C86+'Művelődési H.'!C86+'Isk.1-4.'!C86+'Isk.5-8.'!C86+Gyermekétk.!C86+Családvéd.!C86+Gyermekvéd.!C86+Családtám.!C86+'Egyéb szoc.'!C86+'Közösségi Ház'!C86</f>
        <v>2398407</v>
      </c>
      <c r="D89" s="15">
        <f>Igazg.!D88+Adók!D87+Temető!D86+Önk.vagyon!D86+Múzeum!D86+Rendezvények!D86+Közter.rend.!D86+Közf.!D86+Közutak!D87+Közvil.!D86+Zöldter.!D86+'Város-község'!D86+Háziorvos!D86+Védőnő!D86+Sport!D86+Könyvtár!D86+'Művelődési H.'!D86+'Isk.1-4.'!D86+'Isk.5-8.'!D86+Gyermekétk.!D86+Családvéd.!D86+Gyermekvéd.!D86+Családtám.!D86+'Egyéb szoc.'!D86+'Közösségi Ház'!D86</f>
        <v>1290000</v>
      </c>
      <c r="E89" s="15">
        <f>Igazg.!E88+Adók!E87+Temető!E86+Önk.vagyon!E86+Múzeum!E86+Rendezvények!E86+Közter.rend.!E86+Közf.!E86+Közutak!E87+Közvil.!E86+Zöldter.!E86+'Város-község'!E86+Háziorvos!E86+Védőnő!E86+Sport!E86+Könyvtár!E86+'Művelődési H.'!E86+'Isk.1-4.'!E86+'Isk.5-8.'!E86+Gyermekétk.!E86+Családvéd.!E86+Gyermekvéd.!E86+Családtám.!E86+'Egyéb szoc.'!E86+'Közösségi Ház'!E86</f>
        <v>600000</v>
      </c>
      <c r="F89" s="15">
        <f>Igazg.!F88+Adók!F87+Temető!F86+Önk.vagyon!F86+Múzeum!F86+Rendezvények!F86+Közter.rend.!F86+Közf.!F86+Közutak!F87+Közvil.!F86+Zöldter.!F86+'Város-község'!F86+Háziorvos!F86+Védőnő!F86+Sport!F86+Könyvtár!F86+'Művelődési H.'!F86+'Isk.1-4.'!F86+'Isk.5-8.'!F86+Gyermekétk.!F86+Családvéd.!F86+Gyermekvéd.!F86+Családtám.!F86+'Egyéb szoc.'!F86+'Közösségi Ház'!F86</f>
        <v>1890000</v>
      </c>
      <c r="G89" s="15">
        <f>Igazg.!G88+Adók!G87+Temető!G86+Önk.vagyon!G86+Múzeum!G86+Rendezvények!G86+Közter.rend.!G86+Közf.!G86+Közutak!G87+Közvil.!G86+Zöldter.!G86+'Város-község'!G86+Háziorvos!G86+Védőnő!G86+Sport!G86+Könyvtár!G86+'Művelődési H.'!G86+'Isk.1-4.'!G86+'Isk.5-8.'!G86+Gyermekétk.!G86+Családvéd.!G86+Gyermekvéd.!G86+Családtám.!G86+'Egyéb szoc.'!G86+'Közösségi Ház'!G86</f>
        <v>1321105</v>
      </c>
      <c r="H89" s="124">
        <f t="shared" si="1"/>
        <v>0.69899735449735445</v>
      </c>
      <c r="L89" s="4">
        <v>2398407</v>
      </c>
    </row>
    <row r="90" spans="1:12">
      <c r="A90" s="13" t="s">
        <v>71</v>
      </c>
      <c r="B90" s="14" t="s">
        <v>72</v>
      </c>
      <c r="C90" s="15">
        <f>Igazg.!C89+Adók!C88+Temető!C87+Önk.vagyon!C87+Múzeum!C87+Rendezvények!C87+Közter.rend.!C87+Közf.!C87+Közutak!C88+Közvil.!C87+Zöldter.!C87+'Város-község'!C87+Háziorvos!C87+Védőnő!C87+Sport!C87+Könyvtár!C87+'Művelődési H.'!C87+'Isk.1-4.'!C87+'Isk.5-8.'!C87+Gyermekétk.!C87+Családvéd.!C87+Gyermekvéd.!C87+Családtám.!C87+'Egyéb szoc.'!C87+'Közösségi Ház'!C87</f>
        <v>535831</v>
      </c>
      <c r="D90" s="15">
        <f>Igazg.!D89+Adók!D88+Temető!D87+Önk.vagyon!D87+Múzeum!D87+Rendezvények!D87+Közter.rend.!D87+Közf.!D87+Közutak!D88+Közvil.!D87+Zöldter.!D87+'Város-község'!D87+Háziorvos!D87+Védőnő!D87+Sport!D87+Könyvtár!D87+'Művelődési H.'!D87+'Isk.1-4.'!D87+'Isk.5-8.'!D87+Gyermekétk.!D87+Családvéd.!D87+Gyermekvéd.!D87+Családtám.!D87+'Egyéb szoc.'!D87+'Közösségi Ház'!D87</f>
        <v>403000</v>
      </c>
      <c r="E90" s="15">
        <f>Igazg.!E89+Adók!E88+Temető!E87+Önk.vagyon!E87+Múzeum!E87+Rendezvények!E87+Közter.rend.!E87+Közf.!E87+Közutak!E88+Közvil.!E87+Zöldter.!E87+'Város-község'!E87+Háziorvos!E87+Védőnő!E87+Sport!E87+Könyvtár!E87+'Művelődési H.'!E87+'Isk.1-4.'!E87+'Isk.5-8.'!E87+Gyermekétk.!E87+Családvéd.!E87+Gyermekvéd.!E87+Családtám.!E87+'Egyéb szoc.'!E87+'Közösségi Ház'!E87</f>
        <v>0</v>
      </c>
      <c r="F90" s="15">
        <f>Igazg.!F89+Adók!F88+Temető!F87+Önk.vagyon!F87+Múzeum!F87+Rendezvények!F87+Közter.rend.!F87+Közf.!F87+Közutak!F88+Közvil.!F87+Zöldter.!F87+'Város-község'!F87+Háziorvos!F87+Védőnő!F87+Sport!F87+Könyvtár!F87+'Művelődési H.'!F87+'Isk.1-4.'!F87+'Isk.5-8.'!F87+Gyermekétk.!F87+Családvéd.!F87+Gyermekvéd.!F87+Családtám.!F87+'Egyéb szoc.'!F87+'Közösségi Ház'!F87</f>
        <v>403000</v>
      </c>
      <c r="G90" s="15">
        <f>Igazg.!G89+Adók!G88+Temető!G87+Önk.vagyon!G87+Múzeum!G87+Rendezvények!G87+Közter.rend.!G87+Közf.!G87+Közutak!G88+Közvil.!G87+Zöldter.!G87+'Város-község'!G87+Háziorvos!G87+Védőnő!G87+Sport!G87+Könyvtár!G87+'Művelődési H.'!G87+'Isk.1-4.'!G87+'Isk.5-8.'!G87+Gyermekétk.!G87+Családvéd.!G87+Gyermekvéd.!G87+Családtám.!G87+'Egyéb szoc.'!G87+'Közösségi Ház'!G87</f>
        <v>135961</v>
      </c>
      <c r="H90" s="124">
        <f t="shared" si="1"/>
        <v>0.33737220843672455</v>
      </c>
      <c r="L90" s="4">
        <v>535831</v>
      </c>
    </row>
    <row r="91" spans="1:12">
      <c r="A91" s="13" t="s">
        <v>73</v>
      </c>
      <c r="B91" s="14" t="s">
        <v>74</v>
      </c>
      <c r="C91" s="15">
        <f>Igazg.!C90+Adók!C89+Temető!C88+Önk.vagyon!C88+Múzeum!C88+Rendezvények!C88+Közter.rend.!C88+Közf.!C88+Közutak!C89+Közvil.!C88+Zöldter.!C88+'Város-község'!C88+Háziorvos!C88+Védőnő!C88+Sport!C88+Könyvtár!C88+'Művelődési H.'!C88+'Isk.1-4.'!C88+'Isk.5-8.'!C88+Gyermekétk.!C88+Családvéd.!C88+Gyermekvéd.!C88+Családtám.!C88+'Egyéb szoc.'!C88+'Közösségi Ház'!C88</f>
        <v>2934238</v>
      </c>
      <c r="D91" s="15">
        <f>Igazg.!D90+Adók!D89+Temető!D88+Önk.vagyon!D88+Múzeum!D88+Rendezvények!D88+Közter.rend.!D88+Közf.!D88+Közutak!D89+Közvil.!D88+Zöldter.!D88+'Város-község'!D88+Háziorvos!D88+Védőnő!D88+Sport!D88+Könyvtár!D88+'Művelődési H.'!D88+'Isk.1-4.'!D88+'Isk.5-8.'!D88+Gyermekétk.!D88+Családvéd.!D88+Gyermekvéd.!D88+Családtám.!D88+'Egyéb szoc.'!D88+'Közösségi Ház'!D88</f>
        <v>1693000</v>
      </c>
      <c r="E91" s="15">
        <f>Igazg.!E90+Adók!E89+Temető!E88+Önk.vagyon!E88+Múzeum!E88+Rendezvények!E88+Közter.rend.!E88+Közf.!E88+Közutak!E89+Közvil.!E88+Zöldter.!E88+'Város-község'!E88+Háziorvos!E88+Védőnő!E88+Sport!E88+Könyvtár!E88+'Művelődési H.'!E88+'Isk.1-4.'!E88+'Isk.5-8.'!E88+Gyermekétk.!E88+Családvéd.!E88+Gyermekvéd.!E88+Családtám.!E88+'Egyéb szoc.'!E88+'Közösségi Ház'!E88</f>
        <v>600000</v>
      </c>
      <c r="F91" s="15">
        <f>Igazg.!F90+Adók!F89+Temető!F88+Önk.vagyon!F88+Múzeum!F88+Rendezvények!F88+Közter.rend.!F88+Közf.!F88+Közutak!F89+Közvil.!F88+Zöldter.!F88+'Város-község'!F88+Háziorvos!F88+Védőnő!F88+Sport!F88+Könyvtár!F88+'Művelődési H.'!F88+'Isk.1-4.'!F88+'Isk.5-8.'!F88+Gyermekétk.!F88+Családvéd.!F88+Gyermekvéd.!F88+Családtám.!F88+'Egyéb szoc.'!F88+'Közösségi Ház'!F88</f>
        <v>2293000</v>
      </c>
      <c r="G91" s="15">
        <f>Igazg.!G90+Adók!G89+Temető!G88+Önk.vagyon!G88+Múzeum!G88+Rendezvények!G88+Közter.rend.!G88+Közf.!G88+Közutak!G89+Közvil.!G88+Zöldter.!G88+'Város-község'!G88+Háziorvos!G88+Védőnő!G88+Sport!G88+Könyvtár!G88+'Művelődési H.'!G88+'Isk.1-4.'!G88+'Isk.5-8.'!G88+Gyermekétk.!G88+Családvéd.!G88+Gyermekvéd.!G88+Családtám.!G88+'Egyéb szoc.'!G88+'Közösségi Ház'!G88</f>
        <v>1457066</v>
      </c>
      <c r="H91" s="124">
        <f t="shared" si="1"/>
        <v>0.63544090710859136</v>
      </c>
      <c r="L91" s="4">
        <v>2934238</v>
      </c>
    </row>
    <row r="92" spans="1:12">
      <c r="A92" s="13" t="s">
        <v>75</v>
      </c>
      <c r="B92" s="14" t="s">
        <v>76</v>
      </c>
      <c r="C92" s="15">
        <f>Igazg.!C91+Adók!C90+Temető!C89+Önk.vagyon!C89+Múzeum!C89+Rendezvények!C89+Közter.rend.!C89+Közf.!C89+Közutak!C90+Közvil.!C89+Zöldter.!C89+'Város-község'!C89+Háziorvos!C89+Védőnő!C89+Sport!C89+Könyvtár!C89+'Művelődési H.'!C89+'Isk.1-4.'!C89+'Isk.5-8.'!C89+Gyermekétk.!C89+Családvéd.!C89+Gyermekvéd.!C89+Családtám.!C89+'Egyéb szoc.'!C89+'Közösségi Ház'!C89</f>
        <v>11921411</v>
      </c>
      <c r="D92" s="15">
        <f>Igazg.!D91+Adók!D90+Temető!D89+Önk.vagyon!D89+Múzeum!D89+Rendezvények!D89+Közter.rend.!D89+Közf.!D89+Közutak!D90+Közvil.!D89+Zöldter.!D89+'Város-község'!D89+Háziorvos!D89+Védőnő!D89+Sport!D89+Könyvtár!D89+'Művelődési H.'!D89+'Isk.1-4.'!D89+'Isk.5-8.'!D89+Gyermekétk.!D89+Családvéd.!D89+Gyermekvéd.!D89+Családtám.!D89+'Egyéb szoc.'!D89+'Közösségi Ház'!D89</f>
        <v>8400000</v>
      </c>
      <c r="E92" s="15">
        <f>Igazg.!E91+Adók!E90+Temető!E89+Önk.vagyon!E89+Múzeum!E89+Rendezvények!E89+Közter.rend.!E89+Közf.!E89+Közutak!E90+Közvil.!E89+Zöldter.!E89+'Város-község'!E89+Háziorvos!E89+Védőnő!E89+Sport!E89+Könyvtár!E89+'Művelődési H.'!E89+'Isk.1-4.'!E89+'Isk.5-8.'!E89+Gyermekétk.!E89+Családvéd.!E89+Gyermekvéd.!E89+Családtám.!E89+'Egyéb szoc.'!E89+'Közösségi Ház'!E89</f>
        <v>0</v>
      </c>
      <c r="F92" s="15">
        <f>Igazg.!F91+Adók!F90+Temető!F89+Önk.vagyon!F89+Múzeum!F89+Rendezvények!F89+Közter.rend.!F89+Közf.!F89+Közutak!F90+Közvil.!F89+Zöldter.!F89+'Város-község'!F89+Háziorvos!F89+Védőnő!F89+Sport!F89+Könyvtár!F89+'Művelődési H.'!F89+'Isk.1-4.'!F89+'Isk.5-8.'!F89+Gyermekétk.!F89+Családvéd.!F89+Gyermekvéd.!F89+Családtám.!F89+'Egyéb szoc.'!F89+'Közösségi Ház'!F89</f>
        <v>8400000</v>
      </c>
      <c r="G92" s="15">
        <f>Igazg.!G91+Adók!G90+Temető!G89+Önk.vagyon!G89+Múzeum!G89+Rendezvények!G89+Közter.rend.!G89+Közf.!G89+Közutak!G90+Közvil.!G89+Zöldter.!G89+'Város-község'!G89+Háziorvos!G89+Védőnő!G89+Sport!G89+Könyvtár!G89+'Művelődési H.'!G89+'Isk.1-4.'!G89+'Isk.5-8.'!G89+Gyermekétk.!G89+Családvéd.!G89+Gyermekvéd.!G89+Családtám.!G89+'Egyéb szoc.'!G89+'Közösségi Ház'!G89</f>
        <v>4766030</v>
      </c>
      <c r="H92" s="124">
        <f t="shared" si="1"/>
        <v>0.56738452380952376</v>
      </c>
      <c r="L92" s="4">
        <v>11921411</v>
      </c>
    </row>
    <row r="93" spans="1:12">
      <c r="A93" s="13" t="s">
        <v>77</v>
      </c>
      <c r="B93" s="14" t="s">
        <v>78</v>
      </c>
      <c r="C93" s="15">
        <f>Igazg.!C92+Adók!C91+Temető!C90+Önk.vagyon!C90+Múzeum!C90+Rendezvények!C90+Közter.rend.!C90+Közf.!C90+Közutak!C91+Közvil.!C90+Zöldter.!C90+'Város-község'!C90+Háziorvos!C90+Védőnő!C90+Sport!C90+Könyvtár!C90+'Művelődési H.'!C90+'Isk.1-4.'!C90+'Isk.5-8.'!C90+Gyermekétk.!C90+Családvéd.!C90+Gyermekvéd.!C90+Családtám.!C90+'Egyéb szoc.'!C90+'Közösségi Ház'!C90</f>
        <v>11249952</v>
      </c>
      <c r="D93" s="15">
        <f>Igazg.!D92+Adók!D91+Temető!D90+Önk.vagyon!D90+Múzeum!D90+Rendezvények!D90+Közter.rend.!D90+Közf.!D90+Közutak!D91+Közvil.!D90+Zöldter.!D90+'Város-község'!D90+Háziorvos!D90+Védőnő!D90+Sport!D90+Könyvtár!D90+'Művelődési H.'!D90+'Isk.1-4.'!D90+'Isk.5-8.'!D90+Gyermekétk.!D90+Családvéd.!D90+Gyermekvéd.!D90+Családtám.!D90+'Egyéb szoc.'!D90+'Közösségi Ház'!D90</f>
        <v>12662000</v>
      </c>
      <c r="E93" s="15">
        <f>Igazg.!E92+Adók!E91+Temető!E90+Önk.vagyon!E90+Múzeum!E90+Rendezvények!E90+Közter.rend.!E90+Közf.!E90+Közutak!E91+Közvil.!E90+Zöldter.!E90+'Város-község'!E90+Háziorvos!E90+Védőnő!E90+Sport!E90+Könyvtár!E90+'Művelődési H.'!E90+'Isk.1-4.'!E90+'Isk.5-8.'!E90+Gyermekétk.!E90+Családvéd.!E90+Gyermekvéd.!E90+Családtám.!E90+'Egyéb szoc.'!E90+'Közösségi Ház'!E90</f>
        <v>0</v>
      </c>
      <c r="F93" s="15">
        <f>Igazg.!F92+Adók!F91+Temető!F90+Önk.vagyon!F90+Múzeum!F90+Rendezvények!F90+Közter.rend.!F90+Közf.!F90+Közutak!F91+Közvil.!F90+Zöldter.!F90+'Város-község'!F90+Háziorvos!F90+Védőnő!F90+Sport!F90+Könyvtár!F90+'Művelődési H.'!F90+'Isk.1-4.'!F90+'Isk.5-8.'!F90+Gyermekétk.!F90+Családvéd.!F90+Gyermekvéd.!F90+Családtám.!F90+'Egyéb szoc.'!F90+'Közösségi Ház'!F90</f>
        <v>12662000</v>
      </c>
      <c r="G93" s="15">
        <f>Igazg.!G92+Adók!G91+Temető!G90+Önk.vagyon!G90+Múzeum!G90+Rendezvények!G90+Közter.rend.!G90+Közf.!G90+Közutak!G91+Közvil.!G90+Zöldter.!G90+'Város-község'!G90+Háziorvos!G90+Védőnő!G90+Sport!G90+Könyvtár!G90+'Művelődési H.'!G90+'Isk.1-4.'!G90+'Isk.5-8.'!G90+Gyermekétk.!G90+Családvéd.!G90+Gyermekvéd.!G90+Családtám.!G90+'Egyéb szoc.'!G90+'Közösségi Ház'!G90</f>
        <v>8424965</v>
      </c>
      <c r="H93" s="124">
        <f t="shared" si="1"/>
        <v>0.66537395356183859</v>
      </c>
      <c r="L93" s="4">
        <v>11249952</v>
      </c>
    </row>
    <row r="94" spans="1:12">
      <c r="A94" s="20" t="s">
        <v>276</v>
      </c>
      <c r="B94" s="19" t="s">
        <v>277</v>
      </c>
      <c r="C94" s="15">
        <f>Igazg.!C93+Adók!C92+Temető!C91+Önk.vagyon!C91+Múzeum!C91+Rendezvények!C91+Közter.rend.!C91+Közf.!C91+Közutak!C92+Közvil.!C91+Zöldter.!C91+'Város-község'!C91+Háziorvos!C91+Védőnő!C91+Sport!C91+Könyvtár!C91+'Művelődési H.'!C91+'Isk.1-4.'!C91+'Isk.5-8.'!C91+Gyermekétk.!C91+Családvéd.!C91+Gyermekvéd.!C91+Családtám.!C91+'Egyéb szoc.'!C91+'Közösségi Ház'!C91</f>
        <v>0</v>
      </c>
      <c r="D94" s="15">
        <f>Igazg.!D93+Adók!D92+Temető!D91+Önk.vagyon!D91+Múzeum!D91+Rendezvények!D91+Közter.rend.!D91+Közf.!D91+Közutak!D92+Közvil.!D91+Zöldter.!D91+'Város-község'!D91+Háziorvos!D91+Védőnő!D91+Sport!D91+Könyvtár!D91+'Művelődési H.'!D91+'Isk.1-4.'!D91+'Isk.5-8.'!D91+Gyermekétk.!D91+Családvéd.!D91+Gyermekvéd.!D91+Családtám.!D91+'Egyéb szoc.'!D91+'Közösségi Ház'!D91</f>
        <v>390000</v>
      </c>
      <c r="E94" s="15">
        <f>Igazg.!E93+Adók!E92+Temető!E91+Önk.vagyon!E91+Múzeum!E91+Rendezvények!E91+Közter.rend.!E91+Közf.!E91+Közutak!E92+Közvil.!E91+Zöldter.!E91+'Város-község'!E91+Háziorvos!E91+Védőnő!E91+Sport!E91+Könyvtár!E91+'Művelődési H.'!E91+'Isk.1-4.'!E91+'Isk.5-8.'!E91+Gyermekétk.!E91+Családvéd.!E91+Gyermekvéd.!E91+Családtám.!E91+'Egyéb szoc.'!E91+'Közösségi Ház'!E91</f>
        <v>0</v>
      </c>
      <c r="F94" s="15">
        <f>Igazg.!F93+Adók!F92+Temető!F91+Önk.vagyon!F91+Múzeum!F91+Rendezvények!F91+Közter.rend.!F91+Közf.!F91+Közutak!F92+Közvil.!F91+Zöldter.!F91+'Város-község'!F91+Háziorvos!F91+Védőnő!F91+Sport!F91+Könyvtár!F91+'Művelődési H.'!F91+'Isk.1-4.'!F91+'Isk.5-8.'!F91+Gyermekétk.!F91+Családvéd.!F91+Gyermekvéd.!F91+Családtám.!F91+'Egyéb szoc.'!F91+'Közösségi Ház'!F91</f>
        <v>390000</v>
      </c>
      <c r="G94" s="15">
        <f>Igazg.!G93+Adók!G92+Temető!G91+Önk.vagyon!G91+Múzeum!G91+Rendezvények!G91+Közter.rend.!G91+Közf.!G91+Közutak!G92+Közvil.!G91+Zöldter.!G91+'Város-község'!G91+Háziorvos!G91+Védőnő!G91+Sport!G91+Könyvtár!G91+'Művelődési H.'!G91+'Isk.1-4.'!G91+'Isk.5-8.'!G91+Gyermekétk.!G91+Családvéd.!G91+Gyermekvéd.!G91+Családtám.!G91+'Egyéb szoc.'!G91+'Közösségi Ház'!G91</f>
        <v>3139</v>
      </c>
      <c r="H94" s="124"/>
      <c r="L94" s="4"/>
    </row>
    <row r="95" spans="1:12">
      <c r="A95" s="13" t="s">
        <v>79</v>
      </c>
      <c r="B95" s="14" t="s">
        <v>80</v>
      </c>
      <c r="C95" s="15">
        <f>Igazg.!C94+Adók!C93+Temető!C92+Önk.vagyon!C92+Múzeum!C92+Rendezvények!C92+Közter.rend.!C92+Közf.!C92+Közutak!C93+Közvil.!C92+Zöldter.!C92+'Város-község'!C92+Háziorvos!C92+Védőnő!C92+Sport!C92+Könyvtár!C92+'Művelődési H.'!C92+'Isk.1-4.'!C92+'Isk.5-8.'!C92+Gyermekétk.!C92+Családvéd.!C92+Gyermekvéd.!C92+Családtám.!C92+'Egyéb szoc.'!C92+'Közösségi Ház'!C92</f>
        <v>1011545</v>
      </c>
      <c r="D95" s="15">
        <f>Igazg.!D94+Adók!D93+Temető!D92+Önk.vagyon!D92+Múzeum!D92+Rendezvények!D92+Közter.rend.!D92+Közf.!D92+Közutak!D93+Közvil.!D92+Zöldter.!D92+'Város-község'!D92+Háziorvos!D92+Védőnő!D92+Sport!D92+Könyvtár!D92+'Művelődési H.'!D92+'Isk.1-4.'!D92+'Isk.5-8.'!D92+Gyermekétk.!D92+Családvéd.!D92+Gyermekvéd.!D92+Családtám.!D92+'Egyéb szoc.'!D92+'Közösségi Ház'!D92</f>
        <v>2995000</v>
      </c>
      <c r="E95" s="15">
        <f>Igazg.!E94+Adók!E93+Temető!E92+Önk.vagyon!E92+Múzeum!E92+Rendezvények!E92+Közter.rend.!E92+Közf.!E92+Közutak!E93+Közvil.!E92+Zöldter.!E92+'Város-község'!E92+Háziorvos!E92+Védőnő!E92+Sport!E92+Könyvtár!E92+'Művelődési H.'!E92+'Isk.1-4.'!E92+'Isk.5-8.'!E92+Gyermekétk.!E92+Családvéd.!E92+Gyermekvéd.!E92+Családtám.!E92+'Egyéb szoc.'!E92+'Közösségi Ház'!E92</f>
        <v>0</v>
      </c>
      <c r="F95" s="15">
        <f>Igazg.!F94+Adók!F93+Temető!F92+Önk.vagyon!F92+Múzeum!F92+Rendezvények!F92+Közter.rend.!F92+Közf.!F92+Közutak!F93+Közvil.!F92+Zöldter.!F92+'Város-község'!F92+Háziorvos!F92+Védőnő!F92+Sport!F92+Könyvtár!F92+'Művelődési H.'!F92+'Isk.1-4.'!F92+'Isk.5-8.'!F92+Gyermekétk.!F92+Családvéd.!F92+Gyermekvéd.!F92+Családtám.!F92+'Egyéb szoc.'!F92+'Közösségi Ház'!F92</f>
        <v>2995000</v>
      </c>
      <c r="G95" s="15">
        <f>Igazg.!G94+Adók!G93+Temető!G92+Önk.vagyon!G92+Múzeum!G92+Rendezvények!G92+Közter.rend.!G92+Közf.!G92+Közutak!G93+Közvil.!G92+Zöldter.!G92+'Város-község'!G92+Háziorvos!G92+Védőnő!G92+Sport!G92+Könyvtár!G92+'Művelődési H.'!G92+'Isk.1-4.'!G92+'Isk.5-8.'!G92+Gyermekétk.!G92+Családvéd.!G92+Gyermekvéd.!G92+Családtám.!G92+'Egyéb szoc.'!G92+'Közösségi Ház'!G92</f>
        <v>180373</v>
      </c>
      <c r="H95" s="124">
        <f t="shared" si="1"/>
        <v>6.0224707846410687E-2</v>
      </c>
      <c r="L95" s="4">
        <v>1011545</v>
      </c>
    </row>
    <row r="96" spans="1:12">
      <c r="A96" s="13" t="s">
        <v>81</v>
      </c>
      <c r="B96" s="14" t="s">
        <v>82</v>
      </c>
      <c r="C96" s="15">
        <f>Igazg.!C95+Adók!C94+Temető!C93+Önk.vagyon!C93+Múzeum!C93+Rendezvények!C93+Közter.rend.!C93+Közf.!C93+Közutak!C94+Közvil.!C93+Zöldter.!C93+'Város-község'!C93+Háziorvos!C93+Védőnő!C93+Sport!C93+Könyvtár!C93+'Művelődési H.'!C93+'Isk.1-4.'!C93+'Isk.5-8.'!C93+Gyermekétk.!C93+Családvéd.!C93+Gyermekvéd.!C93+Családtám.!C93+'Egyéb szoc.'!C93+'Közösségi Ház'!C93</f>
        <v>2050590</v>
      </c>
      <c r="D96" s="15">
        <f>Igazg.!D95+Adók!D94+Temető!D93+Önk.vagyon!D93+Múzeum!D93+Rendezvények!D93+Közter.rend.!D93+Közf.!D93+Közutak!D94+Közvil.!D93+Zöldter.!D93+'Város-község'!D93+Háziorvos!D93+Védőnő!D93+Sport!D93+Könyvtár!D93+'Művelődési H.'!D93+'Isk.1-4.'!D93+'Isk.5-8.'!D93+Gyermekétk.!D93+Családvéd.!D93+Gyermekvéd.!D93+Családtám.!D93+'Egyéb szoc.'!D93+'Közösségi Ház'!D93</f>
        <v>2965000</v>
      </c>
      <c r="E96" s="15">
        <f>Igazg.!E95+Adók!E94+Temető!E93+Önk.vagyon!E93+Múzeum!E93+Rendezvények!E93+Közter.rend.!E93+Közf.!E93+Közutak!E94+Közvil.!E93+Zöldter.!E93+'Város-község'!E93+Háziorvos!E93+Védőnő!E93+Sport!E93+Könyvtár!E93+'Művelődési H.'!E93+'Isk.1-4.'!E93+'Isk.5-8.'!E93+Gyermekétk.!E93+Családvéd.!E93+Gyermekvéd.!E93+Családtám.!E93+'Egyéb szoc.'!E93+'Közösségi Ház'!E93</f>
        <v>0</v>
      </c>
      <c r="F96" s="15">
        <f>Igazg.!F95+Adók!F94+Temető!F93+Önk.vagyon!F93+Múzeum!F93+Rendezvények!F93+Közter.rend.!F93+Közf.!F93+Közutak!F94+Közvil.!F93+Zöldter.!F93+'Város-község'!F93+Háziorvos!F93+Védőnő!F93+Sport!F93+Könyvtár!F93+'Művelődési H.'!F93+'Isk.1-4.'!F93+'Isk.5-8.'!F93+Gyermekétk.!F93+Családvéd.!F93+Gyermekvéd.!F93+Családtám.!F93+'Egyéb szoc.'!F93+'Közösségi Ház'!F93</f>
        <v>2965000</v>
      </c>
      <c r="G96" s="15">
        <f>Igazg.!G95+Adók!G94+Temető!G93+Önk.vagyon!G93+Múzeum!G93+Rendezvények!G93+Közter.rend.!G93+Közf.!G93+Közutak!G94+Közvil.!G93+Zöldter.!G93+'Város-község'!G93+Háziorvos!G93+Védőnő!G93+Sport!G93+Könyvtár!G93+'Művelődési H.'!G93+'Isk.1-4.'!G93+'Isk.5-8.'!G93+Gyermekétk.!G93+Családvéd.!G93+Gyermekvéd.!G93+Családtám.!G93+'Egyéb szoc.'!G93+'Közösségi Ház'!G93</f>
        <v>1113410</v>
      </c>
      <c r="H96" s="124">
        <f t="shared" si="1"/>
        <v>0.3755177065767285</v>
      </c>
      <c r="L96" s="4">
        <v>2050590</v>
      </c>
    </row>
    <row r="97" spans="1:12">
      <c r="A97" s="13" t="s">
        <v>83</v>
      </c>
      <c r="B97" s="14" t="s">
        <v>84</v>
      </c>
      <c r="C97" s="15">
        <f>Igazg.!C96+Adók!C95+Temető!C94+Önk.vagyon!C94+Múzeum!C94+Rendezvények!C94+Közter.rend.!C94+Közf.!C94+Közutak!C95+Közvil.!C94+Zöldter.!C94+'Város-község'!C94+Háziorvos!C94+Védőnő!C94+Sport!C94+Könyvtár!C94+'Művelődési H.'!C94+'Isk.1-4.'!C94+'Isk.5-8.'!C94+Gyermekétk.!C94+Családvéd.!C94+Gyermekvéd.!C94+Családtám.!C94+'Egyéb szoc.'!C94+'Közösségi Ház'!C94</f>
        <v>1071205</v>
      </c>
      <c r="D97" s="15">
        <f>Igazg.!D96+Adók!D95+Temető!D94+Önk.vagyon!D94+Múzeum!D94+Rendezvények!D94+Közter.rend.!D94+Közf.!D94+Közutak!D95+Közvil.!D94+Zöldter.!D94+'Város-község'!D94+Háziorvos!D94+Védőnő!D94+Sport!D94+Könyvtár!D94+'Művelődési H.'!D94+'Isk.1-4.'!D94+'Isk.5-8.'!D94+Gyermekétk.!D94+Családvéd.!D94+Gyermekvéd.!D94+Családtám.!D94+'Egyéb szoc.'!D94+'Közösségi Ház'!D94</f>
        <v>1200000</v>
      </c>
      <c r="E97" s="15">
        <f>Igazg.!E96+Adók!E95+Temető!E94+Önk.vagyon!E94+Múzeum!E94+Rendezvények!E94+Közter.rend.!E94+Közf.!E94+Közutak!E95+Közvil.!E94+Zöldter.!E94+'Város-község'!E94+Háziorvos!E94+Védőnő!E94+Sport!E94+Könyvtár!E94+'Művelődési H.'!E94+'Isk.1-4.'!E94+'Isk.5-8.'!E94+Gyermekétk.!E94+Családvéd.!E94+Gyermekvéd.!E94+Családtám.!E94+'Egyéb szoc.'!E94+'Közösségi Ház'!E94</f>
        <v>0</v>
      </c>
      <c r="F97" s="15">
        <f>Igazg.!F96+Adók!F95+Temető!F94+Önk.vagyon!F94+Múzeum!F94+Rendezvények!F94+Közter.rend.!F94+Közf.!F94+Közutak!F95+Közvil.!F94+Zöldter.!F94+'Város-község'!F94+Háziorvos!F94+Védőnő!F94+Sport!F94+Könyvtár!F94+'Művelődési H.'!F94+'Isk.1-4.'!F94+'Isk.5-8.'!F94+Gyermekétk.!F94+Családvéd.!F94+Gyermekvéd.!F94+Családtám.!F94+'Egyéb szoc.'!F94+'Közösségi Ház'!F94</f>
        <v>1200000</v>
      </c>
      <c r="G97" s="15">
        <f>Igazg.!G96+Adók!G95+Temető!G94+Önk.vagyon!G94+Múzeum!G94+Rendezvények!G94+Közter.rend.!G94+Közf.!G94+Közutak!G95+Közvil.!G94+Zöldter.!G94+'Város-község'!G94+Háziorvos!G94+Védőnő!G94+Sport!G94+Könyvtár!G94+'Művelődési H.'!G94+'Isk.1-4.'!G94+'Isk.5-8.'!G94+Gyermekétk.!G94+Családvéd.!G94+Gyermekvéd.!G94+Családtám.!G94+'Egyéb szoc.'!G94+'Közösségi Ház'!G94</f>
        <v>0</v>
      </c>
      <c r="H97" s="124">
        <f t="shared" si="1"/>
        <v>0</v>
      </c>
      <c r="L97" s="4">
        <v>1071205</v>
      </c>
    </row>
    <row r="98" spans="1:12" ht="25.5">
      <c r="A98" s="13" t="s">
        <v>85</v>
      </c>
      <c r="B98" s="14" t="s">
        <v>86</v>
      </c>
      <c r="C98" s="15">
        <f>Igazg.!C97+Adók!C96+Temető!C95+Önk.vagyon!C95+Múzeum!C95+Rendezvények!C95+Közter.rend.!C95+Közf.!C95+Közutak!C96+Közvil.!C95+Zöldter.!C95+'Város-község'!C95+Háziorvos!C95+Védőnő!C95+Sport!C95+Könyvtár!C95+'Művelődési H.'!C95+'Isk.1-4.'!C95+'Isk.5-8.'!C95+Gyermekétk.!C95+Családvéd.!C95+Gyermekvéd.!C95+Családtám.!C95+'Egyéb szoc.'!C95+'Közösségi Ház'!C95</f>
        <v>4511000</v>
      </c>
      <c r="D98" s="15">
        <f>Igazg.!D97+Adók!D96+Temető!D95+Önk.vagyon!D95+Múzeum!D95+Rendezvények!D95+Közter.rend.!D95+Közf.!D95+Közutak!D96+Közvil.!D95+Zöldter.!D95+'Város-község'!D95+Háziorvos!D95+Védőnő!D95+Sport!D95+Könyvtár!D95+'Művelődési H.'!D95+'Isk.1-4.'!D95+'Isk.5-8.'!D95+Gyermekétk.!D95+Családvéd.!D95+Gyermekvéd.!D95+Családtám.!D95+'Egyéb szoc.'!D95+'Közösségi Ház'!D95</f>
        <v>4550000</v>
      </c>
      <c r="E98" s="15">
        <f>Igazg.!E97+Adók!E96+Temető!E95+Önk.vagyon!E95+Múzeum!E95+Rendezvények!E95+Közter.rend.!E95+Közf.!E95+Közutak!E96+Közvil.!E95+Zöldter.!E95+'Város-község'!E95+Háziorvos!E95+Védőnő!E95+Sport!E95+Könyvtár!E95+'Művelődési H.'!E95+'Isk.1-4.'!E95+'Isk.5-8.'!E95+Gyermekétk.!E95+Családvéd.!E95+Gyermekvéd.!E95+Családtám.!E95+'Egyéb szoc.'!E95+'Közösségi Ház'!E95</f>
        <v>37946630</v>
      </c>
      <c r="F98" s="15">
        <f>Igazg.!F97+Adók!F96+Temető!F95+Önk.vagyon!F95+Múzeum!F95+Rendezvények!F95+Közter.rend.!F95+Közf.!F95+Közutak!F96+Közvil.!F95+Zöldter.!F95+'Város-község'!F95+Háziorvos!F95+Védőnő!F95+Sport!F95+Könyvtár!F95+'Művelődési H.'!F95+'Isk.1-4.'!F95+'Isk.5-8.'!F95+Gyermekétk.!F95+Családvéd.!F95+Gyermekvéd.!F95+Családtám.!F95+'Egyéb szoc.'!F95+'Közösségi Ház'!F95</f>
        <v>42496630</v>
      </c>
      <c r="G98" s="15">
        <f>Igazg.!G97+Adók!G96+Temető!G95+Önk.vagyon!G95+Múzeum!G95+Rendezvények!G95+Közter.rend.!G95+Közf.!G95+Közutak!G96+Közvil.!G95+Zöldter.!G95+'Város-község'!G95+Háziorvos!G95+Védőnő!G95+Sport!G95+Könyvtár!G95+'Művelődési H.'!G95+'Isk.1-4.'!G95+'Isk.5-8.'!G95+Gyermekétk.!G95+Családvéd.!G95+Gyermekvéd.!G95+Családtám.!G95+'Egyéb szoc.'!G95+'Közösségi Ház'!G95</f>
        <v>3641958</v>
      </c>
      <c r="H98" s="124">
        <f t="shared" si="1"/>
        <v>8.5699924911692996E-2</v>
      </c>
      <c r="L98" s="4">
        <v>4511000</v>
      </c>
    </row>
    <row r="99" spans="1:12">
      <c r="A99" s="13" t="s">
        <v>87</v>
      </c>
      <c r="B99" s="14" t="s">
        <v>88</v>
      </c>
      <c r="C99" s="15">
        <f>Igazg.!C98+Adók!C97+Temető!C96+Önk.vagyon!C96+Múzeum!C96+Rendezvények!C96+Közter.rend.!C96+Közf.!C96+Közutak!C97+Közvil.!C96+Zöldter.!C96+'Város-község'!C96+Háziorvos!C96+Védőnő!C96+Sport!C96+Könyvtár!C96+'Művelődési H.'!C96+'Isk.1-4.'!C96+'Isk.5-8.'!C96+Gyermekétk.!C96+Családvéd.!C96+Gyermekvéd.!C96+Családtám.!C96+'Egyéb szoc.'!C96+'Közösségi Ház'!C96</f>
        <v>11448848</v>
      </c>
      <c r="D99" s="15">
        <f>Igazg.!D98+Adók!D97+Temető!D96+Önk.vagyon!D96+Múzeum!D96+Rendezvények!D96+Közter.rend.!D96+Közf.!D96+Közutak!D97+Közvil.!D96+Zöldter.!D96+'Város-község'!D96+Háziorvos!D96+Védőnő!D96+Sport!D96+Könyvtár!D96+'Művelődési H.'!D96+'Isk.1-4.'!D96+'Isk.5-8.'!D96+Gyermekétk.!D96+Családvéd.!D96+Gyermekvéd.!D96+Családtám.!D96+'Egyéb szoc.'!D96+'Közösségi Ház'!D96</f>
        <v>9062000</v>
      </c>
      <c r="E99" s="15">
        <f>Igazg.!E98+Adók!E97+Temető!E96+Önk.vagyon!E96+Múzeum!E96+Rendezvények!E96+Közter.rend.!E96+Közf.!E96+Közutak!E97+Közvil.!E96+Zöldter.!E96+'Város-község'!E96+Háziorvos!E96+Védőnő!E96+Sport!E96+Könyvtár!E96+'Művelődési H.'!E96+'Isk.1-4.'!E96+'Isk.5-8.'!E96+Gyermekétk.!E96+Családvéd.!E96+Gyermekvéd.!E96+Családtám.!E96+'Egyéb szoc.'!E96+'Közösségi Ház'!E96</f>
        <v>-2078270</v>
      </c>
      <c r="F99" s="15">
        <f>Igazg.!F98+Adók!F97+Temető!F96+Önk.vagyon!F96+Múzeum!F96+Rendezvények!F96+Közter.rend.!F96+Közf.!F96+Közutak!F97+Közvil.!F96+Zöldter.!F96+'Város-község'!F96+Háziorvos!F96+Védőnő!F96+Sport!F96+Könyvtár!F96+'Művelődési H.'!F96+'Isk.1-4.'!F96+'Isk.5-8.'!F96+Gyermekétk.!F96+Családvéd.!F96+Gyermekvéd.!F96+Családtám.!F96+'Egyéb szoc.'!F96+'Közösségi Ház'!F96</f>
        <v>6983730</v>
      </c>
      <c r="G99" s="15">
        <f>Igazg.!G98+Adók!G97+Temető!G96+Önk.vagyon!G96+Múzeum!G96+Rendezvények!G96+Közter.rend.!G96+Közf.!G96+Közutak!G97+Közvil.!G96+Zöldter.!G96+'Város-község'!G96+Háziorvos!G96+Védőnő!G96+Sport!G96+Könyvtár!G96+'Művelődési H.'!G96+'Isk.1-4.'!G96+'Isk.5-8.'!G96+Gyermekétk.!G96+Családvéd.!G96+Gyermekvéd.!G96+Családtám.!G96+'Egyéb szoc.'!G96+'Közösségi Ház'!G96</f>
        <v>3447735</v>
      </c>
      <c r="H99" s="124">
        <f t="shared" si="1"/>
        <v>0.49368102718747719</v>
      </c>
      <c r="L99" s="4">
        <v>11448848</v>
      </c>
    </row>
    <row r="100" spans="1:12">
      <c r="A100" s="13" t="s">
        <v>89</v>
      </c>
      <c r="B100" s="14" t="s">
        <v>90</v>
      </c>
      <c r="C100" s="15">
        <f>Igazg.!C99+Adók!C98+Temető!C97+Önk.vagyon!C97+Múzeum!C97+Rendezvények!C97+Közter.rend.!C97+Közf.!C97+Közutak!C98+Közvil.!C97+Zöldter.!C97+'Város-község'!C97+Háziorvos!C97+Védőnő!C97+Sport!C97+Könyvtár!C97+'Művelődési H.'!C97+'Isk.1-4.'!C97+'Isk.5-8.'!C97+Gyermekétk.!C97+Családvéd.!C97+Gyermekvéd.!C97+Családtám.!C97+'Egyéb szoc.'!C97+'Közösségi Ház'!C97</f>
        <v>831428</v>
      </c>
      <c r="D100" s="15">
        <f>Igazg.!D99+Adók!D98+Temető!D97+Önk.vagyon!D97+Múzeum!D97+Rendezvények!D97+Közter.rend.!D97+Közf.!D97+Közutak!D98+Közvil.!D97+Zöldter.!D97+'Város-község'!D97+Háziorvos!D97+Védőnő!D97+Sport!D97+Könyvtár!D97+'Művelődési H.'!D97+'Isk.1-4.'!D97+'Isk.5-8.'!D97+Gyermekétk.!D97+Családvéd.!D97+Gyermekvéd.!D97+Családtám.!D97+'Egyéb szoc.'!D97+'Közösségi Ház'!D97</f>
        <v>250000</v>
      </c>
      <c r="E100" s="15">
        <f>Igazg.!E99+Adók!E98+Temető!E97+Önk.vagyon!E97+Múzeum!E97+Rendezvények!E97+Közter.rend.!E97+Közf.!E97+Közutak!E98+Közvil.!E97+Zöldter.!E97+'Város-község'!E97+Háziorvos!E97+Védőnő!E97+Sport!E97+Könyvtár!E97+'Művelődési H.'!E97+'Isk.1-4.'!E97+'Isk.5-8.'!E97+Gyermekétk.!E97+Családvéd.!E97+Gyermekvéd.!E97+Családtám.!E97+'Egyéb szoc.'!E97+'Közösségi Ház'!E97</f>
        <v>0</v>
      </c>
      <c r="F100" s="15">
        <f>Igazg.!F99+Adók!F98+Temető!F97+Önk.vagyon!F97+Múzeum!F97+Rendezvények!F97+Közter.rend.!F97+Közf.!F97+Közutak!F98+Közvil.!F97+Zöldter.!F97+'Város-község'!F97+Háziorvos!F97+Védőnő!F97+Sport!F97+Könyvtár!F97+'Művelődési H.'!F97+'Isk.1-4.'!F97+'Isk.5-8.'!F97+Gyermekétk.!F97+Családvéd.!F97+Gyermekvéd.!F97+Családtám.!F97+'Egyéb szoc.'!F97+'Közösségi Ház'!F97</f>
        <v>250000</v>
      </c>
      <c r="G100" s="15">
        <f>Igazg.!G99+Adók!G98+Temető!G97+Önk.vagyon!G97+Múzeum!G97+Rendezvények!G97+Közter.rend.!G97+Közf.!G97+Közutak!G98+Közvil.!G97+Zöldter.!G97+'Város-község'!G97+Háziorvos!G97+Védőnő!G97+Sport!G97+Könyvtár!G97+'Művelődési H.'!G97+'Isk.1-4.'!G97+'Isk.5-8.'!G97+Gyermekétk.!G97+Családvéd.!G97+Gyermekvéd.!G97+Családtám.!G97+'Egyéb szoc.'!G97+'Közösségi Ház'!G97</f>
        <v>0</v>
      </c>
      <c r="H100" s="124">
        <f t="shared" si="1"/>
        <v>0</v>
      </c>
      <c r="L100" s="4">
        <v>857363</v>
      </c>
    </row>
    <row r="101" spans="1:12" ht="25.5">
      <c r="A101" s="13" t="s">
        <v>91</v>
      </c>
      <c r="B101" s="14" t="s">
        <v>92</v>
      </c>
      <c r="C101" s="15">
        <f>Igazg.!C100+Adók!C99+Temető!C98+Önk.vagyon!C98+Múzeum!C98+Rendezvények!C98+Közter.rend.!C98+Közf.!C98+Közutak!C99+Közvil.!C98+Zöldter.!C98+'Város-község'!C98+Háziorvos!C98+Védőnő!C98+Sport!C98+Könyvtár!C98+'Művelődési H.'!C98+'Isk.1-4.'!C98+'Isk.5-8.'!C98+Gyermekétk.!C98+Családvéd.!C98+Gyermekvéd.!C98+Családtám.!C98+'Egyéb szoc.'!C98+'Közösségi Ház'!C98</f>
        <v>42193346</v>
      </c>
      <c r="D101" s="15">
        <f>Igazg.!D100+Adók!D99+Temető!D98+Önk.vagyon!D98+Múzeum!D98+Rendezvények!D98+Közter.rend.!D98+Közf.!D98+Közutak!D99+Közvil.!D98+Zöldter.!D98+'Város-község'!D98+Háziorvos!D98+Védőnő!D98+Sport!D98+Könyvtár!D98+'Művelődési H.'!D98+'Isk.1-4.'!D98+'Isk.5-8.'!D98+Gyermekétk.!D98+Családvéd.!D98+Gyermekvéd.!D98+Családtám.!D98+'Egyéb szoc.'!D98+'Közösségi Ház'!D98</f>
        <v>41024000</v>
      </c>
      <c r="E101" s="15">
        <f>Igazg.!E100+Adók!E99+Temető!E98+Önk.vagyon!E98+Múzeum!E98+Rendezvények!E98+Közter.rend.!E98+Közf.!E98+Közutak!E99+Közvil.!E98+Zöldter.!E98+'Város-község'!E98+Háziorvos!E98+Védőnő!E98+Sport!E98+Könyvtár!E98+'Művelődési H.'!E98+'Isk.1-4.'!E98+'Isk.5-8.'!E98+Gyermekétk.!E98+Családvéd.!E98+Gyermekvéd.!E98+Családtám.!E98+'Egyéb szoc.'!E98+'Közösségi Ház'!E98</f>
        <v>35868360</v>
      </c>
      <c r="F101" s="15">
        <f>Igazg.!F100+Adók!F99+Temető!F98+Önk.vagyon!F98+Múzeum!F98+Rendezvények!F98+Közter.rend.!F98+Közf.!F98+Közutak!F99+Közvil.!F98+Zöldter.!F98+'Város-község'!F98+Háziorvos!F98+Védőnő!F98+Sport!F98+Könyvtár!F98+'Művelődési H.'!F98+'Isk.1-4.'!F98+'Isk.5-8.'!F98+Gyermekétk.!F98+Családvéd.!F98+Gyermekvéd.!F98+Családtám.!F98+'Egyéb szoc.'!F98+'Közösségi Ház'!F98</f>
        <v>76892360</v>
      </c>
      <c r="G101" s="15">
        <f>Igazg.!G100+Adók!G99+Temető!G98+Önk.vagyon!G98+Múzeum!G98+Rendezvények!G98+Közter.rend.!G98+Közf.!G98+Közutak!G99+Közvil.!G98+Zöldter.!G98+'Város-község'!G98+Háziorvos!G98+Védőnő!G98+Sport!G98+Könyvtár!G98+'Művelődési H.'!G98+'Isk.1-4.'!G98+'Isk.5-8.'!G98+Gyermekétk.!G98+Családvéd.!G98+Gyermekvéd.!G98+Családtám.!G98+'Egyéb szoc.'!G98+'Közösségi Ház'!G98</f>
        <v>21577610</v>
      </c>
      <c r="H101" s="124">
        <f t="shared" si="1"/>
        <v>0.28062098757275755</v>
      </c>
      <c r="L101" s="4">
        <v>42193346</v>
      </c>
    </row>
    <row r="102" spans="1:12">
      <c r="A102" s="13" t="s">
        <v>280</v>
      </c>
      <c r="B102" s="14" t="s">
        <v>281</v>
      </c>
      <c r="C102" s="15">
        <f>Igazg.!C101+Adók!C100+Temető!C99+Önk.vagyon!C99+Múzeum!C99+Rendezvények!C99+Közter.rend.!C99+Közf.!C99+Közutak!C100+Közvil.!C99+Zöldter.!C99+'Város-község'!C99+Háziorvos!C99+Védőnő!C99+Sport!C99+Könyvtár!C99+'Művelődési H.'!C99+'Isk.1-4.'!C99+'Isk.5-8.'!C99+Gyermekétk.!C99+Családvéd.!C99+Gyermekvéd.!C99+Családtám.!C99+'Egyéb szoc.'!C99+'Közösségi Ház'!C99</f>
        <v>0</v>
      </c>
      <c r="D102" s="15">
        <f>Igazg.!D101+Adók!D100+Temető!D99+Önk.vagyon!D99+Múzeum!D99+Rendezvények!D99+Közter.rend.!D99+Közf.!D99+Közutak!D100+Közvil.!D99+Zöldter.!D99+'Város-község'!D99+Háziorvos!D99+Védőnő!D99+Sport!D99+Könyvtár!D99+'Művelődési H.'!D99+'Isk.1-4.'!D99+'Isk.5-8.'!D99+Gyermekétk.!D99+Családvéd.!D99+Gyermekvéd.!D99+Családtám.!D99+'Egyéb szoc.'!D99+'Közösségi Ház'!D99</f>
        <v>4000</v>
      </c>
      <c r="E102" s="15">
        <f>Igazg.!E101+Adók!E100+Temető!E99+Önk.vagyon!E99+Múzeum!E99+Rendezvények!E99+Közter.rend.!E99+Közf.!E99+Közutak!E100+Közvil.!E99+Zöldter.!E99+'Város-község'!E99+Háziorvos!E99+Védőnő!E99+Sport!E99+Könyvtár!E99+'Művelődési H.'!E99+'Isk.1-4.'!E99+'Isk.5-8.'!E99+Gyermekétk.!E99+Családvéd.!E99+Gyermekvéd.!E99+Családtám.!E99+'Egyéb szoc.'!E99+'Közösségi Ház'!E99</f>
        <v>0</v>
      </c>
      <c r="F102" s="15">
        <f>Igazg.!F101+Adók!F100+Temető!F99+Önk.vagyon!F99+Múzeum!F99+Rendezvények!F99+Közter.rend.!F99+Közf.!F99+Közutak!F100+Közvil.!F99+Zöldter.!F99+'Város-község'!F99+Háziorvos!F99+Védőnő!F99+Sport!F99+Könyvtár!F99+'Művelődési H.'!F99+'Isk.1-4.'!F99+'Isk.5-8.'!F99+Gyermekétk.!F99+Családvéd.!F99+Gyermekvéd.!F99+Családtám.!F99+'Egyéb szoc.'!F99+'Közösségi Ház'!F99</f>
        <v>4000</v>
      </c>
      <c r="G102" s="15">
        <f>Igazg.!G101+Adók!G100+Temető!G99+Önk.vagyon!G99+Múzeum!G99+Rendezvények!G99+Közter.rend.!G99+Közf.!G99+Közutak!G100+Közvil.!G99+Zöldter.!G99+'Város-község'!G99+Háziorvos!G99+Védőnő!G99+Sport!G99+Könyvtár!G99+'Művelődési H.'!G99+'Isk.1-4.'!G99+'Isk.5-8.'!G99+Gyermekétk.!G99+Családvéd.!G99+Gyermekvéd.!G99+Családtám.!G99+'Egyéb szoc.'!G99+'Közösségi Ház'!G99</f>
        <v>1550</v>
      </c>
      <c r="H102" s="124"/>
      <c r="L102" s="4"/>
    </row>
    <row r="103" spans="1:12">
      <c r="A103" s="13" t="s">
        <v>93</v>
      </c>
      <c r="B103" s="14" t="s">
        <v>94</v>
      </c>
      <c r="C103" s="15">
        <f>Igazg.!C102+Adók!C101+Temető!C100+Önk.vagyon!C100+Múzeum!C100+Rendezvények!C100+Közter.rend.!C100+Közf.!C100+Közutak!C101+Közvil.!C100+Zöldter.!C100+'Város-község'!C100+Háziorvos!C100+Védőnő!C100+Sport!C100+Könyvtár!C100+'Művelődési H.'!C100+'Isk.1-4.'!C100+'Isk.5-8.'!C100+Gyermekétk.!C100+Családvéd.!C100+Gyermekvéd.!C100+Családtám.!C100+'Egyéb szoc.'!C100+'Közösségi Ház'!C100</f>
        <v>665071</v>
      </c>
      <c r="D103" s="15">
        <f>Igazg.!D102+Adók!D101+Temető!D100+Önk.vagyon!D100+Múzeum!D100+Rendezvények!D100+Közter.rend.!D100+Közf.!D100+Közutak!D101+Közvil.!D100+Zöldter.!D100+'Város-község'!D100+Háziorvos!D100+Védőnő!D100+Sport!D100+Könyvtár!D100+'Művelődési H.'!D100+'Isk.1-4.'!D100+'Isk.5-8.'!D100+Gyermekétk.!D100+Családvéd.!D100+Gyermekvéd.!D100+Családtám.!D100+'Egyéb szoc.'!D100+'Közösségi Ház'!D100</f>
        <v>20000</v>
      </c>
      <c r="E103" s="15">
        <f>Igazg.!E102+Adók!E101+Temető!E100+Önk.vagyon!E100+Múzeum!E100+Rendezvények!E100+Közter.rend.!E100+Közf.!E100+Közutak!E101+Közvil.!E100+Zöldter.!E100+'Város-község'!E100+Háziorvos!E100+Védőnő!E100+Sport!E100+Könyvtár!E100+'Művelődési H.'!E100+'Isk.1-4.'!E100+'Isk.5-8.'!E100+Gyermekétk.!E100+Családvéd.!E100+Gyermekvéd.!E100+Családtám.!E100+'Egyéb szoc.'!E100+'Közösségi Ház'!E100</f>
        <v>288803</v>
      </c>
      <c r="F103" s="15">
        <f>Igazg.!F102+Adók!F101+Temető!F100+Önk.vagyon!F100+Múzeum!F100+Rendezvények!F100+Közter.rend.!F100+Közf.!F100+Közutak!F101+Közvil.!F100+Zöldter.!F100+'Város-község'!F100+Háziorvos!F100+Védőnő!F100+Sport!F100+Könyvtár!F100+'Művelődési H.'!F100+'Isk.1-4.'!F100+'Isk.5-8.'!F100+Gyermekétk.!F100+Családvéd.!F100+Gyermekvéd.!F100+Családtám.!F100+'Egyéb szoc.'!F100+'Közösségi Ház'!F100</f>
        <v>308803</v>
      </c>
      <c r="G103" s="15">
        <f>Igazg.!G102+Adók!G101+Temető!G100+Önk.vagyon!G100+Múzeum!G100+Rendezvények!G100+Közter.rend.!G100+Közf.!G100+Közutak!G101+Közvil.!G100+Zöldter.!G100+'Város-község'!G100+Háziorvos!G100+Védőnő!G100+Sport!G100+Könyvtár!G100+'Művelődési H.'!G100+'Isk.1-4.'!G100+'Isk.5-8.'!G100+Gyermekétk.!G100+Családvéd.!G100+Gyermekvéd.!G100+Családtám.!G100+'Egyéb szoc.'!G100+'Közösségi Ház'!G100</f>
        <v>198803</v>
      </c>
      <c r="H103" s="124">
        <f t="shared" si="1"/>
        <v>0.6437858440494425</v>
      </c>
      <c r="L103" s="4">
        <v>665071</v>
      </c>
    </row>
    <row r="104" spans="1:12" ht="25.5">
      <c r="A104" s="13" t="s">
        <v>95</v>
      </c>
      <c r="B104" s="14" t="s">
        <v>96</v>
      </c>
      <c r="C104" s="15">
        <f>Igazg.!C103+Adók!C102+Temető!C101+Önk.vagyon!C101+Múzeum!C101+Rendezvények!C101+Közter.rend.!C101+Közf.!C101+Közutak!C102+Közvil.!C101+Zöldter.!C101+'Város-község'!C101+Háziorvos!C101+Védőnő!C101+Sport!C101+Könyvtár!C101+'Művelődési H.'!C101+'Isk.1-4.'!C101+'Isk.5-8.'!C101+Gyermekétk.!C101+Családvéd.!C101+Gyermekvéd.!C101+Családtám.!C101+'Egyéb szoc.'!C101+'Közösségi Ház'!C101</f>
        <v>665071</v>
      </c>
      <c r="D104" s="15">
        <f>Igazg.!D103+Adók!D102+Temető!D101+Önk.vagyon!D101+Múzeum!D101+Rendezvények!D101+Közter.rend.!D101+Közf.!D101+Közutak!D102+Közvil.!D101+Zöldter.!D101+'Város-község'!D101+Háziorvos!D101+Védőnő!D101+Sport!D101+Könyvtár!D101+'Művelődési H.'!D101+'Isk.1-4.'!D101+'Isk.5-8.'!D101+Gyermekétk.!D101+Családvéd.!D101+Gyermekvéd.!D101+Családtám.!D101+'Egyéb szoc.'!D101+'Közösségi Ház'!D101</f>
        <v>24000</v>
      </c>
      <c r="E104" s="15">
        <f>Igazg.!E103+Adók!E102+Temető!E101+Önk.vagyon!E101+Múzeum!E101+Rendezvények!E101+Közter.rend.!E101+Közf.!E101+Közutak!E102+Közvil.!E101+Zöldter.!E101+'Város-község'!E101+Háziorvos!E101+Védőnő!E101+Sport!E101+Könyvtár!E101+'Művelődési H.'!E101+'Isk.1-4.'!E101+'Isk.5-8.'!E101+Gyermekétk.!E101+Családvéd.!E101+Gyermekvéd.!E101+Családtám.!E101+'Egyéb szoc.'!E101+'Közösségi Ház'!E101</f>
        <v>288803</v>
      </c>
      <c r="F104" s="15">
        <f>Igazg.!F103+Adók!F102+Temető!F101+Önk.vagyon!F101+Múzeum!F101+Rendezvények!F101+Közter.rend.!F101+Közf.!F101+Közutak!F102+Közvil.!F101+Zöldter.!F101+'Város-község'!F101+Háziorvos!F101+Védőnő!F101+Sport!F101+Könyvtár!F101+'Művelődési H.'!F101+'Isk.1-4.'!F101+'Isk.5-8.'!F101+Gyermekétk.!F101+Családvéd.!F101+Gyermekvéd.!F101+Családtám.!F101+'Egyéb szoc.'!F101+'Közösségi Ház'!F101</f>
        <v>312803</v>
      </c>
      <c r="G104" s="15">
        <f>Igazg.!G103+Adók!G102+Temető!G101+Önk.vagyon!G101+Múzeum!G101+Rendezvények!G101+Közter.rend.!G101+Közf.!G101+Közutak!G102+Közvil.!G101+Zöldter.!G101+'Város-község'!G101+Háziorvos!G101+Védőnő!G101+Sport!G101+Könyvtár!G101+'Művelődési H.'!G101+'Isk.1-4.'!G101+'Isk.5-8.'!G101+Gyermekétk.!G101+Családvéd.!G101+Gyermekvéd.!G101+Családtám.!G101+'Egyéb szoc.'!G101+'Közösségi Ház'!G101</f>
        <v>200353</v>
      </c>
      <c r="H104" s="124">
        <f t="shared" si="1"/>
        <v>0.64050856289741465</v>
      </c>
      <c r="L104" s="4">
        <v>665071</v>
      </c>
    </row>
    <row r="105" spans="1:12" ht="25.5">
      <c r="A105" s="13" t="s">
        <v>97</v>
      </c>
      <c r="B105" s="14" t="s">
        <v>98</v>
      </c>
      <c r="C105" s="15">
        <f>Igazg.!C104+Adók!C103+Temető!C102+Önk.vagyon!C102+Múzeum!C102+Rendezvények!C102+Közter.rend.!C102+Közf.!C102+Közutak!C103+Közvil.!C102+Zöldter.!C102+'Város-község'!C102+Háziorvos!C102+Védőnő!C102+Sport!C102+Könyvtár!C102+'Művelődési H.'!C102+'Isk.1-4.'!C102+'Isk.5-8.'!C102+Gyermekétk.!C102+Családvéd.!C102+Gyermekvéd.!C102+Családtám.!C102+'Egyéb szoc.'!C102+'Közösségi Ház'!C102</f>
        <v>13780719</v>
      </c>
      <c r="D105" s="15">
        <f>Igazg.!D104+Adók!D103+Temető!D102+Önk.vagyon!D102+Múzeum!D102+Rendezvények!D102+Közter.rend.!D102+Közf.!D102+Közutak!D103+Közvil.!D102+Zöldter.!D102+'Város-község'!D102+Háziorvos!D102+Védőnő!D102+Sport!D102+Könyvtár!D102+'Művelődési H.'!D102+'Isk.1-4.'!D102+'Isk.5-8.'!D102+Gyermekétk.!D102+Családvéd.!D102+Gyermekvéd.!D102+Családtám.!D102+'Egyéb szoc.'!D102+'Közösségi Ház'!D102</f>
        <v>13659000</v>
      </c>
      <c r="E105" s="15">
        <f>Igazg.!E104+Adók!E103+Temető!E102+Önk.vagyon!E102+Múzeum!E102+Rendezvények!E102+Közter.rend.!E102+Közf.!E102+Közutak!E103+Közvil.!E102+Zöldter.!E102+'Város-község'!E102+Háziorvos!E102+Védőnő!E102+Sport!E102+Könyvtár!E102+'Művelődési H.'!E102+'Isk.1-4.'!E102+'Isk.5-8.'!E102+Gyermekétk.!E102+Családvéd.!E102+Gyermekvéd.!E102+Családtám.!E102+'Egyéb szoc.'!E102+'Közösségi Ház'!E102</f>
        <v>9854090</v>
      </c>
      <c r="F105" s="15">
        <f>Igazg.!F104+Adók!F103+Temető!F102+Önk.vagyon!F102+Múzeum!F102+Rendezvények!F102+Közter.rend.!F102+Közf.!F102+Közutak!F103+Közvil.!F102+Zöldter.!F102+'Város-község'!F102+Háziorvos!F102+Védőnő!F102+Sport!F102+Könyvtár!F102+'Művelődési H.'!F102+'Isk.1-4.'!F102+'Isk.5-8.'!F102+Gyermekétk.!F102+Családvéd.!F102+Gyermekvéd.!F102+Családtám.!F102+'Egyéb szoc.'!F102+'Közösségi Ház'!F102</f>
        <v>23513090</v>
      </c>
      <c r="G105" s="15">
        <f>Igazg.!G104+Adók!G103+Temető!G102+Önk.vagyon!G102+Múzeum!G102+Rendezvények!G102+Közter.rend.!G102+Közf.!G102+Közutak!G103+Közvil.!G102+Zöldter.!G102+'Város-község'!G102+Háziorvos!G102+Védőnő!G102+Sport!G102+Könyvtár!G102+'Művelődési H.'!G102+'Isk.1-4.'!G102+'Isk.5-8.'!G102+Gyermekétk.!G102+Családvéd.!G102+Gyermekvéd.!G102+Családtám.!G102+'Egyéb szoc.'!G102+'Közösségi Ház'!G102</f>
        <v>5609102</v>
      </c>
      <c r="H105" s="124" t="e">
        <f>Igazg.!H104+Adók!H103+Temető!H102+Önk.vagyon!H102+Múzeum!H102+Rendezvények!H102+Közter.rend.!H102+Közf.!H102+Közutak!H103+Közvil.!H102+Zöldter.!H102+'Város-község'!H102+Háziorvos!H102+Védőnő!H102+Sport!H102+Könyvtár!H102+'Művelődési H.'!H102+'Isk.1-4.'!H102+'Isk.5-8.'!H102+Gyermekétk.!H102+Családvéd.!H102+Gyermekvéd.!H102+Családtám.!H102+'Egyéb szoc.'!H102+'Közösségi Ház'!H102</f>
        <v>#DIV/0!</v>
      </c>
      <c r="L105" s="4">
        <v>13780719</v>
      </c>
    </row>
    <row r="106" spans="1:12" s="122" customFormat="1">
      <c r="A106" s="13">
        <v>52</v>
      </c>
      <c r="B106" s="14" t="s">
        <v>458</v>
      </c>
      <c r="C106" s="15">
        <f>Igazg.!C105+Adók!C104+Temető!C103+Önk.vagyon!C103+Múzeum!C103+Rendezvények!C103+Közter.rend.!C103+Közf.!C103+Közutak!C104+Közvil.!C103+Zöldter.!C103+'Város-község'!C103+Háziorvos!C103+Védőnő!C103+Sport!C103+Könyvtár!C103+'Művelődési H.'!C103+'Isk.1-4.'!C103+'Isk.5-8.'!C103+Gyermekétk.!C103+Családvéd.!C103+Gyermekvéd.!C103+Családtám.!C103+'Egyéb szoc.'!C103+'Közösségi Ház'!C103</f>
        <v>0</v>
      </c>
      <c r="D106" s="15">
        <f>Igazg.!D105+Adók!D104+Temető!D103+Önk.vagyon!D103+Múzeum!D103+Rendezvények!D103+Közter.rend.!D103+Közf.!D103+Közutak!D104+Közvil.!D103+Zöldter.!D103+'Város-község'!D103+Háziorvos!D103+Védőnő!D103+Sport!D103+Könyvtár!D103+'Művelődési H.'!D103+'Isk.1-4.'!D103+'Isk.5-8.'!D103+Gyermekétk.!D103+Családvéd.!D103+Gyermekvéd.!D103+Családtám.!D103+'Egyéb szoc.'!D103+'Közösségi Ház'!D103</f>
        <v>0</v>
      </c>
      <c r="E106" s="15">
        <f>Igazg.!E105+Adók!E104+Temető!E103+Önk.vagyon!E103+Múzeum!E103+Rendezvények!E103+Közter.rend.!E103+Közf.!E103+Közutak!E104+Közvil.!E103+Zöldter.!E103+'Város-község'!E103+Háziorvos!E103+Védőnő!E103+Sport!E103+Könyvtár!E103+'Művelődési H.'!E103+'Isk.1-4.'!E103+'Isk.5-8.'!E103+Gyermekétk.!E103+Családvéd.!E103+Gyermekvéd.!E103+Családtám.!E103+'Egyéb szoc.'!E103+'Közösségi Ház'!E103</f>
        <v>118508</v>
      </c>
      <c r="F106" s="15">
        <f>Igazg.!F105+Adók!F104+Temető!F103+Önk.vagyon!F103+Múzeum!F103+Rendezvények!F103+Közter.rend.!F103+Közf.!F103+Közutak!F104+Közvil.!F103+Zöldter.!F103+'Város-község'!F103+Háziorvos!F103+Védőnő!F103+Sport!F103+Könyvtár!F103+'Művelődési H.'!F103+'Isk.1-4.'!F103+'Isk.5-8.'!F103+Gyermekétk.!F103+Családvéd.!F103+Gyermekvéd.!F103+Családtám.!F103+'Egyéb szoc.'!F103+'Közösségi Ház'!F103</f>
        <v>118508</v>
      </c>
      <c r="G106" s="15">
        <f>Igazg.!G105+Adók!G104+Temető!G103+Önk.vagyon!G103+Múzeum!G103+Rendezvények!G103+Közter.rend.!G103+Közf.!G103+Közutak!G104+Közvil.!G103+Zöldter.!G103+'Város-község'!G103+Háziorvos!G103+Védőnő!G103+Sport!G103+Könyvtár!G103+'Művelődési H.'!G103+'Isk.1-4.'!G103+'Isk.5-8.'!G103+Gyermekétk.!G103+Családvéd.!G103+Gyermekvéd.!G103+Családtám.!G103+'Egyéb szoc.'!G103+'Közösségi Ház'!G103</f>
        <v>118508</v>
      </c>
      <c r="H106" s="124" t="e">
        <f>Igazg.!H105+Adók!H104+Temető!H103+Önk.vagyon!H103+Múzeum!H103+Rendezvények!H103+Közter.rend.!H103+Közf.!H103+Közutak!H104+Közvil.!H103+Zöldter.!H103+'Város-község'!H103+Háziorvos!H103+Védőnő!H104+Sport!H103+Könyvtár!H103+'Művelődési H.'!H103+'Isk.1-4.'!H103+'Isk.5-8.'!H103+Gyermekétk.!H103+Családvéd.!H103+Gyermekvéd.!H103+Családtám.!H103+'Egyéb szoc.'!H103+'Közösségi Ház'!H103</f>
        <v>#DIV/0!</v>
      </c>
      <c r="L106" s="4"/>
    </row>
    <row r="107" spans="1:12" s="122" customFormat="1">
      <c r="A107" s="13">
        <v>53</v>
      </c>
      <c r="B107" s="19" t="s">
        <v>462</v>
      </c>
      <c r="C107" s="15">
        <f>Igazg.!C106</f>
        <v>0</v>
      </c>
      <c r="D107" s="15">
        <f>Igazg.!D106</f>
        <v>0</v>
      </c>
      <c r="E107" s="15">
        <f>Igazg.!E106</f>
        <v>180000</v>
      </c>
      <c r="F107" s="15">
        <f>Igazg.!F106</f>
        <v>180000</v>
      </c>
      <c r="G107" s="15">
        <f>Igazg.!G106</f>
        <v>179838</v>
      </c>
      <c r="H107" s="124" t="e">
        <f>Igazg.!H106+Adók!H105+Temető!H104+Önk.vagyon!H104+Múzeum!H104+Rendezvények!H104+Közter.rend.!H104+Közf.!H104+Közutak!H105+Közvil.!H104+Zöldter.!H104+'Város-község'!H104+Háziorvos!H104+Védőnő!H105+Sport!H104+Könyvtár!H104+'Művelődési H.'!H104+'Isk.1-4.'!H104+'Isk.5-8.'!H104+Gyermekétk.!H104+Családvéd.!H104+Gyermekvéd.!H104+Családtám.!H104+'Egyéb szoc.'!H104+'Közösségi Ház'!H104</f>
        <v>#DIV/0!</v>
      </c>
      <c r="L107" s="4"/>
    </row>
    <row r="108" spans="1:12">
      <c r="A108" s="13" t="s">
        <v>99</v>
      </c>
      <c r="B108" s="14" t="s">
        <v>100</v>
      </c>
      <c r="C108" s="15">
        <f>Igazg.!C107+Adók!C105+Temető!C104+Önk.vagyon!C104+Múzeum!C104+Rendezvények!C104+Közter.rend.!C104+Közf.!C104+Közutak!C105+Közvil.!C104+Zöldter.!C104+'Város-község'!C104+Háziorvos!C104+Védőnő!C104+Sport!C104+Könyvtár!C104+'Művelődési H.'!C104+'Isk.1-4.'!C104+'Isk.5-8.'!C104+Gyermekétk.!C104+Családvéd.!C104+Gyermekvéd.!C104+Családtám.!C104+'Egyéb szoc.'!C104+'Közösségi Ház'!C104</f>
        <v>1056642</v>
      </c>
      <c r="D108" s="15">
        <f>Igazg.!D107+Adók!D105+Temető!D104+Önk.vagyon!D104+Múzeum!D104+Rendezvények!D104+Közter.rend.!D104+Közf.!D104+Közutak!D105+Közvil.!D104+Zöldter.!D104+'Város-község'!D104+Háziorvos!D104+Védőnő!D104+Sport!D104+Könyvtár!D104+'Művelődési H.'!D104+'Isk.1-4.'!D104+'Isk.5-8.'!D104+Gyermekétk.!D104+Családvéd.!D104+Gyermekvéd.!D104+Családtám.!D104+'Egyéb szoc.'!D104+'Közösségi Ház'!D104</f>
        <v>1136000</v>
      </c>
      <c r="E108" s="15">
        <f>Igazg.!E107+Adók!E105+Temető!E104+Önk.vagyon!E104+Múzeum!E104+Rendezvények!E104+Közter.rend.!E104+Közf.!E104+Közutak!E105+Közvil.!E104+Zöldter.!E104+'Város-község'!E104+Háziorvos!E104+Védőnő!E104+Sport!E104+Könyvtár!E104+'Művelődési H.'!E104+'Isk.1-4.'!E104+'Isk.5-8.'!E104+Gyermekétk.!E104+Családvéd.!E104+Gyermekvéd.!E104+Családtám.!E104+'Egyéb szoc.'!E104+'Közösségi Ház'!E104</f>
        <v>-4</v>
      </c>
      <c r="F108" s="15">
        <f>Igazg.!F107+Adók!F105+Temető!F104+Önk.vagyon!F104+Múzeum!F104+Rendezvények!F104+Közter.rend.!F104+Közf.!F104+Közutak!F105+Közvil.!F104+Zöldter.!F104+'Város-község'!F104+Háziorvos!F104+Védőnő!F104+Sport!F104+Könyvtár!F104+'Művelődési H.'!F104+'Isk.1-4.'!F104+'Isk.5-8.'!F104+Gyermekétk.!F104+Családvéd.!F104+Gyermekvéd.!F104+Családtám.!F104+'Egyéb szoc.'!F104+'Közösségi Ház'!F104</f>
        <v>1135996</v>
      </c>
      <c r="G108" s="15">
        <f>Igazg.!G107+Adók!G105+Temető!G104+Önk.vagyon!G104+Múzeum!G104+Rendezvények!G104+Közter.rend.!G104+Közf.!G104+Közutak!G105+Közvil.!G104+Zöldter.!G104+'Város-község'!G104+Háziorvos!G104+Védőnő!G104+Sport!G104+Könyvtár!G104+'Művelődési H.'!G104+'Isk.1-4.'!G104+'Isk.5-8.'!G104+Gyermekétk.!G104+Családvéd.!G104+Gyermekvéd.!G104+Családtám.!G104+'Egyéb szoc.'!G104+'Közösségi Ház'!G104</f>
        <v>352848</v>
      </c>
      <c r="H108" s="124">
        <f t="shared" si="1"/>
        <v>0.31060672748847706</v>
      </c>
      <c r="L108" s="4">
        <v>1056642</v>
      </c>
    </row>
    <row r="109" spans="1:12" ht="25.5">
      <c r="A109" s="13" t="s">
        <v>101</v>
      </c>
      <c r="B109" s="14" t="s">
        <v>102</v>
      </c>
      <c r="C109" s="15">
        <f>Igazg.!C108+Adók!C106+Temető!C105+Önk.vagyon!C105+Múzeum!C105+Rendezvények!C105+Közter.rend.!C105+Közf.!C105+Közutak!C106+Közvil.!C105+Zöldter.!C105+'Város-község'!C105+Háziorvos!C105+Védőnő!C105+Sport!C105+Könyvtár!C105+'Művelődési H.'!C105+'Isk.1-4.'!C105+'Isk.5-8.'!C105+Gyermekétk.!C105+Családvéd.!C105+Gyermekvéd.!C105+Családtám.!C105+'Egyéb szoc.'!C105+'Közösségi Ház'!C105</f>
        <v>14837361</v>
      </c>
      <c r="D109" s="15">
        <f>Igazg.!D108+Adók!D106+Temető!D105+Önk.vagyon!D105+Múzeum!D105+Rendezvények!D105+Közter.rend.!D105+Közf.!D105+Közutak!D106+Közvil.!D105+Zöldter.!D105+'Város-község'!D105+Háziorvos!D105+Védőnő!D105+Sport!D105+Könyvtár!D105+'Művelődési H.'!D105+'Isk.1-4.'!D105+'Isk.5-8.'!D105+Gyermekétk.!D105+Családvéd.!D105+Gyermekvéd.!D105+Családtám.!D105+'Egyéb szoc.'!D105+'Közösségi Ház'!D105</f>
        <v>14795000</v>
      </c>
      <c r="E109" s="15">
        <f>Igazg.!E108+Adók!E106+Temető!E105+Önk.vagyon!E105+Múzeum!E105+Rendezvények!E105+Közter.rend.!E105+Közf.!E105+Közutak!E106+Közvil.!E105+Zöldter.!E105+'Város-község'!E105+Háziorvos!E105+Védőnő!E105+Sport!E105+Könyvtár!E105+'Művelődési H.'!E105+'Isk.1-4.'!E105+'Isk.5-8.'!E105+Gyermekétk.!E105+Családvéd.!E105+Gyermekvéd.!E105+Családtám.!E105+'Egyéb szoc.'!E105+'Közösségi Ház'!E105</f>
        <v>10152594</v>
      </c>
      <c r="F109" s="15">
        <f>Igazg.!F108+Adók!F106+Temető!F105+Önk.vagyon!F105+Múzeum!F105+Rendezvények!F105+Közter.rend.!F105+Közf.!F105+Közutak!F106+Közvil.!F105+Zöldter.!F105+'Város-község'!F105+Háziorvos!F105+Védőnő!F105+Sport!F105+Könyvtár!F105+'Művelődési H.'!F105+'Isk.1-4.'!F105+'Isk.5-8.'!F105+Gyermekétk.!F105+Családvéd.!F105+Gyermekvéd.!F105+Családtám.!F105+'Egyéb szoc.'!F105+'Közösségi Ház'!F105</f>
        <v>24947594</v>
      </c>
      <c r="G109" s="15">
        <f>Igazg.!G108+Adók!G106+Temető!G105+Önk.vagyon!G105+Múzeum!G105+Rendezvények!G105+Közter.rend.!G105+Közf.!G105+Közutak!G106+Közvil.!G105+Zöldter.!G105+'Város-község'!G105+Háziorvos!G105+Védőnő!G105+Sport!G105+Könyvtár!G105+'Művelődési H.'!G105+'Isk.1-4.'!G105+'Isk.5-8.'!G105+Gyermekétk.!G105+Családvéd.!G105+Gyermekvéd.!G105+Családtám.!G105+'Egyéb szoc.'!G105+'Közösségi Ház'!G105</f>
        <v>6260296</v>
      </c>
      <c r="H109" s="124">
        <f t="shared" si="1"/>
        <v>0.25093786599220752</v>
      </c>
      <c r="L109" s="4">
        <v>14837361</v>
      </c>
    </row>
    <row r="110" spans="1:12">
      <c r="A110" s="16" t="s">
        <v>103</v>
      </c>
      <c r="B110" s="17" t="s">
        <v>104</v>
      </c>
      <c r="C110" s="15">
        <f>Igazg.!C109+Adók!C107+Temető!C106+Önk.vagyon!C106+Múzeum!C106+Rendezvények!C106+Közter.rend.!C106+Közf.!C106+Közutak!C107+Közvil.!C106+Zöldter.!C106+'Város-község'!C106+Háziorvos!C106+Védőnő!C106+Sport!C106+Könyvtár!C106+'Művelődési H.'!C106+'Isk.1-4.'!C106+'Isk.5-8.'!C106+Gyermekétk.!C106+Családvéd.!C106+Gyermekvéd.!C106+Családtám.!C106+'Egyéb szoc.'!C106+'Közösségi Ház'!C106</f>
        <v>75716724</v>
      </c>
      <c r="D110" s="15">
        <f>Igazg.!D109+Adók!D107+Temető!D106+Önk.vagyon!D106+Múzeum!D106+Rendezvények!D106+Közter.rend.!D106+Közf.!D106+Közutak!D107+Közvil.!D106+Zöldter.!D106+'Város-község'!D106+Háziorvos!D106+Védőnő!D106+Sport!D106+Könyvtár!D106+'Művelődési H.'!D106+'Isk.1-4.'!D106+'Isk.5-8.'!D106+Gyermekétk.!D106+Családvéd.!D106+Gyermekvéd.!D106+Családtám.!D106+'Egyéb szoc.'!D106+'Közösségi Ház'!D106</f>
        <v>69541000</v>
      </c>
      <c r="E110" s="15">
        <f>Igazg.!E109+Adók!E107+Temető!E106+Önk.vagyon!E106+Múzeum!E106+Rendezvények!E106+Közter.rend.!E106+Közf.!E106+Közutak!E107+Közvil.!E106+Zöldter.!E106+'Város-község'!E106+Háziorvos!E106+Védőnő!E106+Sport!E106+Könyvtár!E106+'Művelődési H.'!E106+'Isk.1-4.'!E106+'Isk.5-8.'!E106+Gyermekétk.!E106+Családvéd.!E106+Gyermekvéd.!E106+Családtám.!E106+'Egyéb szoc.'!E106+'Közösségi Ház'!E106</f>
        <v>46909757</v>
      </c>
      <c r="F110" s="15">
        <f>Igazg.!F109+Adók!F107+Temető!F106+Önk.vagyon!F106+Múzeum!F106+Rendezvények!F106+Közter.rend.!F106+Közf.!F106+Közutak!F107+Közvil.!F106+Zöldter.!F106+'Város-község'!F106+Háziorvos!F106+Védőnő!F106+Sport!F106+Könyvtár!F106+'Művelődési H.'!F106+'Isk.1-4.'!F106+'Isk.5-8.'!F106+Gyermekétk.!F106+Családvéd.!F106+Gyermekvéd.!F106+Családtám.!F106+'Egyéb szoc.'!F106+'Közösségi Ház'!F106</f>
        <v>116450757</v>
      </c>
      <c r="G110" s="15">
        <f>Igazg.!G109+Adók!G107+Temető!G106+Önk.vagyon!G106+Múzeum!G106+Rendezvények!G106+Közter.rend.!G106+Közf.!G106+Közutak!G107+Közvil.!G106+Zöldter.!G106+'Város-község'!G106+Háziorvos!G106+Védőnő!G106+Sport!G106+Könyvtár!G106+'Művelődési H.'!G106+'Isk.1-4.'!G106+'Isk.5-8.'!G106+Gyermekétk.!G106+Családvéd.!G106+Gyermekvéd.!G106+Családtám.!G106+'Egyéb szoc.'!G106+'Közösségi Ház'!G106</f>
        <v>32320148</v>
      </c>
      <c r="H110" s="125">
        <f t="shared" si="1"/>
        <v>0.2775434770252288</v>
      </c>
      <c r="L110" s="7">
        <v>75716724</v>
      </c>
    </row>
    <row r="111" spans="1:12">
      <c r="A111" s="13" t="s">
        <v>105</v>
      </c>
      <c r="B111" s="14" t="s">
        <v>106</v>
      </c>
      <c r="C111" s="15">
        <f>Igazg.!C110+Adók!C108+Temető!C107+Önk.vagyon!C107+Múzeum!C107+Rendezvények!C107+Közter.rend.!C107+Közf.!C107+Közutak!C108+Közvil.!C107+Zöldter.!C107+'Város-község'!C107+Háziorvos!C107+Védőnő!C107+Sport!C107+Könyvtár!C107+'Művelődési H.'!C107+'Isk.1-4.'!C107+'Isk.5-8.'!C107+Gyermekétk.!C107+Családvéd.!C107+Gyermekvéd.!C107+Családtám.!C107+'Egyéb szoc.'!C107+'Közösségi Ház'!C107</f>
        <v>1513800</v>
      </c>
      <c r="D111" s="15">
        <f>Igazg.!D110+Adók!D108+Temető!D107+Önk.vagyon!D107+Múzeum!D107+Rendezvények!D107+Közter.rend.!D107+Közf.!D107+Közutak!D108+Közvil.!D107+Zöldter.!D107+'Város-község'!D107+Háziorvos!D107+Védőnő!D107+Sport!D107+Könyvtár!D107+'Művelődési H.'!D107+'Isk.1-4.'!D107+'Isk.5-8.'!D107+Gyermekétk.!D107+Családvéd.!D107+Gyermekvéd.!D107+Családtám.!D107+'Egyéb szoc.'!D107+'Közösségi Ház'!D107</f>
        <v>0</v>
      </c>
      <c r="E111" s="15">
        <f>Igazg.!E110+Adók!E108+Temető!E107+Önk.vagyon!E107+Múzeum!E107+Rendezvények!E107+Közter.rend.!E107+Közf.!E107+Közutak!E108+Közvil.!E107+Zöldter.!E107+'Város-község'!E107+Háziorvos!E107+Védőnő!E107+Sport!E107+Könyvtár!E107+'Művelődési H.'!E107+'Isk.1-4.'!E107+'Isk.5-8.'!E107+Gyermekétk.!E107+Családvéd.!E107+Gyermekvéd.!E107+Családtám.!E107+'Egyéb szoc.'!E107+'Közösségi Ház'!E107</f>
        <v>0</v>
      </c>
      <c r="F111" s="15">
        <f>Igazg.!F110+Adók!F108+Temető!F107+Önk.vagyon!F107+Múzeum!F107+Rendezvények!F107+Közter.rend.!F107+Közf.!F107+Közutak!F108+Közvil.!F107+Zöldter.!F107+'Város-község'!F107+Háziorvos!F107+Védőnő!F107+Sport!F107+Könyvtár!F107+'Művelődési H.'!F107+'Isk.1-4.'!F107+'Isk.5-8.'!F107+Gyermekétk.!F107+Családvéd.!F107+Gyermekvéd.!F107+Családtám.!F107+'Egyéb szoc.'!F107+'Közösségi Ház'!F107</f>
        <v>0</v>
      </c>
      <c r="G111" s="15">
        <f>Igazg.!G110+Adók!G108+Temető!G107+Önk.vagyon!G107+Múzeum!G107+Rendezvények!G107+Közter.rend.!G107+Közf.!G107+Közutak!G108+Közvil.!G107+Zöldter.!G107+'Város-község'!G107+Háziorvos!G107+Védőnő!G107+Sport!G107+Könyvtár!G107+'Művelődési H.'!G107+'Isk.1-4.'!G107+'Isk.5-8.'!G107+Gyermekétk.!G107+Családvéd.!G107+Gyermekvéd.!G107+Családtám.!G107+'Egyéb szoc.'!G107+'Közösségi Ház'!G107</f>
        <v>0</v>
      </c>
      <c r="H111" s="124" t="e">
        <f t="shared" si="1"/>
        <v>#DIV/0!</v>
      </c>
      <c r="L111" s="4">
        <v>1513800</v>
      </c>
    </row>
    <row r="112" spans="1:12" ht="25.5">
      <c r="A112" s="13" t="s">
        <v>107</v>
      </c>
      <c r="B112" s="14" t="s">
        <v>108</v>
      </c>
      <c r="C112" s="15">
        <f>Igazg.!C111+Adók!C109+Temető!C108+Önk.vagyon!C108+Múzeum!C108+Rendezvények!C108+Közter.rend.!C108+Közf.!C108+Közutak!C109+Közvil.!C108+Zöldter.!C108+'Város-község'!C108+Háziorvos!C108+Védőnő!C108+Sport!C108+Könyvtár!C108+'Művelődési H.'!C108+'Isk.1-4.'!C108+'Isk.5-8.'!C108+Gyermekétk.!C108+Családvéd.!C108+Gyermekvéd.!C108+Családtám.!C108+'Egyéb szoc.'!C108+'Közösségi Ház'!C108</f>
        <v>1513800</v>
      </c>
      <c r="D112" s="15">
        <f>Igazg.!D111+Adók!D109+Temető!D108+Önk.vagyon!D108+Múzeum!D108+Rendezvények!D108+Közter.rend.!D108+Közf.!D108+Közutak!D109+Közvil.!D108+Zöldter.!D108+'Város-község'!D108+Háziorvos!D108+Védőnő!D108+Sport!D108+Könyvtár!D108+'Művelődési H.'!D108+'Isk.1-4.'!D108+'Isk.5-8.'!D108+Gyermekétk.!D108+Családvéd.!D108+Gyermekvéd.!D108+Családtám.!D108+'Egyéb szoc.'!D108+'Közösségi Ház'!D108</f>
        <v>0</v>
      </c>
      <c r="E112" s="15">
        <f>Igazg.!E111+Adók!E109+Temető!E108+Önk.vagyon!E108+Múzeum!E108+Rendezvények!E108+Közter.rend.!E108+Közf.!E108+Közutak!E109+Közvil.!E108+Zöldter.!E108+'Város-község'!E108+Háziorvos!E108+Védőnő!E108+Sport!E108+Könyvtár!E108+'Művelődési H.'!E108+'Isk.1-4.'!E108+'Isk.5-8.'!E108+Gyermekétk.!E108+Családvéd.!E108+Gyermekvéd.!E108+Családtám.!E108+'Egyéb szoc.'!E108+'Közösségi Ház'!E108</f>
        <v>0</v>
      </c>
      <c r="F112" s="15">
        <f>Igazg.!F111+Adók!F109+Temető!F108+Önk.vagyon!F108+Múzeum!F108+Rendezvények!F108+Közter.rend.!F108+Közf.!F108+Közutak!F109+Közvil.!F108+Zöldter.!F108+'Város-község'!F108+Háziorvos!F108+Védőnő!F108+Sport!F108+Könyvtár!F108+'Művelődési H.'!F108+'Isk.1-4.'!F108+'Isk.5-8.'!F108+Gyermekétk.!F108+Családvéd.!F108+Gyermekvéd.!F108+Családtám.!F108+'Egyéb szoc.'!F108+'Közösségi Ház'!F108</f>
        <v>0</v>
      </c>
      <c r="G112" s="15">
        <f>Igazg.!G111+Adók!G109+Temető!G108+Önk.vagyon!G108+Múzeum!G108+Rendezvények!G108+Közter.rend.!G108+Közf.!G108+Közutak!G109+Közvil.!G108+Zöldter.!G108+'Város-község'!G108+Háziorvos!G108+Védőnő!G108+Sport!G108+Könyvtár!G108+'Művelődési H.'!G108+'Isk.1-4.'!G108+'Isk.5-8.'!G108+Gyermekétk.!G108+Családvéd.!G108+Gyermekvéd.!G108+Családtám.!G108+'Egyéb szoc.'!G108+'Közösségi Ház'!G108</f>
        <v>0</v>
      </c>
      <c r="H112" s="124" t="e">
        <f t="shared" si="1"/>
        <v>#DIV/0!</v>
      </c>
      <c r="L112" s="4">
        <v>1513800</v>
      </c>
    </row>
    <row r="113" spans="1:12" ht="25.5">
      <c r="A113" s="13">
        <v>93</v>
      </c>
      <c r="B113" s="14" t="s">
        <v>419</v>
      </c>
      <c r="C113" s="15">
        <f>SUM(C114)</f>
        <v>0</v>
      </c>
      <c r="D113" s="15">
        <f t="shared" ref="D113:G113" si="2">SUM(D114)</f>
        <v>0</v>
      </c>
      <c r="E113" s="15">
        <f t="shared" si="2"/>
        <v>0</v>
      </c>
      <c r="F113" s="15"/>
      <c r="G113" s="15">
        <f t="shared" si="2"/>
        <v>0</v>
      </c>
      <c r="H113" s="124"/>
      <c r="L113" s="4"/>
    </row>
    <row r="114" spans="1:12" ht="25.5">
      <c r="A114" s="13">
        <v>96</v>
      </c>
      <c r="B114" s="14" t="s">
        <v>420</v>
      </c>
      <c r="C114" s="15"/>
      <c r="D114" s="15"/>
      <c r="E114" s="15"/>
      <c r="F114" s="15"/>
      <c r="G114" s="15"/>
      <c r="H114" s="124"/>
      <c r="L114" s="4"/>
    </row>
    <row r="115" spans="1:12" ht="25.5">
      <c r="A115" s="13" t="s">
        <v>109</v>
      </c>
      <c r="B115" s="14" t="s">
        <v>110</v>
      </c>
      <c r="C115" s="15">
        <f>Igazg.!C112+Adók!C110+Temető!C109+Önk.vagyon!C109+Múzeum!C109+Rendezvények!C109+Közter.rend.!C109+Közf.!C109+Közutak!C110+Közvil.!C109+Zöldter.!C109+'Város-község'!C109+Háziorvos!C109+Védőnő!C109+Sport!C109+Könyvtár!C109+'Művelődési H.'!C109+'Isk.1-4.'!C109+'Isk.5-8.'!C109+Gyermekétk.!C109+Családvéd.!C109+Gyermekvéd.!C109+Családtám.!C109+'Egyéb szoc.'!C109+'Közösségi Ház'!C109</f>
        <v>8886020</v>
      </c>
      <c r="D115" s="15">
        <f>Igazg.!D112+Adók!D110+Temető!D109+Önk.vagyon!D109+Múzeum!D109+Rendezvények!D109+Közter.rend.!D109+Közf.!D109+Közutak!D110+Közvil.!D109+Zöldter.!D109+'Város-község'!D109+Háziorvos!D109+Védőnő!D109+Sport!D109+Könyvtár!D109+'Művelődési H.'!D109+'Isk.1-4.'!D109+'Isk.5-8.'!D109+Gyermekétk.!D109+Családvéd.!D109+Gyermekvéd.!D109+Családtám.!D109+'Egyéb szoc.'!D109+'Közösségi Ház'!D109</f>
        <v>11540000</v>
      </c>
      <c r="E115" s="15">
        <f>Igazg.!E112+Adók!E110+Temető!E109+Önk.vagyon!E109+Múzeum!E109+Rendezvények!E109+Közter.rend.!E109+Közf.!E109+Közutak!E110+Közvil.!E109+Zöldter.!E109+'Város-község'!E109+Háziorvos!E109+Védőnő!E109+Sport!E109+Könyvtár!E109+'Művelődési H.'!E109+'Isk.1-4.'!E109+'Isk.5-8.'!E109+Gyermekétk.!E109+Családvéd.!E109+Gyermekvéd.!E109+Családtám.!E109+'Egyéb szoc.'!E109+'Közösségi Ház'!E109</f>
        <v>0</v>
      </c>
      <c r="F115" s="15">
        <f>Igazg.!F112+Adók!F110+Temető!F109+Önk.vagyon!F109+Múzeum!F109+Rendezvények!F109+Közter.rend.!F109+Közf.!F109+Közutak!F110+Közvil.!F109+Zöldter.!F109+'Város-község'!F109+Háziorvos!F109+Védőnő!F109+Sport!F109+Könyvtár!F109+'Művelődési H.'!F109+'Isk.1-4.'!F109+'Isk.5-8.'!F109+Gyermekétk.!F109+Családvéd.!F109+Gyermekvéd.!F109+Családtám.!F109+'Egyéb szoc.'!F109+'Közösségi Ház'!F109</f>
        <v>11540000</v>
      </c>
      <c r="G115" s="15">
        <f>Igazg.!G112+Adók!G110+Temető!G109+Önk.vagyon!G109+Múzeum!G109+Rendezvények!G109+Közter.rend.!G109+Közf.!G109+Közutak!G110+Közvil.!G109+Zöldter.!G109+'Város-község'!G109+Háziorvos!G109+Védőnő!G109+Sport!G109+Könyvtár!G109+'Művelődési H.'!G109+'Isk.1-4.'!G109+'Isk.5-8.'!G109+Gyermekétk.!G109+Családvéd.!G109+Gyermekvéd.!G109+Családtám.!G109+'Egyéb szoc.'!G109+'Közösségi Ház'!G109</f>
        <v>1158537</v>
      </c>
      <c r="H115" s="124">
        <f t="shared" si="1"/>
        <v>0.10039315424610051</v>
      </c>
      <c r="L115" s="4">
        <v>8886020</v>
      </c>
    </row>
    <row r="116" spans="1:12" ht="25.5">
      <c r="A116" s="13" t="s">
        <v>111</v>
      </c>
      <c r="B116" s="14" t="s">
        <v>112</v>
      </c>
      <c r="C116" s="15">
        <f>Igazg.!C113+Adók!C111+Temető!C110+Önk.vagyon!C110+Múzeum!C110+Rendezvények!C110+Közter.rend.!C110+Közf.!C110+Közutak!C111+Közvil.!C110+Zöldter.!C110+'Város-község'!C110+Háziorvos!C110+Védőnő!C110+Sport!C110+Könyvtár!C110+'Művelődési H.'!C110+'Isk.1-4.'!C110+'Isk.5-8.'!C110+Gyermekétk.!C110+Családvéd.!C110+Gyermekvéd.!C110+Családtám.!C110+'Egyéb szoc.'!C110+'Közösségi Ház'!C110</f>
        <v>283162</v>
      </c>
      <c r="D116" s="15">
        <f>Igazg.!D113+Adók!D111+Temető!D110+Önk.vagyon!D110+Múzeum!D110+Rendezvények!D110+Közter.rend.!D110+Közf.!D110+Közutak!D111+Közvil.!D110+Zöldter.!D110+'Város-község'!D110+Háziorvos!D110+Védőnő!D110+Sport!D110+Könyvtár!D110+'Művelődési H.'!D110+'Isk.1-4.'!D110+'Isk.5-8.'!D110+Gyermekétk.!D110+Családvéd.!D110+Gyermekvéd.!D110+Családtám.!D110+'Egyéb szoc.'!D110+'Közösségi Ház'!D110</f>
        <v>2240000</v>
      </c>
      <c r="E116" s="15">
        <f>Igazg.!E113+Adók!E111+Temető!E110+Önk.vagyon!E110+Múzeum!E110+Rendezvények!E110+Közter.rend.!E110+Közf.!E110+Közutak!E111+Közvil.!E110+Zöldter.!E110+'Város-község'!E110+Háziorvos!E110+Védőnő!E110+Sport!E110+Könyvtár!E110+'Művelődési H.'!E110+'Isk.1-4.'!E110+'Isk.5-8.'!E110+Gyermekétk.!E110+Családvéd.!E110+Gyermekvéd.!E110+Családtám.!E110+'Egyéb szoc.'!E110+'Közösségi Ház'!E110</f>
        <v>0</v>
      </c>
      <c r="F116" s="15">
        <f>Igazg.!F113+Adók!F111+Temető!F110+Önk.vagyon!F110+Múzeum!F110+Rendezvények!F110+Közter.rend.!F110+Közf.!F110+Közutak!F111+Közvil.!F110+Zöldter.!F110+'Város-község'!F110+Háziorvos!F110+Védőnő!F110+Sport!F110+Könyvtár!F110+'Művelődési H.'!F110+'Isk.1-4.'!F110+'Isk.5-8.'!F110+Gyermekétk.!F110+Családvéd.!F110+Gyermekvéd.!F110+Családtám.!F110+'Egyéb szoc.'!F110+'Közösségi Ház'!F110</f>
        <v>2240000</v>
      </c>
      <c r="G116" s="15">
        <f>Igazg.!G113+Adók!G111+Temető!G110+Önk.vagyon!G110+Múzeum!G110+Rendezvények!G110+Közter.rend.!G110+Közf.!G110+Közutak!G111+Közvil.!G110+Zöldter.!G110+'Város-község'!G110+Háziorvos!G110+Védőnő!G110+Sport!G110+Könyvtár!G110+'Művelődési H.'!G110+'Isk.1-4.'!G110+'Isk.5-8.'!G110+Gyermekétk.!G110+Családvéd.!G110+Gyermekvéd.!G110+Családtám.!G110+'Egyéb szoc.'!G110+'Közösségi Ház'!G110</f>
        <v>341740</v>
      </c>
      <c r="H116" s="124">
        <f t="shared" si="1"/>
        <v>0.15256249999999999</v>
      </c>
      <c r="L116" s="4">
        <v>283162</v>
      </c>
    </row>
    <row r="117" spans="1:12">
      <c r="A117" s="13" t="s">
        <v>113</v>
      </c>
      <c r="B117" s="14" t="s">
        <v>114</v>
      </c>
      <c r="C117" s="15">
        <f>Igazg.!C114+Adók!C112+Temető!C111+Önk.vagyon!C111+Múzeum!C111+Rendezvények!C111+Közter.rend.!C111+Közf.!C111+Közutak!C112+Közvil.!C111+Zöldter.!C111+'Város-község'!C111+Háziorvos!C111+Védőnő!C111+Sport!C111+Könyvtár!C111+'Művelődési H.'!C111+'Isk.1-4.'!C111+'Isk.5-8.'!C111+Gyermekétk.!C111+Családvéd.!C111+Gyermekvéd.!C111+Családtám.!C111+'Egyéb szoc.'!C111+'Közösségi Ház'!C111</f>
        <v>79900</v>
      </c>
      <c r="D117" s="15">
        <f>Igazg.!D114+Adók!D112+Temető!D111+Önk.vagyon!D111+Múzeum!D111+Rendezvények!D111+Közter.rend.!D111+Közf.!D111+Közutak!D112+Közvil.!D111+Zöldter.!D111+'Város-község'!D111+Háziorvos!D111+Védőnő!D111+Sport!D111+Könyvtár!D111+'Művelődési H.'!D111+'Isk.1-4.'!D111+'Isk.5-8.'!D111+Gyermekétk.!D111+Családvéd.!D111+Gyermekvéd.!D111+Családtám.!D111+'Egyéb szoc.'!D111+'Közösségi Ház'!D111</f>
        <v>8800000</v>
      </c>
      <c r="E117" s="15">
        <f>Igazg.!E114+Adók!E112+Temető!E111+Önk.vagyon!E111+Múzeum!E111+Rendezvények!E111+Közter.rend.!E111+Közf.!E111+Közutak!E112+Közvil.!E111+Zöldter.!E111+'Város-község'!E111+Háziorvos!E111+Védőnő!E111+Sport!E111+Könyvtár!E111+'Művelődési H.'!E111+'Isk.1-4.'!E111+'Isk.5-8.'!E111+Gyermekétk.!E111+Családvéd.!E111+Gyermekvéd.!E111+Családtám.!E111+'Egyéb szoc.'!E111+'Közösségi Ház'!E111</f>
        <v>0</v>
      </c>
      <c r="F117" s="15">
        <f>Igazg.!F114+Adók!F112+Temető!F111+Önk.vagyon!F111+Múzeum!F111+Rendezvények!F111+Közter.rend.!F111+Közf.!F111+Közutak!F112+Közvil.!F111+Zöldter.!F111+'Város-község'!F111+Háziorvos!F111+Védőnő!F111+Sport!F111+Könyvtár!F111+'Művelődési H.'!F111+'Isk.1-4.'!F111+'Isk.5-8.'!F111+Gyermekétk.!F111+Családvéd.!F111+Gyermekvéd.!F111+Családtám.!F111+'Egyéb szoc.'!F111+'Közösségi Ház'!F111</f>
        <v>8800000</v>
      </c>
      <c r="G117" s="15">
        <f>Igazg.!G114+Adók!G112+Temető!G111+Önk.vagyon!G111+Múzeum!G111+Rendezvények!G111+Közter.rend.!G111+Közf.!G111+Közutak!G112+Közvil.!G111+Zöldter.!G111+'Város-község'!G111+Háziorvos!G111+Védőnő!G111+Sport!G111+Könyvtár!G111+'Művelődési H.'!G111+'Isk.1-4.'!G111+'Isk.5-8.'!G111+Gyermekétk.!G111+Családvéd.!G111+Gyermekvéd.!G111+Családtám.!G111+'Egyéb szoc.'!G111+'Közösségi Ház'!G111</f>
        <v>316797</v>
      </c>
      <c r="H117" s="124">
        <f t="shared" si="1"/>
        <v>3.5999659090909089E-2</v>
      </c>
      <c r="L117" s="4">
        <v>79900</v>
      </c>
    </row>
    <row r="118" spans="1:12" ht="38.25">
      <c r="A118" s="13" t="s">
        <v>115</v>
      </c>
      <c r="B118" s="14" t="s">
        <v>116</v>
      </c>
      <c r="C118" s="15">
        <f>Igazg.!C115+Adók!C113+Temető!C112+Önk.vagyon!C112+Múzeum!C112+Rendezvények!C112+Közter.rend.!C112+Közf.!C112+Közutak!C113+Közvil.!C112+Zöldter.!C112+'Város-község'!C112+Háziorvos!C112+Védőnő!C112+Sport!C112+Könyvtár!C112+'Művelődési H.'!C112+'Isk.1-4.'!C112+'Isk.5-8.'!C112+Gyermekétk.!C112+Családvéd.!C112+Gyermekvéd.!C112+Családtám.!C112+'Egyéb szoc.'!C112+'Közösségi Ház'!C112</f>
        <v>136097</v>
      </c>
      <c r="D118" s="15">
        <f>Igazg.!D115+Adók!D113+Temető!D112+Önk.vagyon!D112+Múzeum!D112+Rendezvények!D112+Közter.rend.!D112+Közf.!D112+Közutak!D113+Közvil.!D112+Zöldter.!D112+'Város-község'!D112+Háziorvos!D112+Védőnő!D112+Sport!D112+Könyvtár!D112+'Művelődési H.'!D112+'Isk.1-4.'!D112+'Isk.5-8.'!D112+Gyermekétk.!D112+Családvéd.!D112+Gyermekvéd.!D112+Családtám.!D112+'Egyéb szoc.'!D112+'Közösségi Ház'!D112</f>
        <v>500000</v>
      </c>
      <c r="E118" s="15">
        <f>Igazg.!E115+Adók!E113+Temető!E112+Önk.vagyon!E112+Múzeum!E112+Rendezvények!E112+Közter.rend.!E112+Közf.!E112+Közutak!E113+Közvil.!E112+Zöldter.!E112+'Város-község'!E112+Háziorvos!E112+Védőnő!E112+Sport!E112+Könyvtár!E112+'Művelődési H.'!E112+'Isk.1-4.'!E112+'Isk.5-8.'!E112+Gyermekétk.!E112+Családvéd.!E112+Gyermekvéd.!E112+Családtám.!E112+'Egyéb szoc.'!E112+'Közösségi Ház'!E112</f>
        <v>0</v>
      </c>
      <c r="F118" s="15">
        <f>Igazg.!F115+Adók!F113+Temető!F112+Önk.vagyon!F112+Múzeum!F112+Rendezvények!F112+Közter.rend.!F112+Közf.!F112+Közutak!F113+Közvil.!F112+Zöldter.!F112+'Város-község'!F112+Háziorvos!F112+Védőnő!F112+Sport!F112+Könyvtár!F112+'Művelődési H.'!F112+'Isk.1-4.'!F112+'Isk.5-8.'!F112+Gyermekétk.!F112+Családvéd.!F112+Gyermekvéd.!F112+Családtám.!F112+'Egyéb szoc.'!F112+'Közösségi Ház'!F112</f>
        <v>500000</v>
      </c>
      <c r="G118" s="15">
        <f>Igazg.!G115+Adók!G113+Temető!G112+Önk.vagyon!G112+Múzeum!G112+Rendezvények!G112+Közter.rend.!G112+Közf.!G112+Közutak!G113+Közvil.!G112+Zöldter.!G112+'Város-község'!G112+Háziorvos!G112+Védőnő!G112+Sport!G112+Könyvtár!G112+'Művelődési H.'!G112+'Isk.1-4.'!G112+'Isk.5-8.'!G112+Gyermekétk.!G112+Családvéd.!G112+Gyermekvéd.!G112+Családtám.!G112+'Egyéb szoc.'!G112+'Közösségi Ház'!G112</f>
        <v>500000</v>
      </c>
      <c r="H118" s="124">
        <f t="shared" si="1"/>
        <v>1</v>
      </c>
      <c r="L118" s="4">
        <v>136097</v>
      </c>
    </row>
    <row r="119" spans="1:12" ht="25.5">
      <c r="A119" s="16" t="s">
        <v>117</v>
      </c>
      <c r="B119" s="17" t="s">
        <v>118</v>
      </c>
      <c r="C119" s="15">
        <f>Igazg.!C116+Adók!C114+Temető!C113+Önk.vagyon!C113+Múzeum!C113+Rendezvények!C113+Közter.rend.!C113+Közf.!C113+Közutak!C114+Közvil.!C113+Zöldter.!C113+'Város-község'!C113+Háziorvos!C113+Védőnő!C113+Sport!C113+Könyvtár!C113+'Művelődési H.'!C113+'Isk.1-4.'!C113+'Isk.5-8.'!C113+Gyermekétk.!C113+Családvéd.!C113+Gyermekvéd.!C113+Családtám.!C113+'Egyéb szoc.'!C113+'Közösségi Ház'!C113</f>
        <v>10399820</v>
      </c>
      <c r="D119" s="15">
        <f>Igazg.!D116+Adók!D114+Temető!D113+Önk.vagyon!D113+Múzeum!D113+Rendezvények!D113+Közter.rend.!D113+Közf.!D113+Közutak!D114+Közvil.!D113+Zöldter.!D113+'Város-község'!D113+Háziorvos!D113+Védőnő!D113+Sport!D113+Könyvtár!D113+'Művelődési H.'!D113+'Isk.1-4.'!D113+'Isk.5-8.'!D113+Gyermekétk.!D113+Családvéd.!D113+Gyermekvéd.!D113+Családtám.!D113+'Egyéb szoc.'!D113+'Közösségi Ház'!D113</f>
        <v>11540000</v>
      </c>
      <c r="E119" s="15">
        <f>Igazg.!E116+Adók!E114+Temető!E113+Önk.vagyon!E113+Múzeum!E113+Rendezvények!E113+Közter.rend.!E113+Közf.!E113+Közutak!E114+Közvil.!E113+Zöldter.!E113+'Város-község'!E113+Háziorvos!E113+Védőnő!E113+Sport!E113+Könyvtár!E113+'Művelődési H.'!E113+'Isk.1-4.'!E113+'Isk.5-8.'!E113+Gyermekétk.!E113+Családvéd.!E113+Gyermekvéd.!E113+Családtám.!E113+'Egyéb szoc.'!E113+'Közösségi Ház'!E113</f>
        <v>0</v>
      </c>
      <c r="F119" s="15">
        <f>Igazg.!F116+Adók!F114+Temető!F113+Önk.vagyon!F113+Múzeum!F113+Rendezvények!F113+Közter.rend.!F113+Közf.!F113+Közutak!F114+Közvil.!F113+Zöldter.!F113+'Város-község'!F113+Háziorvos!F113+Védőnő!F113+Sport!F113+Könyvtár!F113+'Művelődési H.'!F113+'Isk.1-4.'!F113+'Isk.5-8.'!F113+Gyermekétk.!F113+Családvéd.!F113+Gyermekvéd.!F113+Családtám.!F113+'Egyéb szoc.'!F113+'Közösségi Ház'!F113</f>
        <v>11540000</v>
      </c>
      <c r="G119" s="15">
        <f>Igazg.!G116+Adók!G114+Temető!G113+Önk.vagyon!G113+Múzeum!G113+Rendezvények!G113+Közter.rend.!G113+Közf.!G113+Közutak!G114+Közvil.!G113+Zöldter.!G113+'Város-község'!G113+Háziorvos!G113+Védőnő!G113+Sport!G113+Könyvtár!G113+'Művelődési H.'!G113+'Isk.1-4.'!G113+'Isk.5-8.'!G113+Gyermekétk.!G113+Családvéd.!G113+Gyermekvéd.!G113+Családtám.!G113+'Egyéb szoc.'!G113+'Közösségi Ház'!G113</f>
        <v>1158537</v>
      </c>
      <c r="H119" s="125">
        <f t="shared" si="1"/>
        <v>0.10039315424610051</v>
      </c>
      <c r="L119" s="7">
        <v>10399820</v>
      </c>
    </row>
    <row r="120" spans="1:12" ht="25.5">
      <c r="A120" s="13" t="s">
        <v>119</v>
      </c>
      <c r="B120" s="14" t="s">
        <v>120</v>
      </c>
      <c r="C120" s="15">
        <f>Igazg.!C117+Adók!C115+Temető!C114+Önk.vagyon!C114+Múzeum!C114+Rendezvények!C114+Közter.rend.!C114+Közf.!C114+Közutak!C115+Közvil.!C114+Zöldter.!C114+'Város-község'!C114+Háziorvos!C114+Védőnő!C114+Sport!C114+Könyvtár!C114+'Művelődési H.'!C114+'Isk.1-4.'!C114+'Isk.5-8.'!C114+Gyermekétk.!C114+Családvéd.!C114+Gyermekvéd.!C114+Családtám.!C114+'Egyéb szoc.'!C114+'Közösségi Ház'!C114</f>
        <v>1935750</v>
      </c>
      <c r="D120" s="15">
        <f>Igazg.!D117+Adók!D115+Temető!D114+Önk.vagyon!D114+Múzeum!D114+Rendezvények!D114+Közter.rend.!D114+Közf.!D114+Közutak!D115+Közvil.!D114+Zöldter.!D114+'Város-község'!D114+Háziorvos!D114+Védőnő!D114+Sport!D114+Könyvtár!D114+'Művelődési H.'!D114+'Isk.1-4.'!D114+'Isk.5-8.'!D114+Gyermekétk.!D114+Családvéd.!D114+Gyermekvéd.!D114+Családtám.!D114+'Egyéb szoc.'!D114+'Közösségi Ház'!D114</f>
        <v>0</v>
      </c>
      <c r="E120" s="15">
        <f>Igazg.!E117+Adók!E115+Temető!E114+Önk.vagyon!E114+Múzeum!E114+Rendezvények!E114+Közter.rend.!E114+Közf.!E114+Közutak!E115+Közvil.!E114+Zöldter.!E114+'Város-község'!E114+Háziorvos!E114+Védőnő!E114+Sport!E114+Könyvtár!E114+'Művelődési H.'!E114+'Isk.1-4.'!E114+'Isk.5-8.'!E114+Gyermekétk.!E114+Családvéd.!E114+Gyermekvéd.!E114+Családtám.!E114+'Egyéb szoc.'!E114+'Közösségi Ház'!E114</f>
        <v>0</v>
      </c>
      <c r="F120" s="15">
        <f>Igazg.!F117+Adók!F115+Temető!F114+Önk.vagyon!F114+Múzeum!F114+Rendezvények!F114+Közter.rend.!F114+Közf.!F114+Közutak!F115+Közvil.!F114+Zöldter.!F114+'Város-község'!F114+Háziorvos!F114+Védőnő!F114+Sport!F114+Könyvtár!F114+'Művelődési H.'!F114+'Isk.1-4.'!F114+'Isk.5-8.'!F114+Gyermekétk.!F114+Családvéd.!F114+Gyermekvéd.!F114+Családtám.!F114+'Egyéb szoc.'!F114+'Közösségi Ház'!F114</f>
        <v>0</v>
      </c>
      <c r="G120" s="15">
        <f>Igazg.!G117+Adók!G115+Temető!G114+Önk.vagyon!G114+Múzeum!G114+Rendezvények!G114+Közter.rend.!G114+Közf.!G114+Közutak!G115+Közvil.!G114+Zöldter.!G114+'Város-község'!G114+Háziorvos!G114+Védőnő!G114+Sport!G114+Könyvtár!G114+'Művelődési H.'!G114+'Isk.1-4.'!G114+'Isk.5-8.'!G114+Gyermekétk.!G114+Családvéd.!G114+Gyermekvéd.!G114+Családtám.!G114+'Egyéb szoc.'!G114+'Közösségi Ház'!G114</f>
        <v>0</v>
      </c>
      <c r="H120" s="124" t="e">
        <f t="shared" si="1"/>
        <v>#DIV/0!</v>
      </c>
      <c r="L120" s="4">
        <v>1935750</v>
      </c>
    </row>
    <row r="121" spans="1:12" ht="25.5">
      <c r="A121" s="13" t="s">
        <v>121</v>
      </c>
      <c r="B121" s="14" t="s">
        <v>122</v>
      </c>
      <c r="C121" s="15">
        <f>Igazg.!C118+Adók!C116+Temető!C115+Önk.vagyon!C115+Múzeum!C115+Rendezvények!C115+Közter.rend.!C115+Közf.!C115+Közutak!C116+Közvil.!C115+Zöldter.!C115+'Város-község'!C115+Háziorvos!C115+Védőnő!C115+Sport!C115+Könyvtár!C115+'Művelődési H.'!C115+'Isk.1-4.'!C115+'Isk.5-8.'!C115+Gyermekétk.!C115+Családvéd.!C115+Gyermekvéd.!C115+Családtám.!C115+'Egyéb szoc.'!C115+'Közösségi Ház'!C115</f>
        <v>3421735</v>
      </c>
      <c r="D121" s="15">
        <f>Igazg.!D118+Adók!D116+Temető!D115+Önk.vagyon!D115+Múzeum!D115+Rendezvények!D115+Közter.rend.!D115+Közf.!D115+Közutak!D116+Közvil.!D115+Zöldter.!D115+'Város-község'!D115+Háziorvos!D115+Védőnő!D115+Sport!D115+Könyvtár!D115+'Művelődési H.'!D115+'Isk.1-4.'!D115+'Isk.5-8.'!D115+Gyermekétk.!D115+Családvéd.!D115+Gyermekvéd.!D115+Családtám.!D115+'Egyéb szoc.'!D115+'Közösségi Ház'!D115</f>
        <v>0</v>
      </c>
      <c r="E121" s="15">
        <f>Igazg.!E118+Adók!E116+Temető!E115+Önk.vagyon!E115+Múzeum!E115+Rendezvények!E115+Közter.rend.!E115+Közf.!E115+Közutak!E116+Közvil.!E115+Zöldter.!E115+'Város-község'!E115+Háziorvos!E115+Védőnő!E115+Sport!E115+Könyvtár!E115+'Művelődési H.'!E115+'Isk.1-4.'!E115+'Isk.5-8.'!E115+Gyermekétk.!E115+Családvéd.!E115+Gyermekvéd.!E115+Családtám.!E115+'Egyéb szoc.'!E115+'Közösségi Ház'!E115</f>
        <v>0</v>
      </c>
      <c r="F121" s="15">
        <f>Igazg.!F118+Adók!F116+Temető!F115+Önk.vagyon!F115+Múzeum!F115+Rendezvények!F115+Közter.rend.!F115+Közf.!F115+Közutak!F116+Közvil.!F115+Zöldter.!F115+'Város-község'!F115+Háziorvos!F115+Védőnő!F115+Sport!F115+Könyvtár!F115+'Művelődési H.'!F115+'Isk.1-4.'!F115+'Isk.5-8.'!F115+Gyermekétk.!F115+Családvéd.!F115+Gyermekvéd.!F115+Családtám.!F115+'Egyéb szoc.'!F115+'Közösségi Ház'!F115</f>
        <v>0</v>
      </c>
      <c r="G121" s="15">
        <f>Igazg.!G118+Adók!G116+Temető!G115+Önk.vagyon!G115+Múzeum!G115+Rendezvények!G115+Közter.rend.!G115+Közf.!G115+Közutak!G116+Közvil.!G115+Zöldter.!G115+'Város-község'!G115+Háziorvos!G115+Védőnő!G115+Sport!G115+Könyvtár!G115+'Művelődési H.'!G115+'Isk.1-4.'!G115+'Isk.5-8.'!G115+Gyermekétk.!G115+Családvéd.!G115+Gyermekvéd.!G115+Családtám.!G115+'Egyéb szoc.'!G115+'Közösségi Ház'!G115</f>
        <v>0</v>
      </c>
      <c r="H121" s="124" t="e">
        <f t="shared" si="1"/>
        <v>#DIV/0!</v>
      </c>
      <c r="L121" s="4">
        <v>3421735</v>
      </c>
    </row>
    <row r="122" spans="1:12" ht="25.5">
      <c r="A122" s="13" t="s">
        <v>123</v>
      </c>
      <c r="B122" s="14" t="s">
        <v>124</v>
      </c>
      <c r="C122" s="15">
        <f>Igazg.!C119+Adók!C117+Temető!C116+Önk.vagyon!C116+Múzeum!C116+Rendezvények!C116+Közter.rend.!C116+Közf.!C116+Közutak!C117+Közvil.!C116+Zöldter.!C116+'Város-község'!C116+Háziorvos!C116+Védőnő!C116+Sport!C116+Könyvtár!C116+'Művelődési H.'!C116+'Isk.1-4.'!C116+'Isk.5-8.'!C116+Gyermekétk.!C116+Családvéd.!C116+Gyermekvéd.!C116+Családtám.!C116+'Egyéb szoc.'!C116+'Közösségi Ház'!C116</f>
        <v>5357485</v>
      </c>
      <c r="D122" s="15">
        <f>Igazg.!D119+Adók!D117+Temető!D116+Önk.vagyon!D116+Múzeum!D116+Rendezvények!D116+Közter.rend.!D116+Közf.!D116+Közutak!D117+Közvil.!D116+Zöldter.!D116+'Város-község'!D116+Háziorvos!D116+Védőnő!D116+Sport!D116+Könyvtár!D116+'Művelődési H.'!D116+'Isk.1-4.'!D116+'Isk.5-8.'!D116+Gyermekétk.!D116+Családvéd.!D116+Gyermekvéd.!D116+Családtám.!D116+'Egyéb szoc.'!D116+'Közösségi Ház'!D116</f>
        <v>0</v>
      </c>
      <c r="E122" s="15">
        <f>Igazg.!E119+Adók!E117+Temető!E116+Önk.vagyon!E116+Múzeum!E116+Rendezvények!E116+Közter.rend.!E116+Közf.!E116+Közutak!E117+Közvil.!E116+Zöldter.!E116+'Város-község'!E116+Háziorvos!E116+Védőnő!E116+Sport!E116+Könyvtár!E116+'Művelődési H.'!E116+'Isk.1-4.'!E116+'Isk.5-8.'!E116+Gyermekétk.!E116+Családvéd.!E116+Gyermekvéd.!E116+Családtám.!E116+'Egyéb szoc.'!E116+'Közösségi Ház'!E116</f>
        <v>9244877</v>
      </c>
      <c r="F122" s="15">
        <f>Igazg.!F119+Adók!F117+Temető!F116+Önk.vagyon!F116+Múzeum!F116+Rendezvények!F116+Közter.rend.!F116+Közf.!F116+Közutak!F117+Közvil.!F116+Zöldter.!F116+'Város-község'!F116+Háziorvos!F116+Védőnő!F116+Sport!F116+Könyvtár!F116+'Művelődési H.'!F116+'Isk.1-4.'!F116+'Isk.5-8.'!F116+Gyermekétk.!F116+Családvéd.!F116+Gyermekvéd.!F116+Családtám.!F116+'Egyéb szoc.'!F116+'Közösségi Ház'!F116</f>
        <v>9244877</v>
      </c>
      <c r="G122" s="15">
        <f>Igazg.!G119+Adók!G117+Temető!G116+Önk.vagyon!G116+Múzeum!G116+Rendezvények!G116+Közter.rend.!G116+Közf.!G116+Közutak!G117+Közvil.!G116+Zöldter.!G116+'Város-község'!G116+Háziorvos!G116+Védőnő!G116+Sport!G116+Könyvtár!G116+'Művelődési H.'!G116+'Isk.1-4.'!G116+'Isk.5-8.'!G116+Gyermekétk.!G116+Családvéd.!G116+Gyermekvéd.!G116+Családtám.!G116+'Egyéb szoc.'!G116+'Közösségi Ház'!G116</f>
        <v>9244877</v>
      </c>
      <c r="H122" s="124">
        <f t="shared" si="1"/>
        <v>1</v>
      </c>
      <c r="L122" s="4">
        <v>5357485</v>
      </c>
    </row>
    <row r="123" spans="1:12" ht="25.5">
      <c r="A123" s="13" t="s">
        <v>125</v>
      </c>
      <c r="B123" s="14" t="s">
        <v>126</v>
      </c>
      <c r="C123" s="15">
        <f>Igazg.!C120+Adók!C118+Temető!C117+Önk.vagyon!C117+Múzeum!C117+Rendezvények!C117+Közter.rend.!C117+Közf.!C117+Közutak!C118+Közvil.!C117+Zöldter.!C117+'Város-község'!C117+Háziorvos!C117+Védőnő!C117+Sport!C117+Könyvtár!C117+'Művelődési H.'!C117+'Isk.1-4.'!C117+'Isk.5-8.'!C117+Gyermekétk.!C117+Családvéd.!C117+Gyermekvéd.!C117+Családtám.!C117+'Egyéb szoc.'!C117+'Közösségi Ház'!C117</f>
        <v>695988</v>
      </c>
      <c r="D123" s="15">
        <f>Igazg.!D120+Adók!D118+Temető!D117+Önk.vagyon!D117+Múzeum!D117+Rendezvények!D117+Közter.rend.!D117+Közf.!D117+Közutak!D118+Közvil.!D117+Zöldter.!D117+'Város-község'!D117+Háziorvos!D117+Védőnő!D117+Sport!D117+Könyvtár!D117+'Művelődési H.'!D117+'Isk.1-4.'!D117+'Isk.5-8.'!D117+Gyermekétk.!D117+Családvéd.!D117+Gyermekvéd.!D117+Családtám.!D117+'Egyéb szoc.'!D117+'Közösségi Ház'!D117</f>
        <v>695000</v>
      </c>
      <c r="E123" s="15">
        <f>Igazg.!E120+Adók!E118+Temető!E117+Önk.vagyon!E117+Múzeum!E117+Rendezvények!E117+Közter.rend.!E117+Közf.!E117+Közutak!E118+Közvil.!E117+Zöldter.!E117+'Város-község'!E117+Háziorvos!E117+Védőnő!E117+Sport!E117+Könyvtár!E117+'Művelődési H.'!E117+'Isk.1-4.'!E117+'Isk.5-8.'!E117+Gyermekétk.!E117+Családvéd.!E117+Gyermekvéd.!E117+Családtám.!E117+'Egyéb szoc.'!E117+'Közösségi Ház'!E117</f>
        <v>0</v>
      </c>
      <c r="F123" s="15">
        <f>Igazg.!F120+Adók!F118+Temető!F117+Önk.vagyon!F117+Múzeum!F117+Rendezvények!F117+Közter.rend.!F117+Közf.!F117+Közutak!F118+Közvil.!F117+Zöldter.!F117+'Város-község'!F117+Háziorvos!F117+Védőnő!F117+Sport!F117+Könyvtár!F117+'Művelődési H.'!F117+'Isk.1-4.'!F117+'Isk.5-8.'!F117+Gyermekétk.!F117+Családvéd.!F117+Gyermekvéd.!F117+Családtám.!F117+'Egyéb szoc.'!F117+'Közösségi Ház'!F117</f>
        <v>695000</v>
      </c>
      <c r="G123" s="15">
        <f>Igazg.!G120+Adók!G118+Temető!G117+Önk.vagyon!G117+Múzeum!G117+Rendezvények!G117+Közter.rend.!G117+Közf.!G117+Közutak!G118+Közvil.!G117+Zöldter.!G117+'Város-község'!G117+Háziorvos!G117+Védőnő!G117+Sport!G117+Könyvtár!G117+'Művelődési H.'!G117+'Isk.1-4.'!G117+'Isk.5-8.'!G117+Gyermekétk.!G117+Családvéd.!G117+Gyermekvéd.!G117+Családtám.!G117+'Egyéb szoc.'!G117+'Közösségi Ház'!G117</f>
        <v>347544</v>
      </c>
      <c r="H123" s="124">
        <f t="shared" si="1"/>
        <v>0.50006330935251797</v>
      </c>
      <c r="L123" s="4">
        <v>695988</v>
      </c>
    </row>
    <row r="124" spans="1:12" ht="25.5">
      <c r="A124" s="13" t="s">
        <v>127</v>
      </c>
      <c r="B124" s="14" t="s">
        <v>128</v>
      </c>
      <c r="C124" s="15">
        <f>Igazg.!C121+Adók!C119+Temető!C118+Önk.vagyon!C118+Múzeum!C118+Rendezvények!C118+Közter.rend.!C118+Közf.!C118+Közutak!C119+Közvil.!C118+Zöldter.!C118+'Város-község'!C118+Háziorvos!C118+Védőnő!C118+Sport!C118+Könyvtár!C118+'Művelődési H.'!C118+'Isk.1-4.'!C118+'Isk.5-8.'!C118+Gyermekétk.!C118+Családvéd.!C118+Gyermekvéd.!C118+Családtám.!C118+'Egyéb szoc.'!C118+'Közösségi Ház'!C118</f>
        <v>695988</v>
      </c>
      <c r="D124" s="15">
        <f>Igazg.!D121+Adók!D119+Temető!D118+Önk.vagyon!D118+Múzeum!D118+Rendezvények!D118+Közter.rend.!D118+Közf.!D118+Közutak!D119+Közvil.!D118+Zöldter.!D118+'Város-község'!D118+Háziorvos!D118+Védőnő!D118+Sport!D118+Könyvtár!D118+'Művelődési H.'!D118+'Isk.1-4.'!D118+'Isk.5-8.'!D118+Gyermekétk.!D118+Családvéd.!D118+Gyermekvéd.!D118+Családtám.!D118+'Egyéb szoc.'!D118+'Közösségi Ház'!D118</f>
        <v>695000</v>
      </c>
      <c r="E124" s="15">
        <f>Igazg.!E121+Adók!E119+Temető!E118+Önk.vagyon!E118+Múzeum!E118+Rendezvények!E118+Közter.rend.!E118+Közf.!E118+Közutak!E119+Közvil.!E118+Zöldter.!E118+'Város-község'!E118+Háziorvos!E118+Védőnő!E118+Sport!E118+Könyvtár!E118+'Művelődési H.'!E118+'Isk.1-4.'!E118+'Isk.5-8.'!E118+Gyermekétk.!E118+Családvéd.!E118+Gyermekvéd.!E118+Családtám.!E118+'Egyéb szoc.'!E118+'Közösségi Ház'!E118</f>
        <v>0</v>
      </c>
      <c r="F124" s="15">
        <f>Igazg.!F121+Adók!F119+Temető!F118+Önk.vagyon!F118+Múzeum!F118+Rendezvények!F118+Közter.rend.!F118+Közf.!F118+Közutak!F119+Közvil.!F118+Zöldter.!F118+'Város-község'!F118+Háziorvos!F118+Védőnő!F118+Sport!F118+Könyvtár!F118+'Művelődési H.'!F118+'Isk.1-4.'!F118+'Isk.5-8.'!F118+Gyermekétk.!F118+Családvéd.!F118+Gyermekvéd.!F118+Családtám.!F118+'Egyéb szoc.'!F118+'Közösségi Ház'!F118</f>
        <v>695000</v>
      </c>
      <c r="G124" s="15">
        <f>Igazg.!G121+Adók!G119+Temető!G118+Önk.vagyon!G118+Múzeum!G118+Rendezvények!G118+Közter.rend.!G118+Közf.!G118+Közutak!G119+Közvil.!G118+Zöldter.!G118+'Város-község'!G118+Háziorvos!G118+Védőnő!G118+Sport!G118+Könyvtár!G118+'Művelődési H.'!G118+'Isk.1-4.'!G118+'Isk.5-8.'!G118+Gyermekétk.!G118+Családvéd.!G118+Gyermekvéd.!G118+Családtám.!G118+'Egyéb szoc.'!G118+'Közösségi Ház'!G118</f>
        <v>347544</v>
      </c>
      <c r="H124" s="124">
        <f t="shared" si="1"/>
        <v>0.50006330935251797</v>
      </c>
      <c r="L124" s="4">
        <v>695988</v>
      </c>
    </row>
    <row r="125" spans="1:12" ht="25.5">
      <c r="A125" s="13" t="s">
        <v>129</v>
      </c>
      <c r="B125" s="14" t="s">
        <v>130</v>
      </c>
      <c r="C125" s="15">
        <f>Igazg.!C122+Adók!C120+Temető!C119+Önk.vagyon!C119+Múzeum!C119+Rendezvények!C119+Közter.rend.!C119+Közf.!C119+Közutak!C120+Közvil.!C119+Zöldter.!C119+'Város-község'!C119+Háziorvos!C119+Védőnő!C119+Sport!C119+Könyvtár!C119+'Művelődési H.'!C119+'Isk.1-4.'!C119+'Isk.5-8.'!C119+Gyermekétk.!C119+Családvéd.!C119+Gyermekvéd.!C119+Családtám.!C119+'Egyéb szoc.'!C119+'Közösségi Ház'!C119</f>
        <v>524103</v>
      </c>
      <c r="D125" s="15">
        <f>Igazg.!D122+Adók!D120+Temető!D119+Önk.vagyon!D119+Múzeum!D119+Rendezvények!D119+Közter.rend.!D119+Közf.!D119+Közutak!D120+Közvil.!D119+Zöldter.!D119+'Város-község'!D119+Háziorvos!D119+Védőnő!D119+Sport!D119+Könyvtár!D119+'Művelődési H.'!D119+'Isk.1-4.'!D119+'Isk.5-8.'!D119+Gyermekétk.!D119+Családvéd.!D119+Gyermekvéd.!D119+Családtám.!D119+'Egyéb szoc.'!D119+'Közösségi Ház'!D119</f>
        <v>495000</v>
      </c>
      <c r="E125" s="131">
        <f>Igazg.!E122+Adók!E120+Temető!E119+Önk.vagyon!E119+Múzeum!E119+Rendezvények!E119+Közter.rend.!E119+Közf.!E119+Közutak!E120+Közvil.!E119+Zöldter.!E119+'Város-község'!E119+Háziorvos!E119+Védőnő!E119+Sport!E119+Könyvtár!E119+'Művelődési H.'!E119+'Isk.1-4.'!E119+'Isk.5-8.'!E119+Gyermekétk.!E119+Családvéd.!E119+Gyermekvéd.!E119+Családtám.!E119+'Egyéb szoc.'!E119+'Közösségi Ház'!E119</f>
        <v>2000000</v>
      </c>
      <c r="F125" s="15">
        <f>Igazg.!F122+Adók!F120+Temető!F119+Önk.vagyon!F119+Múzeum!F119+Rendezvények!F119+Közter.rend.!F119+Közf.!F119+Közutak!F120+Közvil.!F119+Zöldter.!F119+'Város-község'!F119+Háziorvos!F119+Védőnő!F119+Sport!F119+Könyvtár!F119+'Művelődési H.'!F119+'Isk.1-4.'!F119+'Isk.5-8.'!F119+Gyermekétk.!F119+Családvéd.!F119+Gyermekvéd.!F119+Családtám.!F119+'Egyéb szoc.'!F119+'Közösségi Ház'!F119</f>
        <v>2495000</v>
      </c>
      <c r="G125" s="15">
        <f>Igazg.!G122+Adók!G120+Temető!G119+Önk.vagyon!G119+Múzeum!G119+Rendezvények!G119+Közter.rend.!G119+Közf.!G119+Közutak!G120+Közvil.!G119+Zöldter.!G119+'Város-község'!G119+Háziorvos!G119+Védőnő!G119+Sport!G119+Könyvtár!G119+'Művelődési H.'!G119+'Isk.1-4.'!G119+'Isk.5-8.'!G119+Gyermekétk.!G119+Családvéd.!G119+Gyermekvéd.!G119+Családtám.!G119+'Egyéb szoc.'!G119+'Közösségi Ház'!G119</f>
        <v>2305635</v>
      </c>
      <c r="H125" s="124">
        <f t="shared" si="1"/>
        <v>0.92410220440881763</v>
      </c>
      <c r="L125" s="4">
        <v>524103</v>
      </c>
    </row>
    <row r="126" spans="1:12">
      <c r="A126" s="13" t="s">
        <v>131</v>
      </c>
      <c r="B126" s="14" t="s">
        <v>132</v>
      </c>
      <c r="C126" s="15">
        <f>Igazg.!C123+Adók!C121+Temető!C120+Önk.vagyon!C120+Múzeum!C120+Rendezvények!C120+Közter.rend.!C120+Közf.!C120+Közutak!C121+Közvil.!C120+Zöldter.!C120+'Város-község'!C120+Háziorvos!C120+Védőnő!C120+Sport!C120+Könyvtár!C120+'Művelődési H.'!C120+'Isk.1-4.'!C120+'Isk.5-8.'!C120+Gyermekétk.!C120+Családvéd.!C120+Gyermekvéd.!C120+Családtám.!C120+'Egyéb szoc.'!C120+'Közösségi Ház'!C120</f>
        <v>383784</v>
      </c>
      <c r="D126" s="15">
        <f>Igazg.!D123+Adók!D121+Temető!D120+Önk.vagyon!D120+Múzeum!D120+Rendezvények!D120+Közter.rend.!D120+Közf.!D120+Közutak!D121+Közvil.!D120+Zöldter.!D120+'Város-község'!D120+Háziorvos!D120+Védőnő!D120+Sport!D120+Könyvtár!D120+'Művelődési H.'!D120+'Isk.1-4.'!D120+'Isk.5-8.'!D120+Gyermekétk.!D120+Családvéd.!D120+Gyermekvéd.!D120+Családtám.!D120+'Egyéb szoc.'!D120+'Közösségi Ház'!D120</f>
        <v>0</v>
      </c>
      <c r="E126" s="15">
        <f>Igazg.!E123+Adók!E121+Temető!E120+Önk.vagyon!E120+Múzeum!E120+Rendezvények!E120+Közter.rend.!E120+Közf.!E120+Közutak!E121+Közvil.!E120+Zöldter.!E120+'Város-község'!E120+Háziorvos!E120+Védőnő!E120+Sport!E120+Könyvtár!E120+'Művelődési H.'!E120+'Isk.1-4.'!E120+'Isk.5-8.'!E120+Gyermekétk.!E120+Családvéd.!E120+Gyermekvéd.!E120+Családtám.!E120+'Egyéb szoc.'!E120+'Közösségi Ház'!E120</f>
        <v>2297040</v>
      </c>
      <c r="F126" s="15">
        <f>Igazg.!F123+Adók!F121+Temető!F120+Önk.vagyon!F120+Múzeum!F120+Rendezvények!F120+Közter.rend.!F120+Közf.!F120+Közutak!F121+Közvil.!F120+Zöldter.!F120+'Város-község'!F120+Háziorvos!F120+Védőnő!F120+Sport!F120+Könyvtár!F120+'Művelődési H.'!F120+'Isk.1-4.'!F120+'Isk.5-8.'!F120+Gyermekétk.!F120+Családvéd.!F120+Gyermekvéd.!F120+Családtám.!F120+'Egyéb szoc.'!F120+'Közösségi Ház'!F120</f>
        <v>2297040</v>
      </c>
      <c r="G126" s="15">
        <f>Igazg.!G123+Adók!G121+Temető!G120+Önk.vagyon!G120+Múzeum!G120+Rendezvények!G120+Közter.rend.!G120+Közf.!G120+Közutak!G121+Közvil.!G120+Zöldter.!G120+'Város-község'!G120+Háziorvos!G120+Védőnő!G120+Sport!G120+Könyvtár!G120+'Művelődési H.'!G120+'Isk.1-4.'!G120+'Isk.5-8.'!G120+Gyermekétk.!G120+Családvéd.!G120+Gyermekvéd.!G120+Családtám.!G120+'Egyéb szoc.'!G120+'Közösségi Ház'!G120</f>
        <v>2151675</v>
      </c>
      <c r="H126" s="124">
        <f t="shared" si="1"/>
        <v>0.93671638282311154</v>
      </c>
      <c r="L126" s="4">
        <v>383784</v>
      </c>
    </row>
    <row r="127" spans="1:12">
      <c r="A127" s="13" t="s">
        <v>133</v>
      </c>
      <c r="B127" s="14" t="s">
        <v>134</v>
      </c>
      <c r="C127" s="15">
        <f>Igazg.!C124+Adók!C122+Temető!C121+Önk.vagyon!C121+Múzeum!C121+Rendezvények!C121+Közter.rend.!C121+Közf.!C121+Közutak!C122+Közvil.!C121+Zöldter.!C121+'Város-község'!C121+Háziorvos!C121+Védőnő!C121+Sport!C121+Könyvtár!C121+'Művelődési H.'!C121+'Isk.1-4.'!C121+'Isk.5-8.'!C121+Gyermekétk.!C121+Családvéd.!C121+Gyermekvéd.!C121+Családtám.!C121+'Egyéb szoc.'!C121+'Közösségi Ház'!C121</f>
        <v>5619</v>
      </c>
      <c r="D127" s="15">
        <f>Igazg.!D124+Adók!D122+Temető!D121+Önk.vagyon!D121+Múzeum!D121+Rendezvények!D121+Közter.rend.!D121+Közf.!D121+Közutak!D122+Közvil.!D121+Zöldter.!D121+'Város-község'!D121+Háziorvos!D121+Védőnő!D121+Sport!D121+Könyvtár!D121+'Művelődési H.'!D121+'Isk.1-4.'!D121+'Isk.5-8.'!D121+Gyermekétk.!D121+Családvéd.!D121+Gyermekvéd.!D121+Családtám.!D121+'Egyéb szoc.'!D121+'Közösségi Ház'!D121</f>
        <v>10000</v>
      </c>
      <c r="E127" s="15">
        <f>Igazg.!E124+Adók!E122+Temető!E121+Önk.vagyon!E121+Múzeum!E121+Rendezvények!E121+Közter.rend.!E121+Közf.!E121+Közutak!E122+Közvil.!E121+Zöldter.!E121+'Város-község'!E121+Háziorvos!E121+Védőnő!E121+Sport!E121+Könyvtár!E121+'Művelődési H.'!E121+'Isk.1-4.'!E121+'Isk.5-8.'!E121+Gyermekétk.!E121+Családvéd.!E121+Gyermekvéd.!E121+Családtám.!E121+'Egyéb szoc.'!E121+'Közösségi Ház'!E121</f>
        <v>-10000</v>
      </c>
      <c r="F127" s="15">
        <f>Igazg.!F124+Adók!F122+Temető!F121+Önk.vagyon!F121+Múzeum!F121+Rendezvények!F121+Közter.rend.!F121+Közf.!F121+Közutak!F122+Közvil.!F121+Zöldter.!F121+'Város-község'!F121+Háziorvos!F121+Védőnő!F121+Sport!F121+Könyvtár!F121+'Művelődési H.'!F121+'Isk.1-4.'!F121+'Isk.5-8.'!F121+Gyermekétk.!F121+Családvéd.!F121+Gyermekvéd.!F121+Családtám.!F121+'Egyéb szoc.'!F121+'Közösségi Ház'!F121</f>
        <v>0</v>
      </c>
      <c r="G127" s="15">
        <f>Igazg.!G124+Adók!G122+Temető!G121+Önk.vagyon!G121+Múzeum!G121+Rendezvények!G121+Közter.rend.!G121+Közf.!G121+Közutak!G122+Közvil.!G121+Zöldter.!G121+'Város-község'!G121+Háziorvos!G121+Védőnő!G121+Sport!G121+Könyvtár!G121+'Művelődési H.'!G121+'Isk.1-4.'!G121+'Isk.5-8.'!G121+Gyermekétk.!G121+Családvéd.!G121+Gyermekvéd.!G121+Családtám.!G121+'Egyéb szoc.'!G121+'Közösségi Ház'!G121</f>
        <v>0</v>
      </c>
      <c r="H127" s="124" t="e">
        <f t="shared" si="1"/>
        <v>#DIV/0!</v>
      </c>
      <c r="L127" s="4">
        <v>5619</v>
      </c>
    </row>
    <row r="128" spans="1:12">
      <c r="A128" s="13" t="s">
        <v>135</v>
      </c>
      <c r="B128" s="14" t="s">
        <v>136</v>
      </c>
      <c r="C128" s="15">
        <f>Igazg.!C125+Adók!C123+Temető!C122+Önk.vagyon!C122+Múzeum!C122+Rendezvények!C122+Közter.rend.!C122+Közf.!C122+Közutak!C123+Közvil.!C122+Zöldter.!C122+'Város-község'!C122+Háziorvos!C122+Védőnő!C122+Sport!C122+Könyvtár!C122+'Művelődési H.'!C122+'Isk.1-4.'!C122+'Isk.5-8.'!C122+Gyermekétk.!C122+Családvéd.!C122+Gyermekvéd.!C122+Családtám.!C122+'Egyéb szoc.'!C122+'Közösségi Ház'!C122</f>
        <v>134700</v>
      </c>
      <c r="D128" s="15">
        <f>Igazg.!D125+Adók!D123+Temető!D122+Önk.vagyon!D122+Múzeum!D122+Rendezvények!D122+Közter.rend.!D122+Közf.!D122+Közutak!D123+Közvil.!D122+Zöldter.!D122+'Város-község'!D122+Háziorvos!D122+Védőnő!D122+Sport!D122+Könyvtár!D122+'Művelődési H.'!D122+'Isk.1-4.'!D122+'Isk.5-8.'!D122+Gyermekétk.!D122+Családvéd.!D122+Gyermekvéd.!D122+Családtám.!D122+'Egyéb szoc.'!D122+'Közösségi Ház'!D122</f>
        <v>485000</v>
      </c>
      <c r="E128" s="15">
        <f>Igazg.!E125+Adók!E123+Temető!E122+Önk.vagyon!E122+Múzeum!E122+Rendezvények!E122+Közter.rend.!E122+Közf.!E122+Közutak!E123+Közvil.!E122+Zöldter.!E122+'Város-község'!E122+Háziorvos!E122+Védőnő!E122+Sport!E122+Könyvtár!E122+'Művelődési H.'!E122+'Isk.1-4.'!E122+'Isk.5-8.'!E122+Gyermekétk.!E122+Családvéd.!E122+Gyermekvéd.!E122+Családtám.!E122+'Egyéb szoc.'!E122+'Közösségi Ház'!E122</f>
        <v>-287040</v>
      </c>
      <c r="F128" s="15">
        <f>Igazg.!F125+Adók!F123+Temető!F122+Önk.vagyon!F122+Múzeum!F122+Rendezvények!F122+Közter.rend.!F122+Közf.!F122+Közutak!F123+Közvil.!F122+Zöldter.!F122+'Város-község'!F122+Háziorvos!F122+Védőnő!F122+Sport!F122+Könyvtár!F122+'Művelődési H.'!F122+'Isk.1-4.'!F122+'Isk.5-8.'!F122+Gyermekétk.!F122+Családvéd.!F122+Gyermekvéd.!F122+Családtám.!F122+'Egyéb szoc.'!F122+'Közösségi Ház'!F122</f>
        <v>197960</v>
      </c>
      <c r="G128" s="15">
        <f>Igazg.!G125+Adók!G123+Temető!G122+Önk.vagyon!G122+Múzeum!G122+Rendezvények!G122+Közter.rend.!G122+Közf.!G122+Közutak!G123+Közvil.!G122+Zöldter.!G122+'Város-község'!G122+Háziorvos!G122+Védőnő!G122+Sport!G122+Könyvtár!G122+'Művelődési H.'!G122+'Isk.1-4.'!G122+'Isk.5-8.'!G122+Gyermekétk.!G122+Családvéd.!G122+Gyermekvéd.!G122+Családtám.!G122+'Egyéb szoc.'!G122+'Közösségi Ház'!G122</f>
        <v>153960</v>
      </c>
      <c r="H128" s="124">
        <f t="shared" si="1"/>
        <v>0.77773287532834912</v>
      </c>
      <c r="L128" s="4">
        <v>134700</v>
      </c>
    </row>
    <row r="129" spans="1:12">
      <c r="A129" s="13">
        <v>188</v>
      </c>
      <c r="B129" s="14" t="s">
        <v>275</v>
      </c>
      <c r="C129" s="15">
        <f>Igazg.!C126+Adók!C124+Temető!C123+Önk.vagyon!C123+Múzeum!C123+Rendezvények!C123+Közter.rend.!C123+Közf.!C123+Közutak!C124+Közvil.!C123+Zöldter.!C123+'Város-község'!C123+Háziorvos!C123+Védőnő!C123+Sport!C123+Könyvtár!C123+'Művelődési H.'!C123+'Isk.1-4.'!C123+'Isk.5-8.'!C123+Gyermekétk.!C123+Családvéd.!C123+Gyermekvéd.!C123+Családtám.!C123+'Egyéb szoc.'!C123+'Közösségi Ház'!C123</f>
        <v>0</v>
      </c>
      <c r="D129" s="15">
        <f>Igazg.!D126+Adók!D124+Temető!D123+Önk.vagyon!D123+Múzeum!D123+Rendezvények!D123+Közter.rend.!D123+Közf.!D123+Közutak!D124+Közvil.!D123+Zöldter.!D123+'Város-község'!D123+Háziorvos!D123+Védőnő!D123+Sport!D123+Könyvtár!D123+'Művelődési H.'!D123+'Isk.1-4.'!D123+'Isk.5-8.'!D123+Gyermekétk.!D123+Családvéd.!D123+Gyermekvéd.!D123+Családtám.!D123+'Egyéb szoc.'!D123+'Közösségi Ház'!D123</f>
        <v>13135554</v>
      </c>
      <c r="E129" s="131">
        <f>Igazg.!E126+Adók!E124+Temető!E123+Önk.vagyon!E123+Múzeum!E123+Rendezvények!E123+Közter.rend.!E123+Közf.!E123+Közutak!E124+Közvil.!E123+Zöldter.!E123+'Város-község'!E123+Háziorvos!E123+Védőnő!E123+Sport!E123+Könyvtár!E123+'Művelődési H.'!E123+'Isk.1-4.'!E123+'Isk.5-8.'!E123+Gyermekétk.!E123+Családvéd.!E123+Gyermekvéd.!E123+Családtám.!E123+'Egyéb szoc.'!E123+'Közösségi Ház'!E123</f>
        <v>-4902369</v>
      </c>
      <c r="F129" s="15">
        <f>Igazg.!F126+Adók!F124+Temető!F123+Önk.vagyon!F123+Múzeum!F123+Rendezvények!F123+Közter.rend.!F123+Közf.!F123+Közutak!F124+Közvil.!F123+Zöldter.!F123+'Város-község'!F123+Háziorvos!F123+Védőnő!F123+Sport!F123+Könyvtár!F123+'Művelődési H.'!F123+'Isk.1-4.'!F123+'Isk.5-8.'!F123+Gyermekétk.!F123+Családvéd.!F123+Gyermekvéd.!F123+Családtám.!F123+'Egyéb szoc.'!F123+'Közösségi Ház'!F123</f>
        <v>8233185</v>
      </c>
      <c r="G129" s="15">
        <f>Igazg.!G126+Adók!G124+Temető!G123+Önk.vagyon!G123+Múzeum!G123+Rendezvények!G123+Közter.rend.!G123+Közf.!G123+Közutak!G124+Közvil.!G123+Zöldter.!G123+'Város-község'!G123+Háziorvos!G123+Védőnő!G123+Sport!G123+Könyvtár!G123+'Művelődési H.'!G123+'Isk.1-4.'!G123+'Isk.5-8.'!G123+Gyermekétk.!G123+Családvéd.!G123+Gyermekvéd.!G123+Családtám.!G123+'Egyéb szoc.'!G123+'Közösségi Ház'!G123</f>
        <v>0</v>
      </c>
      <c r="H129" s="124"/>
      <c r="L129" s="4"/>
    </row>
    <row r="130" spans="1:12" ht="38.25">
      <c r="A130" s="16" t="s">
        <v>137</v>
      </c>
      <c r="B130" s="17" t="s">
        <v>138</v>
      </c>
      <c r="C130" s="15">
        <f>Igazg.!C127+Adók!C125+Temető!C124+Önk.vagyon!C124+Múzeum!C124+Rendezvények!C124+Közter.rend.!C124+Közf.!C124+Közutak!C125+Közvil.!C124+Zöldter.!C124+'Város-község'!C124+Háziorvos!C124+Védőnő!C124+Sport!C124+Könyvtár!C124+'Művelődési H.'!C124+'Isk.1-4.'!C124+'Isk.5-8.'!C124+Gyermekétk.!C124+Családvéd.!C124+Gyermekvéd.!C124+Családtám.!C124+'Egyéb szoc.'!C124+'Közösségi Ház'!C124</f>
        <v>6577576</v>
      </c>
      <c r="D130" s="15">
        <f>Igazg.!D127+Adók!D125+Temető!D124+Önk.vagyon!D124+Múzeum!D124+Rendezvények!D124+Közter.rend.!D124+Közf.!D124+Közutak!D125+Közvil.!D124+Zöldter.!D124+'Város-község'!D124+Háziorvos!D124+Védőnő!D124+Sport!D124+Könyvtár!D124+'Művelődési H.'!D124+'Isk.1-4.'!D124+'Isk.5-8.'!D124+Gyermekétk.!D124+Családvéd.!D124+Gyermekvéd.!D124+Családtám.!D124+'Egyéb szoc.'!D124+'Közösségi Ház'!D124</f>
        <v>14325554</v>
      </c>
      <c r="E130" s="15">
        <f>Igazg.!E127+Adók!E125+Temető!E124+Önk.vagyon!E124+Múzeum!E124+Rendezvények!E124+Közter.rend.!E124+Közf.!E124+Közutak!E125+Közvil.!E124+Zöldter.!E124+'Város-község'!E124+Háziorvos!E124+Védőnő!E124+Sport!E124+Könyvtár!E124+'Művelődési H.'!E124+'Isk.1-4.'!E124+'Isk.5-8.'!E124+Gyermekétk.!E124+Családvéd.!E124+Gyermekvéd.!E124+Családtám.!E124+'Egyéb szoc.'!E124+'Közösségi Ház'!E124</f>
        <v>6342508</v>
      </c>
      <c r="F130" s="15">
        <f>Igazg.!F127+Adók!F125+Temető!F124+Önk.vagyon!F124+Múzeum!F124+Rendezvények!F124+Közter.rend.!F124+Közf.!F124+Közutak!F125+Közvil.!F124+Zöldter.!F124+'Város-község'!F124+Háziorvos!F124+Védőnő!F124+Sport!F124+Könyvtár!F124+'Művelődési H.'!F124+'Isk.1-4.'!F124+'Isk.5-8.'!F124+Gyermekétk.!F124+Családvéd.!F124+Gyermekvéd.!F124+Családtám.!F124+'Egyéb szoc.'!F124+'Közösségi Ház'!F124</f>
        <v>20668062</v>
      </c>
      <c r="G130" s="15">
        <f>Igazg.!G127+Adók!G125+Temető!G124+Önk.vagyon!G124+Múzeum!G124+Rendezvények!G124+Közter.rend.!G124+Közf.!G124+Közutak!G125+Közvil.!G124+Zöldter.!G124+'Város-község'!G124+Háziorvos!G124+Védőnő!G124+Sport!G124+Könyvtár!G124+'Művelődési H.'!G124+'Isk.1-4.'!G124+'Isk.5-8.'!G124+Gyermekétk.!G124+Családvéd.!G124+Gyermekvéd.!G124+Családtám.!G124+'Egyéb szoc.'!G124+'Közösségi Ház'!G124</f>
        <v>11898056</v>
      </c>
      <c r="H130" s="125">
        <f t="shared" si="1"/>
        <v>0.57567351984912762</v>
      </c>
      <c r="L130" s="7">
        <v>6577576</v>
      </c>
    </row>
    <row r="131" spans="1:12" s="130" customFormat="1">
      <c r="A131" s="20">
        <v>192</v>
      </c>
      <c r="B131" s="19" t="s">
        <v>466</v>
      </c>
      <c r="C131" s="15">
        <f>Igazg.!C128+Adók!C126+Temető!C125+Önk.vagyon!C125+Múzeum!C125+Rendezvények!C125+Közter.rend.!C125+Közf.!C125+Közutak!C126+Közvil.!C125+Zöldter.!C125+'Város-község'!C125+Háziorvos!C125+Védőnő!C125+Sport!C125+Könyvtár!C125+'Művelődési H.'!C125+'Isk.1-4.'!C125+'Isk.5-8.'!C125+Gyermekétk.!C125+Családvéd.!C125+Gyermekvéd.!C125+Családtám.!C125+'Egyéb szoc.'!C125+'Közösségi Ház'!C125</f>
        <v>0</v>
      </c>
      <c r="D131" s="15">
        <f>Igazg.!D128+Adók!D126+Temető!D125+Önk.vagyon!D125+Múzeum!D125+Rendezvények!D125+Közter.rend.!D125+Közf.!D125+Közutak!D126+Közvil.!D125+Zöldter.!D125+'Város-község'!D125+Háziorvos!D125+Védőnő!D125+Sport!D125+Könyvtár!D125+'Művelődési H.'!D125+'Isk.1-4.'!D125+'Isk.5-8.'!D125+Gyermekétk.!D125+Családvéd.!D125+Gyermekvéd.!D125+Családtám.!D125+'Egyéb szoc.'!D125+'Közösségi Ház'!D125</f>
        <v>3432000</v>
      </c>
      <c r="E131" s="15">
        <f>Igazg.!E128+Adók!E126+Temető!E125+Önk.vagyon!E125+Múzeum!E125+Rendezvények!E125+Közter.rend.!E125+Közf.!E125+Közutak!E126+Közvil.!E125+Zöldter.!E125+'Város-község'!E125+Háziorvos!E125+Védőnő!E125+Sport!E125+Könyvtár!E125+'Művelődési H.'!E125+'Isk.1-4.'!E125+'Isk.5-8.'!E125+Gyermekétk.!E125+Családvéd.!E125+Gyermekvéd.!E125+Családtám.!E125+'Egyéb szoc.'!E125+'Közösségi Ház'!E125</f>
        <v>-200000</v>
      </c>
      <c r="F131" s="15">
        <f>Igazg.!F128+Adók!F126+Temető!F125+Önk.vagyon!F125+Múzeum!F125+Rendezvények!F125+Közter.rend.!F125+Közf.!F125+Közutak!F126+Közvil.!F125+Zöldter.!F125+'Város-község'!F125+Háziorvos!F125+Védőnő!F125+Sport!F125+Könyvtár!F125+'Művelődési H.'!F125+'Isk.1-4.'!F125+'Isk.5-8.'!F125+Gyermekétk.!F125+Családvéd.!F125+Gyermekvéd.!F125+Családtám.!F125+'Egyéb szoc.'!F125+'Közösségi Ház'!F125</f>
        <v>3232000</v>
      </c>
      <c r="G131" s="15">
        <f>Igazg.!G128+Adók!G126+Temető!G125+Önk.vagyon!G125+Múzeum!G125+Rendezvények!G125+Közter.rend.!G125+Közf.!G125+Közutak!G126+Közvil.!G125+Zöldter.!G125+'Város-község'!G125+Háziorvos!G125+Védőnő!G125+Sport!G125+Könyvtár!G125+'Művelődési H.'!G125+'Isk.1-4.'!G125+'Isk.5-8.'!G125+Gyermekétk.!G125+Családvéd.!G125+Gyermekvéd.!G125+Családtám.!G125+'Egyéb szoc.'!G125+'Közösségi Ház'!G125</f>
        <v>0</v>
      </c>
      <c r="H131" s="124">
        <f t="shared" si="1"/>
        <v>0</v>
      </c>
      <c r="L131" s="133"/>
    </row>
    <row r="132" spans="1:12">
      <c r="A132" s="13" t="s">
        <v>139</v>
      </c>
      <c r="B132" s="14" t="s">
        <v>140</v>
      </c>
      <c r="C132" s="15">
        <f>Igazg.!C129+Adók!C127+Temető!C126+Önk.vagyon!C126+Múzeum!C126+Rendezvények!C126+Közter.rend.!C126+Közf.!C126+Közutak!C127+Közvil.!C126+Zöldter.!C126+'Város-község'!C126+Háziorvos!C126+Védőnő!C126+Sport!C126+Könyvtár!C126+'Művelődési H.'!C126+'Isk.1-4.'!C126+'Isk.5-8.'!C126+Gyermekétk.!C126+Családvéd.!C126+Gyermekvéd.!C126+Családtám.!C126+'Egyéb szoc.'!C126+'Közösségi Ház'!C126</f>
        <v>1385580</v>
      </c>
      <c r="D132" s="15">
        <f>Igazg.!D129+Adók!D127+Temető!D126+Önk.vagyon!D126+Múzeum!D126+Rendezvények!D126+Közter.rend.!D126+Közf.!D126+Közutak!D127+Közvil.!D126+Zöldter.!D126+'Város-község'!D126+Háziorvos!D126+Védőnő!D126+Sport!D126+Könyvtár!D126+'Művelődési H.'!D126+'Isk.1-4.'!D126+'Isk.5-8.'!D126+Gyermekétk.!D126+Családvéd.!D126+Gyermekvéd.!D126+Családtám.!D126+'Egyéb szoc.'!D126+'Közösségi Ház'!D126</f>
        <v>1000000</v>
      </c>
      <c r="E132" s="15">
        <f>Igazg.!E129+Adók!E127+Temető!E126+Önk.vagyon!E126+Múzeum!E126+Rendezvények!E126+Közter.rend.!E126+Közf.!E126+Közutak!E127+Közvil.!E126+Zöldter.!E126+'Város-község'!E126+Háziorvos!E126+Védőnő!E126+Sport!E126+Könyvtár!E126+'Művelődési H.'!E126+'Isk.1-4.'!E126+'Isk.5-8.'!E126+Gyermekétk.!E126+Családvéd.!E126+Gyermekvéd.!E126+Családtám.!E126+'Egyéb szoc.'!E126+'Közösségi Ház'!E126</f>
        <v>0</v>
      </c>
      <c r="F132" s="15">
        <f>Igazg.!F129+Adók!F127+Temető!F126+Önk.vagyon!F126+Múzeum!F126+Rendezvények!F126+Közter.rend.!F126+Közf.!F126+Közutak!F127+Közvil.!F126+Zöldter.!F126+'Város-község'!F126+Háziorvos!F126+Védőnő!F126+Sport!F126+Könyvtár!F126+'Művelődési H.'!F126+'Isk.1-4.'!F126+'Isk.5-8.'!F126+Gyermekétk.!F126+Családvéd.!F126+Gyermekvéd.!F126+Családtám.!F126+'Egyéb szoc.'!F126+'Közösségi Ház'!F126</f>
        <v>1000000</v>
      </c>
      <c r="G132" s="15">
        <f>Igazg.!G129+Adók!G127+Temető!G126+Önk.vagyon!G126+Múzeum!G126+Rendezvények!G126+Közter.rend.!G126+Közf.!G126+Közutak!G127+Közvil.!G126+Zöldter.!G126+'Város-község'!G126+Háziorvos!G126+Védőnő!G126+Sport!G126+Könyvtár!G126+'Művelődési H.'!G126+'Isk.1-4.'!G126+'Isk.5-8.'!G126+Gyermekétk.!G126+Családvéd.!G126+Gyermekvéd.!G126+Családtám.!G126+'Egyéb szoc.'!G126+'Közösségi Ház'!G126</f>
        <v>0</v>
      </c>
      <c r="H132" s="124">
        <f t="shared" si="1"/>
        <v>0</v>
      </c>
      <c r="L132" s="4">
        <v>1385580</v>
      </c>
    </row>
    <row r="133" spans="1:12" ht="25.5">
      <c r="A133" s="13" t="s">
        <v>141</v>
      </c>
      <c r="B133" s="14" t="s">
        <v>142</v>
      </c>
      <c r="C133" s="15">
        <f>Igazg.!C130+Adók!C128+Temető!C127+Önk.vagyon!C127+Múzeum!C127+Rendezvények!C127+Közter.rend.!C127+Közf.!C127+Közutak!C128+Közvil.!C127+Zöldter.!C127+'Város-község'!C127+Háziorvos!C127+Védőnő!C127+Sport!C127+Könyvtár!C127+'Művelődési H.'!C127+'Isk.1-4.'!C127+'Isk.5-8.'!C127+Gyermekétk.!C127+Családvéd.!C127+Gyermekvéd.!C127+Családtám.!C127+'Egyéb szoc.'!C127+'Közösségi Ház'!C127</f>
        <v>120472</v>
      </c>
      <c r="D133" s="15">
        <f>Igazg.!D130+Adók!D128+Temető!D127+Önk.vagyon!D127+Múzeum!D127+Rendezvények!D127+Közter.rend.!D127+Közf.!D127+Közutak!D128+Közvil.!D127+Zöldter.!D127+'Város-község'!D127+Háziorvos!D127+Védőnő!D127+Sport!D127+Könyvtár!D127+'Művelődési H.'!D127+'Isk.1-4.'!D127+'Isk.5-8.'!D127+Gyermekétk.!D127+Családvéd.!D127+Gyermekvéd.!D127+Családtám.!D127+'Egyéb szoc.'!D127+'Közösségi Ház'!D127</f>
        <v>0</v>
      </c>
      <c r="E133" s="15">
        <f>Igazg.!E130+Adók!E128+Temető!E127+Önk.vagyon!E127+Múzeum!E127+Rendezvények!E127+Közter.rend.!E127+Közf.!E127+Közutak!E128+Közvil.!E127+Zöldter.!E127+'Város-község'!E127+Háziorvos!E127+Védőnő!E127+Sport!E127+Könyvtár!E127+'Művelődési H.'!E127+'Isk.1-4.'!E127+'Isk.5-8.'!E127+Gyermekétk.!E127+Családvéd.!E127+Gyermekvéd.!E127+Családtám.!E127+'Egyéb szoc.'!E127+'Közösségi Ház'!E127</f>
        <v>2170081</v>
      </c>
      <c r="F133" s="15">
        <f>Igazg.!F130+Adók!F128+Temető!F127+Önk.vagyon!F127+Múzeum!F127+Rendezvények!F127+Közter.rend.!F127+Közf.!F127+Közutak!F128+Közvil.!F127+Zöldter.!F127+'Város-község'!F127+Háziorvos!F127+Védőnő!F127+Sport!F127+Könyvtár!F127+'Művelődési H.'!F127+'Isk.1-4.'!F127+'Isk.5-8.'!F127+Gyermekétk.!F127+Családvéd.!F127+Gyermekvéd.!F127+Családtám.!F127+'Egyéb szoc.'!F127+'Közösségi Ház'!F127</f>
        <v>2170081</v>
      </c>
      <c r="G133" s="15">
        <f>Igazg.!G130+Adók!G128+Temető!G127+Önk.vagyon!G127+Múzeum!G127+Rendezvények!G127+Közter.rend.!G127+Közf.!G127+Közutak!G128+Közvil.!G127+Zöldter.!G127+'Város-község'!G127+Háziorvos!G127+Védőnő!G127+Sport!G127+Könyvtár!G127+'Művelődési H.'!G127+'Isk.1-4.'!G127+'Isk.5-8.'!G127+Gyermekétk.!G127+Családvéd.!G127+Gyermekvéd.!G127+Családtám.!G127+'Egyéb szoc.'!G127+'Közösségi Ház'!G127</f>
        <v>2170081</v>
      </c>
      <c r="H133" s="124">
        <f t="shared" si="1"/>
        <v>1</v>
      </c>
      <c r="L133" s="4">
        <v>120472</v>
      </c>
    </row>
    <row r="134" spans="1:12" ht="25.5">
      <c r="A134" s="13" t="s">
        <v>143</v>
      </c>
      <c r="B134" s="14" t="s">
        <v>144</v>
      </c>
      <c r="C134" s="15">
        <f>Igazg.!C131+Adók!C129+Temető!C128+Önk.vagyon!C128+Múzeum!C128+Rendezvények!C128+Közter.rend.!C128+Közf.!C128+Közutak!C129+Közvil.!C128+Zöldter.!C128+'Város-község'!C128+Háziorvos!C128+Védőnő!C128+Sport!C128+Könyvtár!C128+'Művelődési H.'!C128+'Isk.1-4.'!C128+'Isk.5-8.'!C128+Gyermekétk.!C128+Családvéd.!C128+Gyermekvéd.!C128+Családtám.!C128+'Egyéb szoc.'!C128+'Közösségi Ház'!C128</f>
        <v>10156384</v>
      </c>
      <c r="D134" s="15">
        <f>Igazg.!D131+Adók!D129+Temető!D128+Önk.vagyon!D128+Múzeum!D128+Rendezvények!D128+Közter.rend.!D128+Közf.!D128+Közutak!D129+Közvil.!D128+Zöldter.!D128+'Város-község'!D128+Háziorvos!D128+Védőnő!D128+Sport!D128+Könyvtár!D128+'Művelődési H.'!D128+'Isk.1-4.'!D128+'Isk.5-8.'!D128+Gyermekétk.!D128+Családvéd.!D128+Gyermekvéd.!D128+Családtám.!D128+'Egyéb szoc.'!D128+'Közösségi Ház'!D128</f>
        <v>5000000</v>
      </c>
      <c r="E134" s="15">
        <f>Igazg.!E131+Adók!E129+Temető!E128+Önk.vagyon!E128+Múzeum!E128+Rendezvények!E128+Közter.rend.!E128+Közf.!E128+Közutak!E129+Közvil.!E128+Zöldter.!E128+'Város-község'!E128+Háziorvos!E128+Védőnő!E128+Sport!E128+Könyvtár!E128+'Művelődési H.'!E128+'Isk.1-4.'!E128+'Isk.5-8.'!E128+Gyermekétk.!E128+Családvéd.!E128+Gyermekvéd.!E128+Családtám.!E128+'Egyéb szoc.'!E128+'Közösségi Ház'!E128</f>
        <v>-1953546</v>
      </c>
      <c r="F134" s="15">
        <f>Igazg.!F131+Adók!F129+Temető!F128+Önk.vagyon!F128+Múzeum!F128+Rendezvények!F128+Közter.rend.!F128+Közf.!F128+Közutak!F129+Közvil.!F128+Zöldter.!F128+'Város-község'!F128+Háziorvos!F128+Védőnő!F128+Sport!F128+Könyvtár!F128+'Művelődési H.'!F128+'Isk.1-4.'!F128+'Isk.5-8.'!F128+Gyermekétk.!F128+Családvéd.!F128+Gyermekvéd.!F128+Családtám.!F128+'Egyéb szoc.'!F128+'Közösségi Ház'!F128</f>
        <v>3046454</v>
      </c>
      <c r="G134" s="15">
        <f>Igazg.!G131+Adók!G129+Temető!G128+Önk.vagyon!G128+Múzeum!G128+Rendezvények!G128+Közter.rend.!G128+Közf.!G128+Közutak!G129+Közvil.!G128+Zöldter.!G128+'Város-község'!G128+Háziorvos!G128+Védőnő!G128+Sport!G128+Könyvtár!G128+'Művelődési H.'!G128+'Isk.1-4.'!G128+'Isk.5-8.'!G128+Gyermekétk.!G128+Családvéd.!G128+Gyermekvéd.!G128+Családtám.!G128+'Egyéb szoc.'!G128+'Közösségi Ház'!G128</f>
        <v>399331</v>
      </c>
      <c r="H134" s="124">
        <f t="shared" si="1"/>
        <v>0.13108059402833588</v>
      </c>
      <c r="L134" s="4">
        <v>10156384</v>
      </c>
    </row>
    <row r="135" spans="1:12" ht="25.5">
      <c r="A135" s="13" t="s">
        <v>145</v>
      </c>
      <c r="B135" s="14" t="s">
        <v>146</v>
      </c>
      <c r="C135" s="15">
        <f>Igazg.!C132+Adók!C130+Temető!C129+Önk.vagyon!C129+Múzeum!C129+Rendezvények!C129+Közter.rend.!C129+Közf.!C129+Közutak!C130+Közvil.!C129+Zöldter.!C129+'Város-község'!C129+Háziorvos!C129+Védőnő!C129+Sport!C129+Könyvtár!C129+'Művelődési H.'!C129+'Isk.1-4.'!C129+'Isk.5-8.'!C129+Gyermekétk.!C129+Családvéd.!C129+Gyermekvéd.!C129+Családtám.!C129+'Egyéb szoc.'!C129+'Közösségi Ház'!C129</f>
        <v>2774751</v>
      </c>
      <c r="D135" s="15">
        <f>Igazg.!D132+Adók!D130+Temető!D129+Önk.vagyon!D129+Múzeum!D129+Rendezvények!D129+Közter.rend.!D129+Közf.!D129+Közutak!D130+Közvil.!D129+Zöldter.!D129+'Város-község'!D129+Háziorvos!D129+Védőnő!D129+Sport!D129+Könyvtár!D129+'Művelődési H.'!D129+'Isk.1-4.'!D129+'Isk.5-8.'!D129+Gyermekétk.!D129+Családvéd.!D129+Gyermekvéd.!D129+Családtám.!D129+'Egyéb szoc.'!D129+'Közösségi Ház'!D129</f>
        <v>2546000</v>
      </c>
      <c r="E135" s="15">
        <f>Igazg.!E132+Adók!E130+Temető!E129+Önk.vagyon!E129+Múzeum!E129+Rendezvények!E129+Közter.rend.!E129+Közf.!E129+Közutak!E130+Közvil.!E129+Zöldter.!E129+'Város-község'!E129+Háziorvos!E129+Védőnő!E129+Sport!E129+Könyvtár!E129+'Művelődési H.'!E129+'Isk.1-4.'!E129+'Isk.5-8.'!E129+Gyermekétk.!E129+Családvéd.!E129+Gyermekvéd.!E129+Családtám.!E129+'Egyéb szoc.'!E129+'Közösségi Ház'!E129</f>
        <v>58465</v>
      </c>
      <c r="F135" s="15">
        <f>Igazg.!F132+Adók!F130+Temető!F129+Önk.vagyon!F129+Múzeum!F129+Rendezvények!F129+Közter.rend.!F129+Közf.!F129+Közutak!F130+Közvil.!F129+Zöldter.!F129+'Város-község'!F129+Háziorvos!F129+Védőnő!F129+Sport!F129+Könyvtár!F129+'Művelődési H.'!F129+'Isk.1-4.'!F129+'Isk.5-8.'!F129+Gyermekétk.!F129+Családvéd.!F129+Gyermekvéd.!F129+Családtám.!F129+'Egyéb szoc.'!F129+'Közösségi Ház'!F129</f>
        <v>2604465</v>
      </c>
      <c r="G135" s="15">
        <f>Igazg.!G132+Adók!G130+Temető!G129+Önk.vagyon!G129+Múzeum!G129+Rendezvények!G129+Közter.rend.!G129+Közf.!G129+Közutak!G130+Közvil.!G129+Zöldter.!G129+'Város-község'!G129+Háziorvos!G129+Védőnő!G129+Sport!G129+Könyvtár!G129+'Művelődési H.'!G129+'Isk.1-4.'!G129+'Isk.5-8.'!G129+Gyermekétk.!G129+Családvéd.!G129+Gyermekvéd.!G129+Családtám.!G129+'Egyéb szoc.'!G129+'Közösségi Ház'!G129</f>
        <v>693738</v>
      </c>
      <c r="H135" s="124">
        <f t="shared" si="1"/>
        <v>0.2663648772396634</v>
      </c>
      <c r="L135" s="4">
        <v>2774751</v>
      </c>
    </row>
    <row r="136" spans="1:12">
      <c r="A136" s="16" t="s">
        <v>147</v>
      </c>
      <c r="B136" s="17" t="s">
        <v>148</v>
      </c>
      <c r="C136" s="119">
        <f>Igazg.!C133+Adók!C131+Temető!C130+Önk.vagyon!C130+Múzeum!C130+Rendezvények!C130+Közter.rend.!C130+Közf.!C130+Közutak!C131+Közvil.!C130+Zöldter.!C130+'Város-község'!C130+Háziorvos!C130+Védőnő!C130+Sport!C130+Könyvtár!C130+'Művelődési H.'!C130+'Isk.1-4.'!C130+'Isk.5-8.'!C130+Gyermekétk.!C130+Családvéd.!C130+Gyermekvéd.!C130+Családtám.!C130+'Egyéb szoc.'!C130+'Közösségi Ház'!C130</f>
        <v>14437187</v>
      </c>
      <c r="D136" s="119">
        <f>Igazg.!D133+Adók!D131+Temető!D130+Önk.vagyon!D130+Múzeum!D130+Rendezvények!D130+Közter.rend.!D130+Közf.!D130+Közutak!D131+Közvil.!D130+Zöldter.!D130+'Város-község'!D130+Háziorvos!D130+Védőnő!D130+Sport!D130+Könyvtár!D130+'Művelődési H.'!D130+'Isk.1-4.'!D130+'Isk.5-8.'!D130+Gyermekétk.!D130+Családvéd.!D130+Gyermekvéd.!D130+Családtám.!D130+'Egyéb szoc.'!D130+'Közösségi Ház'!D130</f>
        <v>11978000</v>
      </c>
      <c r="E136" s="119">
        <f>Igazg.!E133+Adók!E131+Temető!E130+Önk.vagyon!E130+Múzeum!E130+Rendezvények!E130+Közter.rend.!E130+Közf.!E130+Közutak!E131+Közvil.!E130+Zöldter.!E130+'Város-község'!E130+Háziorvos!E130+Védőnő!E130+Sport!E130+Könyvtár!E130+'Művelődési H.'!E130+'Isk.1-4.'!E130+'Isk.5-8.'!E130+Gyermekétk.!E130+Családvéd.!E130+Gyermekvéd.!E130+Családtám.!E130+'Egyéb szoc.'!E130+'Közösségi Ház'!E130</f>
        <v>75000</v>
      </c>
      <c r="F136" s="119">
        <f>Igazg.!F133+Adók!F131+Temető!F130+Önk.vagyon!F130+Múzeum!F130+Rendezvények!F130+Közter.rend.!F130+Közf.!F130+Közutak!F131+Közvil.!F130+Zöldter.!F130+'Város-község'!F130+Háziorvos!F130+Védőnő!F130+Sport!F130+Könyvtár!F130+'Művelődési H.'!F130+'Isk.1-4.'!F130+'Isk.5-8.'!F130+Gyermekétk.!F130+Családvéd.!F130+Gyermekvéd.!F130+Családtám.!F130+'Egyéb szoc.'!F130+'Közösségi Ház'!F130</f>
        <v>12053000</v>
      </c>
      <c r="G136" s="119">
        <f>Igazg.!G133+Adók!G131+Temető!G130+Önk.vagyon!G130+Múzeum!G130+Rendezvények!G130+Közter.rend.!G130+Közf.!G130+Közutak!G131+Közvil.!G130+Zöldter.!G130+'Város-község'!G130+Háziorvos!G130+Védőnő!G130+Sport!G130+Könyvtár!G130+'Művelődési H.'!G130+'Isk.1-4.'!G130+'Isk.5-8.'!G130+Gyermekétk.!G130+Családvéd.!G130+Gyermekvéd.!G130+Családtám.!G130+'Egyéb szoc.'!G130+'Közösségi Ház'!G130</f>
        <v>3263150</v>
      </c>
      <c r="H136" s="125">
        <f t="shared" si="1"/>
        <v>0.27073342736248235</v>
      </c>
      <c r="L136" s="7">
        <v>14437187</v>
      </c>
    </row>
    <row r="137" spans="1:12">
      <c r="A137" s="13" t="s">
        <v>149</v>
      </c>
      <c r="B137" s="14" t="s">
        <v>150</v>
      </c>
      <c r="C137" s="15">
        <f>Igazg.!C134+Adók!C132+Temető!C131+Önk.vagyon!C131+Múzeum!C131+Rendezvények!C131+Közter.rend.!C131+Közf.!C131+Közutak!C132+Közvil.!C131+Zöldter.!C131+'Város-község'!C131+Háziorvos!C131+Védőnő!C131+Sport!C131+Könyvtár!C131+'Művelődési H.'!C131+'Isk.1-4.'!C131+'Isk.5-8.'!C131+Gyermekétk.!C131+Családvéd.!C131+Gyermekvéd.!C131+Családtám.!C131+'Egyéb szoc.'!C131+'Közösségi Ház'!C131</f>
        <v>44953053</v>
      </c>
      <c r="D137" s="15">
        <f>Igazg.!D134+Adók!D132+Temető!D131+Önk.vagyon!D131+Múzeum!D131+Rendezvények!D131+Közter.rend.!D131+Közf.!D131+Közutak!D132+Közvil.!D131+Zöldter.!D131+'Város-község'!D131+Háziorvos!D131+Védőnő!D131+Sport!D131+Könyvtár!D131+'Művelődési H.'!D131+'Isk.1-4.'!D131+'Isk.5-8.'!D131+Gyermekétk.!D131+Családvéd.!D131+Gyermekvéd.!D131+Családtám.!D131+'Egyéb szoc.'!D131+'Közösségi Ház'!D131</f>
        <v>179388000</v>
      </c>
      <c r="E137" s="15">
        <f>Igazg.!E134+Adók!E132+Temető!E131+Önk.vagyon!E131+Múzeum!E131+Rendezvények!E131+Közter.rend.!E131+Közf.!E131+Közutak!E132+Közvil.!E131+Zöldter.!E131+'Város-község'!E131+Háziorvos!E131+Védőnő!E131+Sport!E131+Könyvtár!E131+'Művelődési H.'!E131+'Isk.1-4.'!E131+'Isk.5-8.'!E131+Gyermekétk.!E131+Családvéd.!E131+Gyermekvéd.!E131+Családtám.!E131+'Egyéb szoc.'!E131+'Közösségi Ház'!E131</f>
        <v>-157480315</v>
      </c>
      <c r="F137" s="15">
        <f>Igazg.!F134+Adók!F132+Temető!F131+Önk.vagyon!F131+Múzeum!F131+Rendezvények!F131+Közter.rend.!F131+Közf.!F131+Közutak!F132+Közvil.!F131+Zöldter.!F131+'Város-község'!F131+Háziorvos!F131+Védőnő!F131+Sport!F131+Könyvtár!F131+'Művelődési H.'!F131+'Isk.1-4.'!F131+'Isk.5-8.'!F131+Gyermekétk.!F131+Családvéd.!F131+Gyermekvéd.!F131+Családtám.!F131+'Egyéb szoc.'!F131+'Közösségi Ház'!F131</f>
        <v>21907685</v>
      </c>
      <c r="G137" s="15">
        <f>Igazg.!G134+Adók!G132+Temető!G131+Önk.vagyon!G131+Múzeum!G131+Rendezvények!G131+Közter.rend.!G131+Közf.!G131+Közutak!G132+Közvil.!G131+Zöldter.!G131+'Város-község'!G131+Háziorvos!G131+Védőnő!G131+Sport!G131+Könyvtár!G131+'Művelődési H.'!G131+'Isk.1-4.'!G131+'Isk.5-8.'!G131+Gyermekétk.!G131+Családvéd.!G131+Gyermekvéd.!G131+Családtám.!G131+'Egyéb szoc.'!G131+'Közösségi Ház'!G131</f>
        <v>0</v>
      </c>
      <c r="H137" s="124">
        <f t="shared" si="1"/>
        <v>0</v>
      </c>
      <c r="L137" s="4">
        <v>44953053</v>
      </c>
    </row>
    <row r="138" spans="1:12">
      <c r="A138" s="13" t="s">
        <v>151</v>
      </c>
      <c r="B138" s="14" t="s">
        <v>152</v>
      </c>
      <c r="C138" s="15">
        <f>Igazg.!C135+Adók!C133+Temető!C132+Önk.vagyon!C132+Múzeum!C132+Rendezvények!C132+Közter.rend.!C132+Közf.!C132+Közutak!C133+Közvil.!C132+Zöldter.!C132+'Város-község'!C132+Háziorvos!C132+Védőnő!C132+Sport!C132+Könyvtár!C132+'Művelődési H.'!C132+'Isk.1-4.'!C132+'Isk.5-8.'!C132+Gyermekétk.!C132+Családvéd.!C132+Gyermekvéd.!C132+Családtám.!C132+'Egyéb szoc.'!C132+'Közösségi Ház'!C132</f>
        <v>31000</v>
      </c>
      <c r="D138" s="15">
        <f>Igazg.!D135+Adók!D133+Temető!D132+Önk.vagyon!D132+Múzeum!D132+Rendezvények!D132+Közter.rend.!D132+Közf.!D132+Közutak!D133+Közvil.!D132+Zöldter.!D132+'Város-község'!D132+Háziorvos!D132+Védőnő!D132+Sport!D132+Könyvtár!D132+'Művelődési H.'!D132+'Isk.1-4.'!D132+'Isk.5-8.'!D132+Gyermekétk.!D132+Családvéd.!D132+Gyermekvéd.!D132+Családtám.!D132+'Egyéb szoc.'!D132+'Közösségi Ház'!D132</f>
        <v>0</v>
      </c>
      <c r="E138" s="15">
        <f>Igazg.!E135+Adók!E133+Temető!E132+Önk.vagyon!E132+Múzeum!E132+Rendezvények!E132+Közter.rend.!E132+Közf.!E132+Közutak!E133+Közvil.!E132+Zöldter.!E132+'Város-község'!E132+Háziorvos!E132+Védőnő!E132+Sport!E132+Könyvtár!E132+'Művelődési H.'!E132+'Isk.1-4.'!E132+'Isk.5-8.'!E132+Gyermekétk.!E132+Családvéd.!E132+Gyermekvéd.!E132+Családtám.!E132+'Egyéb szoc.'!E132+'Közösségi Ház'!E132</f>
        <v>0</v>
      </c>
      <c r="F138" s="15">
        <f>Igazg.!F135+Adók!F133+Temető!F132+Önk.vagyon!F132+Múzeum!F132+Rendezvények!F132+Közter.rend.!F132+Közf.!F132+Közutak!F133+Közvil.!F132+Zöldter.!F132+'Város-község'!F132+Háziorvos!F132+Védőnő!F132+Sport!F132+Könyvtár!F132+'Művelődési H.'!F132+'Isk.1-4.'!F132+'Isk.5-8.'!F132+Gyermekétk.!F132+Családvéd.!F132+Gyermekvéd.!F132+Családtám.!F132+'Egyéb szoc.'!F132+'Közösségi Ház'!F132</f>
        <v>0</v>
      </c>
      <c r="G138" s="15">
        <f>Igazg.!G135+Adók!G133+Temető!G132+Önk.vagyon!G132+Múzeum!G132+Rendezvények!G132+Közter.rend.!G132+Közf.!G132+Közutak!G133+Közvil.!G132+Zöldter.!G132+'Város-község'!G132+Háziorvos!G132+Védőnő!G132+Sport!G132+Könyvtár!G132+'Művelődési H.'!G132+'Isk.1-4.'!G132+'Isk.5-8.'!G132+Gyermekétk.!G132+Családvéd.!G132+Gyermekvéd.!G132+Családtám.!G132+'Egyéb szoc.'!G132+'Közösségi Ház'!G132</f>
        <v>0</v>
      </c>
      <c r="H138" s="124" t="e">
        <f t="shared" si="1"/>
        <v>#DIV/0!</v>
      </c>
      <c r="L138" s="4">
        <v>31000</v>
      </c>
    </row>
    <row r="139" spans="1:12" ht="25.5">
      <c r="A139" s="13" t="s">
        <v>153</v>
      </c>
      <c r="B139" s="14" t="s">
        <v>154</v>
      </c>
      <c r="C139" s="15">
        <f>Igazg.!C136+Adók!C134+Temető!C133+Önk.vagyon!C133+Múzeum!C133+Rendezvények!C133+Közter.rend.!C133+Közf.!C133+Közutak!C134+Közvil.!C133+Zöldter.!C133+'Város-község'!C133+Háziorvos!C133+Védőnő!C133+Sport!C133+Könyvtár!C133+'Művelődési H.'!C133+'Isk.1-4.'!C133+'Isk.5-8.'!C133+Gyermekétk.!C133+Családvéd.!C133+Gyermekvéd.!C133+Családtám.!C133+'Egyéb szoc.'!C133+'Közösségi Ház'!C133</f>
        <v>11203882</v>
      </c>
      <c r="D139" s="15">
        <f>Igazg.!D136+Adók!D134+Temető!D133+Önk.vagyon!D133+Múzeum!D133+Rendezvények!D133+Közter.rend.!D133+Közf.!D133+Közutak!D134+Közvil.!D133+Zöldter.!D133+'Város-község'!D133+Háziorvos!D133+Védőnő!D133+Sport!D133+Könyvtár!D133+'Művelődési H.'!D133+'Isk.1-4.'!D133+'Isk.5-8.'!D133+Gyermekétk.!D133+Családvéd.!D133+Gyermekvéd.!D133+Családtám.!D133+'Egyéb szoc.'!D133+'Közösségi Ház'!D133</f>
        <v>48435000</v>
      </c>
      <c r="E139" s="15">
        <f>Igazg.!E136+Adók!E134+Temető!E133+Önk.vagyon!E133+Múzeum!E133+Rendezvények!E133+Közter.rend.!E133+Közf.!E133+Közutak!E134+Közvil.!E133+Zöldter.!E133+'Város-község'!E133+Háziorvos!E133+Védőnő!E133+Sport!E133+Könyvtár!E133+'Művelődési H.'!E133+'Isk.1-4.'!E133+'Isk.5-8.'!E133+Gyermekétk.!E133+Családvéd.!E133+Gyermekvéd.!E133+Családtám.!E133+'Egyéb szoc.'!E133+'Közösségi Ház'!E133</f>
        <v>-42519685</v>
      </c>
      <c r="F139" s="15">
        <f>Igazg.!F136+Adók!F134+Temető!F133+Önk.vagyon!F133+Múzeum!F133+Rendezvények!F133+Közter.rend.!F133+Közf.!F133+Közutak!F134+Közvil.!F133+Zöldter.!F133+'Város-község'!F133+Háziorvos!F133+Védőnő!F133+Sport!F133+Könyvtár!F133+'Művelődési H.'!F133+'Isk.1-4.'!F133+'Isk.5-8.'!F133+Gyermekétk.!F133+Családvéd.!F133+Gyermekvéd.!F133+Családtám.!F133+'Egyéb szoc.'!F133+'Közösségi Ház'!F133</f>
        <v>5915315</v>
      </c>
      <c r="G139" s="15">
        <f>Igazg.!G136+Adók!G134+Temető!G133+Önk.vagyon!G133+Múzeum!G133+Rendezvények!G133+Közter.rend.!G133+Közf.!G133+Közutak!G134+Közvil.!G133+Zöldter.!G133+'Város-község'!G133+Háziorvos!G133+Védőnő!G133+Sport!G133+Könyvtár!G133+'Művelődési H.'!G133+'Isk.1-4.'!G133+'Isk.5-8.'!G133+Gyermekétk.!G133+Családvéd.!G133+Gyermekvéd.!G133+Családtám.!G133+'Egyéb szoc.'!G133+'Közösségi Ház'!G133</f>
        <v>0</v>
      </c>
      <c r="H139" s="124">
        <f t="shared" si="1"/>
        <v>0</v>
      </c>
      <c r="L139" s="4">
        <v>11203882</v>
      </c>
    </row>
    <row r="140" spans="1:12">
      <c r="A140" s="16" t="s">
        <v>155</v>
      </c>
      <c r="B140" s="17" t="s">
        <v>156</v>
      </c>
      <c r="C140" s="119">
        <f>Igazg.!C137+Adók!C135+Temető!C134+Önk.vagyon!C134+Múzeum!C134+Rendezvények!C134+Közter.rend.!C134+Közf.!C134+Közutak!C135+Közvil.!C134+Zöldter.!C134+'Város-község'!C134+Háziorvos!C134+Védőnő!C134+Sport!C134+Könyvtár!C134+'Művelődési H.'!C134+'Isk.1-4.'!C134+'Isk.5-8.'!C134+Gyermekétk.!C134+Családvéd.!C134+Gyermekvéd.!C134+Családtám.!C134+'Egyéb szoc.'!C134+'Közösségi Ház'!C134</f>
        <v>56187935</v>
      </c>
      <c r="D140" s="119">
        <f>Igazg.!D137+Adók!D135+Temető!D134+Önk.vagyon!D134+Múzeum!D134+Rendezvények!D134+Közter.rend.!D134+Közf.!D134+Közutak!D135+Közvil.!D134+Zöldter.!D134+'Város-község'!D134+Háziorvos!D134+Védőnő!D134+Sport!D134+Könyvtár!D134+'Művelődési H.'!D134+'Isk.1-4.'!D134+'Isk.5-8.'!D134+Gyermekétk.!D134+Családvéd.!D134+Gyermekvéd.!D134+Családtám.!D134+'Egyéb szoc.'!D134+'Közösségi Ház'!D134</f>
        <v>227823000</v>
      </c>
      <c r="E140" s="119">
        <f>Igazg.!E137+Adók!E135+Temető!E134+Önk.vagyon!E134+Múzeum!E134+Rendezvények!E134+Közter.rend.!E134+Közf.!E134+Közutak!E135+Közvil.!E134+Zöldter.!E134+'Város-község'!E134+Háziorvos!E134+Védőnő!E134+Sport!E134+Könyvtár!E134+'Művelődési H.'!E134+'Isk.1-4.'!E134+'Isk.5-8.'!E134+Gyermekétk.!E134+Családvéd.!E134+Gyermekvéd.!E134+Családtám.!E134+'Egyéb szoc.'!E134+'Közösségi Ház'!E134</f>
        <v>-200000000</v>
      </c>
      <c r="F140" s="119">
        <f>Igazg.!F137+Adók!F135+Temető!F134+Önk.vagyon!F134+Múzeum!F134+Rendezvények!F134+Közter.rend.!F134+Közf.!F134+Közutak!F135+Közvil.!F134+Zöldter.!F134+'Város-község'!F134+Háziorvos!F134+Védőnő!F134+Sport!F134+Könyvtár!F134+'Művelődési H.'!F134+'Isk.1-4.'!F134+'Isk.5-8.'!F134+Gyermekétk.!F134+Családvéd.!F134+Gyermekvéd.!F134+Családtám.!F134+'Egyéb szoc.'!F134+'Közösségi Ház'!F134</f>
        <v>27823000</v>
      </c>
      <c r="G140" s="119">
        <f>Igazg.!G137+Adók!G135+Temető!G134+Önk.vagyon!G134+Múzeum!G134+Rendezvények!G134+Közter.rend.!G134+Közf.!G134+Közutak!G135+Közvil.!G134+Zöldter.!G134+'Város-község'!G134+Háziorvos!G134+Védőnő!G134+Sport!G134+Könyvtár!G134+'Művelődési H.'!G134+'Isk.1-4.'!G134+'Isk.5-8.'!G134+Gyermekétk.!G134+Családvéd.!G134+Gyermekvéd.!G134+Családtám.!G134+'Egyéb szoc.'!G134+'Közösségi Ház'!G134</f>
        <v>0</v>
      </c>
      <c r="H140" s="125">
        <f t="shared" si="1"/>
        <v>0</v>
      </c>
      <c r="L140" s="7">
        <v>56187935</v>
      </c>
    </row>
    <row r="141" spans="1:12" ht="25.5">
      <c r="A141" s="16" t="s">
        <v>157</v>
      </c>
      <c r="B141" s="17" t="s">
        <v>158</v>
      </c>
      <c r="C141" s="15">
        <f>Igazg.!C138+Adók!C136+Temető!C135+Önk.vagyon!C135+Múzeum!C135+Rendezvények!C135+Közter.rend.!C135+Közf.!C135+Közutak!C136+Közvil.!C135+Zöldter.!C135+'Város-község'!C135+Háziorvos!C135+Védőnő!C135+Sport!C135+Könyvtár!C135+'Művelődési H.'!C135+'Isk.1-4.'!C135+'Isk.5-8.'!C135+Gyermekétk.!C135+Családvéd.!C135+Gyermekvéd.!C135+Családtám.!C135+'Egyéb szoc.'!C135+'Közösségi Ház'!C135</f>
        <v>227909467</v>
      </c>
      <c r="D141" s="15">
        <f>Igazg.!D138+Adók!D136+Temető!D135+Önk.vagyon!D135+Múzeum!D135+Rendezvények!D135+Közter.rend.!D135+Közf.!D135+Közutak!D136+Közvil.!D135+Zöldter.!D135+'Város-község'!D135+Háziorvos!D135+Védőnő!D135+Sport!D135+Könyvtár!D135+'Művelődési H.'!D135+'Isk.1-4.'!D135+'Isk.5-8.'!D135+Gyermekétk.!D135+Családvéd.!D135+Gyermekvéd.!D135+Családtám.!D135+'Egyéb szoc.'!D135+'Közösségi Ház'!D135</f>
        <v>375525554</v>
      </c>
      <c r="E141" s="15">
        <f>Igazg.!E138+Adók!E136+Temető!E135+Önk.vagyon!E135+Múzeum!E135+Rendezvények!E135+Közter.rend.!E135+Közf.!E135+Közutak!E136+Közvil.!E135+Zöldter.!E135+'Város-község'!E135+Háziorvos!E135+Védőnő!E135+Sport!E135+Könyvtár!E135+'Művelődési H.'!E135+'Isk.1-4.'!E135+'Isk.5-8.'!E135+Gyermekétk.!E135+Családvéd.!E135+Gyermekvéd.!E135+Családtám.!E135+'Egyéb szoc.'!E135+'Közösségi Ház'!E135</f>
        <v>-145316069</v>
      </c>
      <c r="F141" s="15">
        <f>Igazg.!F138+Adók!F136+Temető!F135+Önk.vagyon!F135+Múzeum!F135+Rendezvények!F135+Közter.rend.!F135+Közf.!F135+Közutak!F136+Közvil.!F135+Zöldter.!F135+'Város-község'!F135+Háziorvos!F135+Védőnő!F135+Sport!F135+Könyvtár!F135+'Művelődési H.'!F135+'Isk.1-4.'!F135+'Isk.5-8.'!F135+Gyermekétk.!F135+Családvéd.!F135+Gyermekvéd.!F135+Családtám.!F135+'Egyéb szoc.'!F135+'Közösségi Ház'!F135</f>
        <v>230209485</v>
      </c>
      <c r="G141" s="15">
        <f>Igazg.!G138+Adók!G136+Temető!G135+Önk.vagyon!G135+Múzeum!G135+Rendezvények!G135+Közter.rend.!G135+Közf.!G135+Közutak!G136+Közvil.!G135+Zöldter.!G135+'Város-község'!G135+Háziorvos!G135+Védőnő!G135+Sport!G135+Könyvtár!G135+'Művelődési H.'!G135+'Isk.1-4.'!G135+'Isk.5-8.'!G135+Gyermekétk.!G135+Családvéd.!G135+Gyermekvéd.!G135+Családtám.!G135+'Egyéb szoc.'!G135+'Közösségi Ház'!G135</f>
        <v>74205215</v>
      </c>
      <c r="H141" s="125">
        <f t="shared" si="1"/>
        <v>0.32233778291107335</v>
      </c>
      <c r="L141" s="7">
        <v>227909467</v>
      </c>
    </row>
    <row r="142" spans="1:12" s="122" customFormat="1" ht="25.5">
      <c r="A142" s="20">
        <v>288</v>
      </c>
      <c r="B142" s="19" t="s">
        <v>463</v>
      </c>
      <c r="C142" s="15">
        <f>Közutak!C137</f>
        <v>0</v>
      </c>
      <c r="D142" s="15">
        <f>Közutak!D137</f>
        <v>0</v>
      </c>
      <c r="E142" s="15">
        <f>Közutak!E137</f>
        <v>399820000</v>
      </c>
      <c r="F142" s="15">
        <f>Közutak!F137</f>
        <v>399820000</v>
      </c>
      <c r="G142" s="15">
        <f>Közutak!G137</f>
        <v>399820000</v>
      </c>
      <c r="H142" s="124">
        <f t="shared" si="1"/>
        <v>1</v>
      </c>
      <c r="L142" s="7"/>
    </row>
    <row r="143" spans="1:12" ht="25.5">
      <c r="A143" s="13" t="s">
        <v>159</v>
      </c>
      <c r="B143" s="14" t="s">
        <v>160</v>
      </c>
      <c r="C143" s="15">
        <f>Igazg.!C140+Adók!C137+Temető!C136+Önk.vagyon!C136+Múzeum!C136+Rendezvények!C136+Közter.rend.!C136+Közf.!C136+Közutak!C138+Közvil.!C136+Zöldter.!C136+'Város-község'!C136+Háziorvos!C136+Védőnő!C136+Sport!C136+Könyvtár!C136+'Művelődési H.'!C136+'Isk.1-4.'!C136+'Isk.5-8.'!C136+Gyermekétk.!C136+Családvéd.!C136+Gyermekvéd.!C136+Családtám.!C136+'Egyéb szoc.'!C136+'Közösségi Ház'!C136</f>
        <v>18524967</v>
      </c>
      <c r="D143" s="15">
        <f>Igazg.!D140+Adók!D137+Temető!D136+Önk.vagyon!D136+Múzeum!D136+Rendezvények!D136+Közter.rend.!D136+Közf.!D136+Közutak!D138+Közvil.!D136+Zöldter.!D136+'Város-község'!D136+Háziorvos!D136+Védőnő!D136+Sport!D136+Könyvtár!D136+'Művelődési H.'!D136+'Isk.1-4.'!D136+'Isk.5-8.'!D136+Gyermekétk.!D136+Családvéd.!D136+Gyermekvéd.!D136+Családtám.!D136+'Egyéb szoc.'!D136+'Közösségi Ház'!D136</f>
        <v>6005000</v>
      </c>
      <c r="E143" s="15">
        <f>Igazg.!E140+Adók!E137+Temető!E136+Önk.vagyon!E136+Múzeum!E136+Rendezvények!E136+Közter.rend.!E136+Közf.!E136+Közutak!E138+Közvil.!E136+Zöldter.!E136+'Város-község'!E136+Háziorvos!E136+Védőnő!E136+Sport!E136+Könyvtár!E136+'Művelődési H.'!E136+'Isk.1-4.'!E136+'Isk.5-8.'!E136+Gyermekétk.!E136+Családvéd.!E136+Gyermekvéd.!E136+Családtám.!E136+'Egyéb szoc.'!E136+'Közösségi Ház'!E136</f>
        <v>909193</v>
      </c>
      <c r="F143" s="15">
        <f>Igazg.!F140+Adók!F137+Temető!F136+Önk.vagyon!F136+Múzeum!F136+Rendezvények!F136+Közter.rend.!F136+Közf.!F136+Közutak!F138+Közvil.!F136+Zöldter.!F136+'Város-község'!F136+Háziorvos!F136+Védőnő!F136+Sport!F136+Könyvtár!F136+'Művelődési H.'!F136+'Isk.1-4.'!F136+'Isk.5-8.'!F136+Gyermekétk.!F136+Családvéd.!F136+Gyermekvéd.!F136+Családtám.!F136+'Egyéb szoc.'!F136+'Közösségi Ház'!F136</f>
        <v>6914193</v>
      </c>
      <c r="G143" s="15">
        <f>Igazg.!G140+Adók!G137+Temető!G136+Önk.vagyon!G136+Múzeum!G136+Rendezvények!G136+Közter.rend.!G136+Közf.!G136+Közutak!G138+Közvil.!G136+Zöldter.!G136+'Város-község'!G136+Háziorvos!G136+Védőnő!G136+Sport!G136+Könyvtár!G136+'Művelődési H.'!G136+'Isk.1-4.'!G136+'Isk.5-8.'!G136+Gyermekétk.!G136+Családvéd.!G136+Gyermekvéd.!G136+Családtám.!G136+'Egyéb szoc.'!G136+'Közösségi Ház'!G136</f>
        <v>6914193</v>
      </c>
      <c r="H143" s="124">
        <f t="shared" si="1"/>
        <v>1</v>
      </c>
      <c r="L143" s="4">
        <v>18524967</v>
      </c>
    </row>
    <row r="144" spans="1:12" ht="25.5">
      <c r="A144" s="13" t="s">
        <v>161</v>
      </c>
      <c r="B144" s="14" t="s">
        <v>162</v>
      </c>
      <c r="C144" s="15">
        <f>Igazg.!C141+Adók!C138+Temető!C137+Önk.vagyon!C137+Múzeum!C137+Rendezvények!C137+Közter.rend.!C137+Közf.!C137+Közutak!C139+Közvil.!C137+Zöldter.!C137+'Város-község'!C137+Háziorvos!C137+Védőnő!C137+Sport!C137+Könyvtár!C137+'Művelődési H.'!C137+'Isk.1-4.'!C137+'Isk.5-8.'!C137+Gyermekétk.!C137+Családvéd.!C137+Gyermekvéd.!C137+Családtám.!C137+'Egyéb szoc.'!C137+'Közösségi Ház'!C137</f>
        <v>96497818</v>
      </c>
      <c r="D144" s="15">
        <f>Igazg.!D141+Adók!D138+Temető!D137+Önk.vagyon!D137+Múzeum!D137+Rendezvények!D137+Közter.rend.!D137+Közf.!D137+Közutak!D139+Közvil.!D137+Zöldter.!D137+'Város-község'!D137+Háziorvos!D137+Védőnő!D137+Sport!D137+Könyvtár!D137+'Művelődési H.'!D137+'Isk.1-4.'!D137+'Isk.5-8.'!D137+Gyermekétk.!D137+Családvéd.!D137+Gyermekvéd.!D137+Családtám.!D137+'Egyéb szoc.'!D137+'Közösségi Ház'!D137</f>
        <v>100325000</v>
      </c>
      <c r="E144" s="15">
        <f>Igazg.!E141+Adók!E138+Temető!E137+Önk.vagyon!E137+Múzeum!E137+Rendezvények!E137+Közter.rend.!E137+Közf.!E137+Közutak!E139+Közvil.!E137+Zöldter.!E137+'Város-község'!E137+Háziorvos!E137+Védőnő!E137+Sport!E137+Könyvtár!E137+'Művelődési H.'!E137+'Isk.1-4.'!E137+'Isk.5-8.'!E137+Gyermekétk.!E137+Családvéd.!E137+Gyermekvéd.!E137+Családtám.!E137+'Egyéb szoc.'!E137+'Közösségi Ház'!E137</f>
        <v>0</v>
      </c>
      <c r="F144" s="15">
        <f>Igazg.!F141+Adók!F138+Temető!F137+Önk.vagyon!F137+Múzeum!F137+Rendezvények!F137+Közter.rend.!F137+Közf.!F137+Közutak!F139+Közvil.!F137+Zöldter.!F137+'Város-község'!F137+Háziorvos!F137+Védőnő!F137+Sport!F137+Könyvtár!F137+'Művelődési H.'!F137+'Isk.1-4.'!F137+'Isk.5-8.'!F137+Gyermekétk.!F137+Családvéd.!F137+Gyermekvéd.!F137+Családtám.!F137+'Egyéb szoc.'!F137+'Közösségi Ház'!F137</f>
        <v>100325000</v>
      </c>
      <c r="G144" s="15">
        <f>Igazg.!G141+Adók!G138+Temető!G137+Önk.vagyon!G137+Múzeum!G137+Rendezvények!G137+Közter.rend.!G137+Közf.!G137+Közutak!G139+Közvil.!G137+Zöldter.!G137+'Város-község'!G137+Háziorvos!G137+Védőnő!G137+Sport!G137+Könyvtár!G137+'Művelődési H.'!G137+'Isk.1-4.'!G137+'Isk.5-8.'!G137+Gyermekétk.!G137+Családvéd.!G137+Gyermekvéd.!G137+Családtám.!G137+'Egyéb szoc.'!G137+'Közösségi Ház'!G137</f>
        <v>49869365</v>
      </c>
      <c r="H144" s="124">
        <f t="shared" si="1"/>
        <v>0.49707814602541739</v>
      </c>
      <c r="L144" s="4">
        <v>96497818</v>
      </c>
    </row>
    <row r="145" spans="1:12" ht="25.5">
      <c r="A145" s="13" t="s">
        <v>163</v>
      </c>
      <c r="B145" s="14" t="s">
        <v>164</v>
      </c>
      <c r="C145" s="15">
        <f>Igazg.!C142+Adók!C139+Temető!C138+Önk.vagyon!C138+Múzeum!C138+Rendezvények!C138+Közter.rend.!C138+Közf.!C138+Közutak!C140+Közvil.!C138+Zöldter.!C138+'Város-község'!C138+Háziorvos!C138+Védőnő!C138+Sport!C138+Könyvtár!C138+'Művelődési H.'!C138+'Isk.1-4.'!C138+'Isk.5-8.'!C138+Gyermekétk.!C138+Családvéd.!C138+Gyermekvéd.!C138+Családtám.!C138+'Egyéb szoc.'!C138+'Közösségi Ház'!C138</f>
        <v>115022785</v>
      </c>
      <c r="D145" s="15">
        <f>Igazg.!D142+Adók!D139+Temető!D138+Önk.vagyon!D138+Múzeum!D138+Rendezvények!D138+Közter.rend.!D138+Közf.!D138+Közutak!D140+Közvil.!D138+Zöldter.!D138+'Város-község'!D138+Háziorvos!D138+Védőnő!D138+Sport!D138+Könyvtár!D138+'Művelődési H.'!D138+'Isk.1-4.'!D138+'Isk.5-8.'!D138+Gyermekétk.!D138+Családvéd.!D138+Gyermekvéd.!D138+Családtám.!D138+'Egyéb szoc.'!D138+'Közösségi Ház'!D138</f>
        <v>106330000</v>
      </c>
      <c r="E145" s="15">
        <f>Igazg.!E142+Adók!E139+Temető!E138+Önk.vagyon!E138+Múzeum!E138+Rendezvények!E138+Közter.rend.!E138+Közf.!E138+Közutak!E140+Közvil.!E138+Zöldter.!E138+'Város-község'!E138+Háziorvos!E138+Védőnő!E138+Sport!E138+Könyvtár!E138+'Művelődési H.'!E138+'Isk.1-4.'!E138+'Isk.5-8.'!E138+Gyermekétk.!E138+Családvéd.!E138+Gyermekvéd.!E138+Családtám.!E138+'Egyéb szoc.'!E138+'Közösségi Ház'!E138</f>
        <v>400729193</v>
      </c>
      <c r="F145" s="15">
        <f>Igazg.!F142+Adók!F139+Temető!F138+Önk.vagyon!F138+Múzeum!F138+Rendezvények!F138+Közter.rend.!F138+Közf.!F138+Közutak!F140+Közvil.!F138+Zöldter.!F138+'Város-község'!F138+Háziorvos!F138+Védőnő!F138+Sport!F138+Könyvtár!F138+'Művelődési H.'!F138+'Isk.1-4.'!F138+'Isk.5-8.'!F138+Gyermekétk.!F138+Családvéd.!F138+Gyermekvéd.!F138+Családtám.!F138+'Egyéb szoc.'!F138+'Közösségi Ház'!F138</f>
        <v>507059193</v>
      </c>
      <c r="G145" s="15">
        <f>Igazg.!G142+Adók!G139+Temető!G138+Önk.vagyon!G138+Múzeum!G138+Rendezvények!G138+Közter.rend.!G138+Közf.!G138+Közutak!G140+Közvil.!G138+Zöldter.!G138+'Város-község'!G138+Háziorvos!G138+Védőnő!G138+Sport!G138+Könyvtár!G138+'Művelődési H.'!G138+'Isk.1-4.'!G138+'Isk.5-8.'!G138+Gyermekétk.!G138+Családvéd.!G138+Gyermekvéd.!G138+Családtám.!G138+'Egyéb szoc.'!G138+'Közösségi Ház'!G138</f>
        <v>456603558</v>
      </c>
      <c r="H145" s="124">
        <f t="shared" si="1"/>
        <v>0.90049359976794663</v>
      </c>
      <c r="L145" s="4">
        <v>115022785</v>
      </c>
    </row>
    <row r="146" spans="1:12" ht="25.5">
      <c r="A146" s="16" t="s">
        <v>165</v>
      </c>
      <c r="B146" s="17" t="s">
        <v>166</v>
      </c>
      <c r="C146" s="15">
        <f>Igazg.!C143+Adók!C140+Temető!C139+Önk.vagyon!C139+Múzeum!C139+Rendezvények!C139+Közter.rend.!C139+Közf.!C139+Közutak!C141+Közvil.!C139+Zöldter.!C139+'Város-község'!C139+Háziorvos!C139+Védőnő!C139+Sport!C139+Könyvtár!C139+'Művelődési H.'!C139+'Isk.1-4.'!C139+'Isk.5-8.'!C139+Gyermekétk.!C139+Családvéd.!C139+Gyermekvéd.!C139+Családtám.!C139+'Egyéb szoc.'!C139+'Közösségi Ház'!C139</f>
        <v>115022785</v>
      </c>
      <c r="D146" s="15">
        <f>Igazg.!D143+Adók!D140+Temető!D139+Önk.vagyon!D139+Múzeum!D139+Rendezvények!D139+Közter.rend.!D139+Közf.!D139+Közutak!D141+Közvil.!D139+Zöldter.!D139+'Város-község'!D139+Háziorvos!D139+Védőnő!D139+Sport!D139+Könyvtár!D139+'Művelődési H.'!D139+'Isk.1-4.'!D139+'Isk.5-8.'!D139+Gyermekétk.!D139+Családvéd.!D139+Gyermekvéd.!D139+Családtám.!D139+'Egyéb szoc.'!D139+'Közösségi Ház'!D139</f>
        <v>106330000</v>
      </c>
      <c r="E146" s="15">
        <f>Igazg.!E143+Adók!E140+Temető!E139+Önk.vagyon!E139+Múzeum!E139+Rendezvények!E139+Közter.rend.!E139+Közf.!E139+Közutak!E141+Közvil.!E139+Zöldter.!E139+'Város-község'!E139+Háziorvos!E139+Védőnő!E139+Sport!E139+Könyvtár!E139+'Művelődési H.'!E139+'Isk.1-4.'!E139+'Isk.5-8.'!E139+Gyermekétk.!E139+Családvéd.!E139+Gyermekvéd.!E139+Családtám.!E139+'Egyéb szoc.'!E139+'Közösségi Ház'!E139</f>
        <v>400729193</v>
      </c>
      <c r="F146" s="15">
        <f>Igazg.!F143+Adók!F140+Temető!F139+Önk.vagyon!F139+Múzeum!F139+Rendezvények!F139+Közter.rend.!F139+Közf.!F139+Közutak!F141+Közvil.!F139+Zöldter.!F139+'Város-község'!F139+Háziorvos!F139+Védőnő!F139+Sport!F139+Könyvtár!F139+'Művelődési H.'!F139+'Isk.1-4.'!F139+'Isk.5-8.'!F139+Gyermekétk.!F139+Családvéd.!F139+Gyermekvéd.!F139+Családtám.!F139+'Egyéb szoc.'!F139+'Közösségi Ház'!F139</f>
        <v>507059193</v>
      </c>
      <c r="G146" s="15">
        <f>Igazg.!G143+Adók!G140+Temető!G139+Önk.vagyon!G139+Múzeum!G139+Rendezvények!G139+Közter.rend.!G139+Közf.!G139+Közutak!G141+Közvil.!G139+Zöldter.!G139+'Város-község'!G139+Háziorvos!G139+Védőnő!G139+Sport!G139+Könyvtár!G139+'Művelődési H.'!G139+'Isk.1-4.'!G139+'Isk.5-8.'!G139+Gyermekétk.!G139+Családvéd.!G139+Gyermekvéd.!G139+Családtám.!G139+'Egyéb szoc.'!G139+'Közösségi Ház'!G139</f>
        <v>456603558</v>
      </c>
      <c r="H146" s="125">
        <f t="shared" si="1"/>
        <v>0.90049359976794663</v>
      </c>
      <c r="L146" s="7">
        <v>115022785</v>
      </c>
    </row>
    <row r="147" spans="1:12">
      <c r="A147" s="16" t="s">
        <v>167</v>
      </c>
      <c r="B147" s="17" t="s">
        <v>168</v>
      </c>
      <c r="C147" s="15">
        <f>Igazg.!C144+Adók!C141+Temető!C140+Önk.vagyon!C140+Múzeum!C140+Rendezvények!C140+Közter.rend.!C140+Közf.!C140+Közutak!C142+Közvil.!C140+Zöldter.!C140+'Város-község'!C140+Háziorvos!C140+Védőnő!C140+Sport!C140+Könyvtár!C140+'Művelődési H.'!C140+'Isk.1-4.'!C140+'Isk.5-8.'!C140+Gyermekétk.!C140+Családvéd.!C140+Gyermekvéd.!C140+Családtám.!C140+'Egyéb szoc.'!C140+'Közösségi Ház'!C140</f>
        <v>342932252</v>
      </c>
      <c r="D147" s="15">
        <f>Igazg.!D144+Adók!D141+Temető!D140+Önk.vagyon!D140+Múzeum!D140+Rendezvények!D140+Közter.rend.!D140+Közf.!D140+Közutak!D142+Közvil.!D140+Zöldter.!D140+'Város-község'!D140+Háziorvos!D140+Védőnő!D140+Sport!D140+Könyvtár!D140+'Művelődési H.'!D140+'Isk.1-4.'!D140+'Isk.5-8.'!D140+Gyermekétk.!D140+Családvéd.!D140+Gyermekvéd.!D140+Családtám.!D140+'Egyéb szoc.'!D140+'Közösségi Ház'!D140</f>
        <v>481855554</v>
      </c>
      <c r="E147" s="15">
        <f>Igazg.!E144+Adók!E141+Temető!E140+Önk.vagyon!E140+Múzeum!E140+Rendezvények!E140+Közter.rend.!E140+Közf.!E140+Közutak!E142+Közvil.!E140+Zöldter.!E140+'Város-község'!E140+Háziorvos!E140+Védőnő!E140+Sport!E140+Könyvtár!E140+'Művelődési H.'!E140+'Isk.1-4.'!E140+'Isk.5-8.'!E140+Gyermekétk.!E140+Családvéd.!E140+Gyermekvéd.!E140+Családtám.!E140+'Egyéb szoc.'!E140+'Közösségi Ház'!E140</f>
        <v>255413124</v>
      </c>
      <c r="F147" s="15">
        <f>Igazg.!F144+Adók!F141+Temető!F140+Önk.vagyon!F140+Múzeum!F140+Rendezvények!F140+Közter.rend.!F140+Közf.!F140+Közutak!F142+Közvil.!F140+Zöldter.!F140+'Város-község'!F140+Háziorvos!F140+Védőnő!F140+Sport!F140+Könyvtár!F140+'Művelődési H.'!F140+'Isk.1-4.'!F140+'Isk.5-8.'!F140+Gyermekétk.!F140+Családvéd.!F140+Gyermekvéd.!F140+Családtám.!F140+'Egyéb szoc.'!F140+'Közösségi Ház'!F140</f>
        <v>737268678</v>
      </c>
      <c r="G147" s="15">
        <f>Igazg.!G144+Adók!G141+Temető!G140+Önk.vagyon!G140+Múzeum!G140+Rendezvények!G140+Közter.rend.!G140+Közf.!G140+Közutak!G142+Közvil.!G140+Zöldter.!G140+'Város-község'!G140+Háziorvos!G140+Védőnő!G140+Sport!G140+Könyvtár!G140+'Művelődési H.'!G140+'Isk.1-4.'!G140+'Isk.5-8.'!G140+Gyermekétk.!G140+Családvéd.!G140+Gyermekvéd.!G140+Családtám.!G140+'Egyéb szoc.'!G140+'Közösségi Ház'!G140</f>
        <v>530808773</v>
      </c>
      <c r="H147" s="125">
        <f t="shared" si="1"/>
        <v>0.71996653165835423</v>
      </c>
      <c r="L147" s="7">
        <v>342932252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3" orientation="portrait" r:id="rId1"/>
  <colBreaks count="1" manualBreakCount="1">
    <brk id="8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>
  <dimension ref="A1:H137"/>
  <sheetViews>
    <sheetView view="pageBreakPreview" topLeftCell="A121" zoomScale="70" zoomScaleNormal="100" zoomScaleSheetLayoutView="70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9.44140625" customWidth="1"/>
    <col min="6" max="6" width="10.77734375" customWidth="1"/>
    <col min="8" max="8" width="11.44140625" style="126" customWidth="1"/>
  </cols>
  <sheetData>
    <row r="1" spans="1:8">
      <c r="A1" s="140" t="s">
        <v>449</v>
      </c>
      <c r="B1" s="140"/>
      <c r="C1" s="140"/>
      <c r="D1" s="140"/>
      <c r="E1" s="140"/>
      <c r="F1" s="140"/>
      <c r="G1" s="140"/>
      <c r="H1" s="140"/>
    </row>
    <row r="2" spans="1:8">
      <c r="A2" s="141" t="s">
        <v>413</v>
      </c>
      <c r="B2" s="141"/>
      <c r="C2" s="141"/>
      <c r="D2" s="141"/>
      <c r="E2" s="141"/>
      <c r="F2" s="141"/>
      <c r="G2" s="141"/>
      <c r="H2" s="141"/>
    </row>
    <row r="3" spans="1:8">
      <c r="A3" s="141" t="s">
        <v>409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/>
      <c r="H6" s="124" t="e">
        <f>G6/F6</f>
        <v>#DIV/0!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61" si="0">SUM(D7:E7)</f>
        <v>0</v>
      </c>
      <c r="G7" s="15"/>
      <c r="H7" s="124" t="e">
        <f t="shared" ref="H7:H72" si="1">G7/F7</f>
        <v>#DIV/0!</v>
      </c>
    </row>
    <row r="8" spans="1:8" ht="38.25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/>
      <c r="H8" s="124" t="e">
        <f t="shared" si="1"/>
        <v>#DIV/0!</v>
      </c>
    </row>
    <row r="9" spans="1:8" ht="25.5">
      <c r="A9" s="13" t="s">
        <v>178</v>
      </c>
      <c r="B9" s="14" t="s">
        <v>179</v>
      </c>
      <c r="C9" s="15"/>
      <c r="D9" s="15"/>
      <c r="E9" s="15"/>
      <c r="F9" s="15">
        <f t="shared" si="0"/>
        <v>0</v>
      </c>
      <c r="G9" s="15"/>
      <c r="H9" s="124" t="e">
        <f t="shared" si="1"/>
        <v>#DIV/0!</v>
      </c>
    </row>
    <row r="10" spans="1:8" ht="25.5">
      <c r="A10" s="13" t="s">
        <v>180</v>
      </c>
      <c r="B10" s="14" t="s">
        <v>181</v>
      </c>
      <c r="C10" s="15"/>
      <c r="D10" s="15"/>
      <c r="E10" s="15"/>
      <c r="F10" s="15">
        <f t="shared" si="0"/>
        <v>0</v>
      </c>
      <c r="G10" s="15"/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/>
      <c r="D11" s="15"/>
      <c r="E11" s="15"/>
      <c r="F11" s="15">
        <f t="shared" si="0"/>
        <v>0</v>
      </c>
      <c r="G11" s="15"/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>SUM(C6:C11)</f>
        <v>0</v>
      </c>
      <c r="D12" s="15">
        <f t="shared" ref="D12:G12" si="2">SUM(D6:D11)</f>
        <v>0</v>
      </c>
      <c r="E12" s="15">
        <f t="shared" si="2"/>
        <v>0</v>
      </c>
      <c r="F12" s="15">
        <f t="shared" si="0"/>
        <v>0</v>
      </c>
      <c r="G12" s="15">
        <f t="shared" si="2"/>
        <v>0</v>
      </c>
      <c r="H12" s="124" t="e">
        <f t="shared" si="1"/>
        <v>#DIV/0!</v>
      </c>
    </row>
    <row r="13" spans="1:8" ht="25.5">
      <c r="A13" s="13" t="s">
        <v>67</v>
      </c>
      <c r="B13" s="14" t="s">
        <v>185</v>
      </c>
      <c r="C13" s="15">
        <f>SUM(C14:C19)</f>
        <v>0</v>
      </c>
      <c r="D13" s="15">
        <f t="shared" ref="D13:G13" si="3">SUM(D14:D19)</f>
        <v>0</v>
      </c>
      <c r="E13" s="15">
        <f t="shared" si="3"/>
        <v>0</v>
      </c>
      <c r="F13" s="15">
        <f t="shared" si="0"/>
        <v>0</v>
      </c>
      <c r="G13" s="15">
        <f t="shared" si="3"/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/>
      <c r="D14" s="15"/>
      <c r="E14" s="15"/>
      <c r="F14" s="15">
        <f t="shared" si="0"/>
        <v>0</v>
      </c>
      <c r="G14" s="15"/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/>
      <c r="D15" s="15"/>
      <c r="E15" s="15"/>
      <c r="F15" s="15">
        <f t="shared" si="0"/>
        <v>0</v>
      </c>
      <c r="G15" s="15"/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/>
      <c r="D16" s="15"/>
      <c r="E16" s="15"/>
      <c r="F16" s="15">
        <f t="shared" si="0"/>
        <v>0</v>
      </c>
      <c r="G16" s="15"/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/>
      <c r="D17" s="15"/>
      <c r="E17" s="15"/>
      <c r="F17" s="15">
        <f t="shared" si="0"/>
        <v>0</v>
      </c>
      <c r="G17" s="15"/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19">
        <f>C12+C13</f>
        <v>0</v>
      </c>
      <c r="D20" s="119">
        <f t="shared" ref="D20:G20" si="4">D12+D13</f>
        <v>0</v>
      </c>
      <c r="E20" s="119">
        <f t="shared" si="4"/>
        <v>0</v>
      </c>
      <c r="F20" s="119">
        <f t="shared" si="0"/>
        <v>0</v>
      </c>
      <c r="G20" s="119">
        <f t="shared" si="4"/>
        <v>0</v>
      </c>
      <c r="H20" s="125" t="e">
        <f t="shared" si="1"/>
        <v>#DIV/0!</v>
      </c>
    </row>
    <row r="21" spans="1:8" ht="25.5">
      <c r="A21" s="13" t="s">
        <v>87</v>
      </c>
      <c r="B21" s="14" t="s">
        <v>194</v>
      </c>
      <c r="C21" s="15"/>
      <c r="D21" s="15"/>
      <c r="E21" s="15"/>
      <c r="F21" s="15">
        <f t="shared" si="0"/>
        <v>0</v>
      </c>
      <c r="G21" s="15"/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19">
        <f>SUM(C21)</f>
        <v>0</v>
      </c>
      <c r="D22" s="119">
        <f t="shared" ref="D22:E22" si="5">SUM(D21)</f>
        <v>0</v>
      </c>
      <c r="E22" s="119">
        <f t="shared" si="5"/>
        <v>0</v>
      </c>
      <c r="F22" s="119">
        <f t="shared" si="0"/>
        <v>0</v>
      </c>
      <c r="G22" s="15">
        <f t="shared" ref="G22" si="6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/>
      <c r="E24" s="15"/>
      <c r="F24" s="15">
        <f t="shared" si="0"/>
        <v>0</v>
      </c>
      <c r="G24" s="15"/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>SUM(C23)</f>
        <v>0</v>
      </c>
      <c r="D25" s="15">
        <f t="shared" ref="D25:E25" si="7">SUM(D23)</f>
        <v>0</v>
      </c>
      <c r="E25" s="15">
        <f t="shared" si="7"/>
        <v>0</v>
      </c>
      <c r="F25" s="15">
        <f t="shared" si="0"/>
        <v>0</v>
      </c>
      <c r="G25" s="15"/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>SUM(C27)</f>
        <v>0</v>
      </c>
      <c r="D26" s="15">
        <f t="shared" ref="D26:E26" si="8">SUM(D27)</f>
        <v>0</v>
      </c>
      <c r="E26" s="15">
        <f t="shared" si="8"/>
        <v>0</v>
      </c>
      <c r="F26" s="15">
        <f t="shared" si="0"/>
        <v>0</v>
      </c>
      <c r="G26" s="15">
        <f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>SUM(C29)</f>
        <v>0</v>
      </c>
      <c r="D28" s="15">
        <f t="shared" ref="D28:G28" si="9">SUM(D29)</f>
        <v>0</v>
      </c>
      <c r="E28" s="15">
        <f t="shared" si="9"/>
        <v>0</v>
      </c>
      <c r="F28" s="15">
        <f t="shared" si="0"/>
        <v>0</v>
      </c>
      <c r="G28" s="15">
        <f t="shared" si="9"/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/>
      <c r="E29" s="15"/>
      <c r="F29" s="15">
        <f t="shared" si="0"/>
        <v>0</v>
      </c>
      <c r="G29" s="15"/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>SUM(C31)</f>
        <v>0</v>
      </c>
      <c r="D30" s="15">
        <f t="shared" ref="D30:G30" si="10">SUM(D31)</f>
        <v>0</v>
      </c>
      <c r="E30" s="15">
        <f t="shared" si="10"/>
        <v>0</v>
      </c>
      <c r="F30" s="15">
        <f t="shared" si="0"/>
        <v>0</v>
      </c>
      <c r="G30" s="15">
        <f t="shared" si="10"/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/>
      <c r="E31" s="15"/>
      <c r="F31" s="15">
        <f t="shared" si="0"/>
        <v>0</v>
      </c>
      <c r="G31" s="15"/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>C25+C26+C28+C30</f>
        <v>0</v>
      </c>
      <c r="D32" s="15">
        <f t="shared" ref="D32:G32" si="11">D25+D26+D28+D30</f>
        <v>0</v>
      </c>
      <c r="E32" s="15">
        <f t="shared" si="11"/>
        <v>0</v>
      </c>
      <c r="F32" s="15">
        <f t="shared" si="0"/>
        <v>0</v>
      </c>
      <c r="G32" s="15">
        <f t="shared" si="11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/>
      <c r="D33" s="15"/>
      <c r="E33" s="15"/>
      <c r="F33" s="15">
        <f t="shared" si="0"/>
        <v>0</v>
      </c>
      <c r="G33" s="15"/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/>
      <c r="D34" s="15"/>
      <c r="E34" s="15"/>
      <c r="F34" s="15">
        <f t="shared" si="0"/>
        <v>0</v>
      </c>
      <c r="G34" s="15"/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/>
      <c r="D35" s="15"/>
      <c r="E35" s="15"/>
      <c r="F35" s="15">
        <f t="shared" si="0"/>
        <v>0</v>
      </c>
      <c r="G35" s="15"/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19">
        <f>C32+C33</f>
        <v>0</v>
      </c>
      <c r="D36" s="119">
        <f t="shared" ref="D36:G36" si="12">D32+D33</f>
        <v>0</v>
      </c>
      <c r="E36" s="119">
        <f t="shared" si="12"/>
        <v>0</v>
      </c>
      <c r="F36" s="119">
        <f t="shared" si="0"/>
        <v>0</v>
      </c>
      <c r="G36" s="119">
        <f t="shared" si="12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/>
      <c r="E40" s="15"/>
      <c r="F40" s="15">
        <f t="shared" si="0"/>
        <v>0</v>
      </c>
      <c r="G40" s="15"/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/>
      <c r="E41" s="15"/>
      <c r="F41" s="15">
        <f t="shared" si="0"/>
        <v>0</v>
      </c>
      <c r="G41" s="15"/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/>
      <c r="D44" s="15"/>
      <c r="E44" s="15"/>
      <c r="F44" s="15">
        <f t="shared" si="0"/>
        <v>0</v>
      </c>
      <c r="G44" s="15"/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>
        <v>243</v>
      </c>
      <c r="F45" s="15">
        <f t="shared" si="0"/>
        <v>243</v>
      </c>
      <c r="G45" s="15">
        <v>243</v>
      </c>
      <c r="H45" s="124">
        <f t="shared" si="1"/>
        <v>1</v>
      </c>
    </row>
    <row r="46" spans="1:8" ht="38.25">
      <c r="A46" s="16" t="s">
        <v>237</v>
      </c>
      <c r="B46" s="17" t="s">
        <v>238</v>
      </c>
      <c r="C46" s="119">
        <f>SUM(C37:C45)</f>
        <v>0</v>
      </c>
      <c r="D46" s="119">
        <f t="shared" ref="D46:G46" si="13">SUM(D37:D45)</f>
        <v>0</v>
      </c>
      <c r="E46" s="119">
        <f t="shared" si="13"/>
        <v>243</v>
      </c>
      <c r="F46" s="119">
        <f t="shared" si="0"/>
        <v>243</v>
      </c>
      <c r="G46" s="119">
        <f t="shared" si="13"/>
        <v>243</v>
      </c>
      <c r="H46" s="125">
        <f t="shared" si="1"/>
        <v>1</v>
      </c>
    </row>
    <row r="47" spans="1:8">
      <c r="A47" s="13" t="s">
        <v>239</v>
      </c>
      <c r="B47" s="14" t="s">
        <v>240</v>
      </c>
      <c r="C47" s="15"/>
      <c r="D47" s="15"/>
      <c r="E47" s="15"/>
      <c r="F47" s="15">
        <f t="shared" si="0"/>
        <v>0</v>
      </c>
      <c r="G47" s="15"/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19">
        <f>SUM(C47)</f>
        <v>0</v>
      </c>
      <c r="D48" s="119">
        <f t="shared" ref="D48:G48" si="14">SUM(D47)</f>
        <v>0</v>
      </c>
      <c r="E48" s="119">
        <f t="shared" si="14"/>
        <v>0</v>
      </c>
      <c r="F48" s="119">
        <f t="shared" si="0"/>
        <v>0</v>
      </c>
      <c r="G48" s="119">
        <f t="shared" si="14"/>
        <v>0</v>
      </c>
      <c r="H48" s="125" t="e">
        <f t="shared" si="1"/>
        <v>#DIV/0!</v>
      </c>
    </row>
    <row r="49" spans="1:8" ht="25.5">
      <c r="A49" s="13" t="s">
        <v>243</v>
      </c>
      <c r="B49" s="14" t="s">
        <v>244</v>
      </c>
      <c r="C49" s="15">
        <f>SUM(C50:C52)</f>
        <v>0</v>
      </c>
      <c r="D49" s="15">
        <f t="shared" ref="D49:E49" si="15">SUM(D50:D52)</f>
        <v>0</v>
      </c>
      <c r="E49" s="15">
        <f t="shared" si="15"/>
        <v>0</v>
      </c>
      <c r="F49" s="15">
        <f t="shared" si="0"/>
        <v>0</v>
      </c>
      <c r="G49" s="15"/>
      <c r="H49" s="124" t="e">
        <f t="shared" si="1"/>
        <v>#DIV/0!</v>
      </c>
    </row>
    <row r="50" spans="1:8">
      <c r="A50" s="13" t="s">
        <v>245</v>
      </c>
      <c r="B50" s="14" t="s">
        <v>246</v>
      </c>
      <c r="C50" s="15"/>
      <c r="D50" s="15"/>
      <c r="E50" s="15"/>
      <c r="F50" s="15">
        <f t="shared" si="0"/>
        <v>0</v>
      </c>
      <c r="G50" s="15"/>
      <c r="H50" s="124" t="e">
        <f t="shared" si="1"/>
        <v>#DIV/0!</v>
      </c>
    </row>
    <row r="51" spans="1:8">
      <c r="A51" s="13" t="s">
        <v>247</v>
      </c>
      <c r="B51" s="14" t="s">
        <v>248</v>
      </c>
      <c r="C51" s="15"/>
      <c r="D51" s="15"/>
      <c r="E51" s="15"/>
      <c r="F51" s="15">
        <f t="shared" si="0"/>
        <v>0</v>
      </c>
      <c r="G51" s="15"/>
      <c r="H51" s="124" t="e">
        <f t="shared" si="1"/>
        <v>#DIV/0!</v>
      </c>
    </row>
    <row r="52" spans="1:8">
      <c r="A52" s="13" t="s">
        <v>249</v>
      </c>
      <c r="B52" s="14" t="s">
        <v>250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 ht="25.5">
      <c r="A53" s="16" t="s">
        <v>251</v>
      </c>
      <c r="B53" s="17" t="s">
        <v>252</v>
      </c>
      <c r="C53" s="119">
        <f>SUM(C49)</f>
        <v>0</v>
      </c>
      <c r="D53" s="119">
        <f t="shared" ref="D53:G53" si="16">SUM(D49)</f>
        <v>0</v>
      </c>
      <c r="E53" s="119">
        <f t="shared" si="16"/>
        <v>0</v>
      </c>
      <c r="F53" s="119">
        <f t="shared" si="0"/>
        <v>0</v>
      </c>
      <c r="G53" s="119">
        <f t="shared" si="16"/>
        <v>0</v>
      </c>
      <c r="H53" s="125" t="e">
        <f t="shared" si="1"/>
        <v>#DIV/0!</v>
      </c>
    </row>
    <row r="54" spans="1:8" ht="25.5">
      <c r="A54" s="16" t="s">
        <v>253</v>
      </c>
      <c r="B54" s="17" t="s">
        <v>254</v>
      </c>
      <c r="C54" s="119">
        <f>C20+C22+C36+C46+C48+C53</f>
        <v>0</v>
      </c>
      <c r="D54" s="119">
        <f t="shared" ref="D54:G54" si="17">D20+D22+D36+D46+D48+D53</f>
        <v>0</v>
      </c>
      <c r="E54" s="119">
        <f t="shared" si="17"/>
        <v>243</v>
      </c>
      <c r="F54" s="119">
        <f t="shared" si="0"/>
        <v>243</v>
      </c>
      <c r="G54" s="119">
        <f t="shared" si="17"/>
        <v>243</v>
      </c>
      <c r="H54" s="125">
        <f t="shared" si="1"/>
        <v>1</v>
      </c>
    </row>
    <row r="55" spans="1:8" ht="25.5">
      <c r="A55" s="13" t="s">
        <v>255</v>
      </c>
      <c r="B55" s="14" t="s">
        <v>256</v>
      </c>
      <c r="C55" s="15">
        <v>443000</v>
      </c>
      <c r="D55" s="15">
        <v>2060000</v>
      </c>
      <c r="E55" s="15">
        <f>-64+29768</f>
        <v>29704</v>
      </c>
      <c r="F55" s="15">
        <f t="shared" si="0"/>
        <v>2089704</v>
      </c>
      <c r="G55" s="15">
        <v>2086704</v>
      </c>
      <c r="H55" s="124">
        <f t="shared" si="1"/>
        <v>0.99856438998059061</v>
      </c>
    </row>
    <row r="56" spans="1:8">
      <c r="A56" s="13" t="s">
        <v>163</v>
      </c>
      <c r="B56" s="14" t="s">
        <v>257</v>
      </c>
      <c r="C56" s="15">
        <f>SUM(C55)</f>
        <v>443000</v>
      </c>
      <c r="D56" s="15">
        <f t="shared" ref="D56:G56" si="18">SUM(D55)</f>
        <v>2060000</v>
      </c>
      <c r="E56" s="15">
        <f t="shared" si="18"/>
        <v>29704</v>
      </c>
      <c r="F56" s="15">
        <f t="shared" si="0"/>
        <v>2089704</v>
      </c>
      <c r="G56" s="15">
        <f t="shared" si="18"/>
        <v>2086704</v>
      </c>
      <c r="H56" s="124">
        <f t="shared" si="1"/>
        <v>0.99856438998059061</v>
      </c>
    </row>
    <row r="57" spans="1:8">
      <c r="A57" s="13" t="s">
        <v>258</v>
      </c>
      <c r="B57" s="14" t="s">
        <v>259</v>
      </c>
      <c r="C57" s="15"/>
      <c r="D57" s="15"/>
      <c r="E57" s="15"/>
      <c r="F57" s="15">
        <f t="shared" si="0"/>
        <v>0</v>
      </c>
      <c r="G57" s="15"/>
      <c r="H57" s="124" t="e">
        <f t="shared" si="1"/>
        <v>#DIV/0!</v>
      </c>
    </row>
    <row r="58" spans="1:8">
      <c r="A58" s="13">
        <v>300</v>
      </c>
      <c r="B58" s="19" t="s">
        <v>412</v>
      </c>
      <c r="C58" s="15">
        <v>41915000</v>
      </c>
      <c r="D58" s="15">
        <v>39805000</v>
      </c>
      <c r="E58" s="15"/>
      <c r="F58" s="15">
        <f t="shared" si="0"/>
        <v>39805000</v>
      </c>
      <c r="G58" s="15">
        <v>24853185</v>
      </c>
      <c r="H58" s="124"/>
    </row>
    <row r="59" spans="1:8" ht="25.5">
      <c r="A59" s="13" t="s">
        <v>260</v>
      </c>
      <c r="B59" s="14" t="s">
        <v>261</v>
      </c>
      <c r="C59" s="15">
        <f>C56+C57+C58</f>
        <v>42358000</v>
      </c>
      <c r="D59" s="15">
        <f t="shared" ref="D59:G59" si="19">D56+D57+D58</f>
        <v>41865000</v>
      </c>
      <c r="E59" s="15">
        <f t="shared" si="19"/>
        <v>29704</v>
      </c>
      <c r="F59" s="15">
        <f t="shared" si="0"/>
        <v>41894704</v>
      </c>
      <c r="G59" s="15">
        <f t="shared" si="19"/>
        <v>26939889</v>
      </c>
      <c r="H59" s="124">
        <f t="shared" si="1"/>
        <v>0.64303805559767169</v>
      </c>
    </row>
    <row r="60" spans="1:8" ht="25.5">
      <c r="A60" s="16" t="s">
        <v>262</v>
      </c>
      <c r="B60" s="17" t="s">
        <v>263</v>
      </c>
      <c r="C60" s="119">
        <f>SUM(C59)</f>
        <v>42358000</v>
      </c>
      <c r="D60" s="119">
        <f t="shared" ref="D60:G60" si="20">SUM(D59)</f>
        <v>41865000</v>
      </c>
      <c r="E60" s="119">
        <f t="shared" si="20"/>
        <v>29704</v>
      </c>
      <c r="F60" s="119">
        <f t="shared" si="0"/>
        <v>41894704</v>
      </c>
      <c r="G60" s="119">
        <f t="shared" si="20"/>
        <v>26939889</v>
      </c>
      <c r="H60" s="125">
        <f t="shared" si="1"/>
        <v>0.64303805559767169</v>
      </c>
    </row>
    <row r="61" spans="1:8">
      <c r="A61" s="16" t="s">
        <v>264</v>
      </c>
      <c r="B61" s="17" t="s">
        <v>265</v>
      </c>
      <c r="C61" s="119">
        <f>C54+C60</f>
        <v>42358000</v>
      </c>
      <c r="D61" s="119">
        <f t="shared" ref="D61:G61" si="21">D54+D60</f>
        <v>41865000</v>
      </c>
      <c r="E61" s="119">
        <f t="shared" si="21"/>
        <v>29947</v>
      </c>
      <c r="F61" s="119">
        <f t="shared" si="0"/>
        <v>41894947</v>
      </c>
      <c r="G61" s="119">
        <f t="shared" si="21"/>
        <v>26940132</v>
      </c>
      <c r="H61" s="125">
        <f t="shared" si="1"/>
        <v>0.64304012605625205</v>
      </c>
    </row>
    <row r="63" spans="1:8" ht="60">
      <c r="A63" s="12" t="s">
        <v>0</v>
      </c>
      <c r="B63" s="12" t="s">
        <v>1</v>
      </c>
      <c r="C63" s="12" t="s">
        <v>269</v>
      </c>
      <c r="D63" s="12" t="s">
        <v>270</v>
      </c>
      <c r="E63" s="12" t="s">
        <v>271</v>
      </c>
      <c r="F63" s="12" t="s">
        <v>457</v>
      </c>
      <c r="G63" s="12" t="s">
        <v>273</v>
      </c>
      <c r="H63" s="123" t="s">
        <v>274</v>
      </c>
    </row>
    <row r="64" spans="1:8" ht="25.5">
      <c r="A64" s="13" t="s">
        <v>31</v>
      </c>
      <c r="B64" s="14" t="s">
        <v>32</v>
      </c>
      <c r="C64" s="15">
        <v>29596418</v>
      </c>
      <c r="D64" s="15">
        <v>33278000</v>
      </c>
      <c r="E64" s="15">
        <v>-360000</v>
      </c>
      <c r="F64" s="15">
        <f>SUM(D64:E64)</f>
        <v>32918000</v>
      </c>
      <c r="G64" s="15">
        <f>15373551+2039789</f>
        <v>17413340</v>
      </c>
      <c r="H64" s="124">
        <f t="shared" si="1"/>
        <v>0.5289914332583997</v>
      </c>
    </row>
    <row r="65" spans="1:8" ht="25.5">
      <c r="A65" s="21" t="s">
        <v>178</v>
      </c>
      <c r="B65" s="14" t="s">
        <v>282</v>
      </c>
      <c r="C65" s="15"/>
      <c r="D65" s="15"/>
      <c r="E65" s="15">
        <v>360000</v>
      </c>
      <c r="F65" s="15">
        <f t="shared" ref="F65:F129" si="22">SUM(D65:E65)</f>
        <v>360000</v>
      </c>
      <c r="G65" s="15">
        <v>360000</v>
      </c>
      <c r="H65" s="124"/>
    </row>
    <row r="66" spans="1:8">
      <c r="A66" s="13" t="s">
        <v>33</v>
      </c>
      <c r="B66" s="14" t="s">
        <v>34</v>
      </c>
      <c r="C66" s="15">
        <v>735900</v>
      </c>
      <c r="D66" s="15">
        <v>660000</v>
      </c>
      <c r="E66" s="15"/>
      <c r="F66" s="15">
        <f t="shared" si="22"/>
        <v>660000</v>
      </c>
      <c r="G66" s="15">
        <v>416210</v>
      </c>
      <c r="H66" s="124">
        <f t="shared" si="1"/>
        <v>0.63062121212121214</v>
      </c>
    </row>
    <row r="67" spans="1:8">
      <c r="A67" s="13" t="s">
        <v>35</v>
      </c>
      <c r="B67" s="14" t="s">
        <v>36</v>
      </c>
      <c r="C67" s="15">
        <v>396661</v>
      </c>
      <c r="D67" s="15">
        <v>501000</v>
      </c>
      <c r="E67" s="15"/>
      <c r="F67" s="15">
        <f t="shared" si="22"/>
        <v>501000</v>
      </c>
      <c r="G67" s="15">
        <v>281856</v>
      </c>
      <c r="H67" s="124">
        <f t="shared" si="1"/>
        <v>0.56258682634730539</v>
      </c>
    </row>
    <row r="68" spans="1:8">
      <c r="A68" s="13" t="s">
        <v>37</v>
      </c>
      <c r="B68" s="14" t="s">
        <v>38</v>
      </c>
      <c r="C68" s="15">
        <v>143000</v>
      </c>
      <c r="D68" s="15">
        <v>60000</v>
      </c>
      <c r="E68" s="15"/>
      <c r="F68" s="15">
        <f t="shared" si="22"/>
        <v>60000</v>
      </c>
      <c r="G68" s="15"/>
      <c r="H68" s="124">
        <f t="shared" si="1"/>
        <v>0</v>
      </c>
    </row>
    <row r="69" spans="1:8" ht="25.5">
      <c r="A69" s="13" t="s">
        <v>39</v>
      </c>
      <c r="B69" s="14" t="s">
        <v>40</v>
      </c>
      <c r="C69" s="15">
        <v>718947</v>
      </c>
      <c r="D69" s="15">
        <v>120000</v>
      </c>
      <c r="E69" s="15"/>
      <c r="F69" s="15">
        <f t="shared" si="22"/>
        <v>120000</v>
      </c>
      <c r="G69" s="15">
        <v>115790</v>
      </c>
      <c r="H69" s="124">
        <f t="shared" si="1"/>
        <v>0.96491666666666664</v>
      </c>
    </row>
    <row r="70" spans="1:8" ht="25.5">
      <c r="A70" s="13" t="s">
        <v>41</v>
      </c>
      <c r="B70" s="14" t="s">
        <v>42</v>
      </c>
      <c r="C70" s="15">
        <f>SUM(C64:C69)</f>
        <v>31590926</v>
      </c>
      <c r="D70" s="15">
        <f t="shared" ref="D70:G70" si="23">SUM(D64:D69)</f>
        <v>34619000</v>
      </c>
      <c r="E70" s="15">
        <f t="shared" si="23"/>
        <v>0</v>
      </c>
      <c r="F70" s="15">
        <f t="shared" si="22"/>
        <v>34619000</v>
      </c>
      <c r="G70" s="15">
        <f t="shared" si="23"/>
        <v>18587196</v>
      </c>
      <c r="H70" s="124">
        <f t="shared" si="1"/>
        <v>0.53690736300875241</v>
      </c>
    </row>
    <row r="71" spans="1:8">
      <c r="A71" s="13" t="s">
        <v>43</v>
      </c>
      <c r="B71" s="14" t="s">
        <v>44</v>
      </c>
      <c r="C71" s="15"/>
      <c r="D71" s="15"/>
      <c r="E71" s="15"/>
      <c r="F71" s="15">
        <f t="shared" si="22"/>
        <v>0</v>
      </c>
      <c r="G71" s="15"/>
      <c r="H71" s="124" t="e">
        <f t="shared" si="1"/>
        <v>#DIV/0!</v>
      </c>
    </row>
    <row r="72" spans="1:8" ht="38.25">
      <c r="A72" s="13" t="s">
        <v>45</v>
      </c>
      <c r="B72" s="14" t="s">
        <v>46</v>
      </c>
      <c r="C72" s="15"/>
      <c r="D72" s="15"/>
      <c r="E72" s="15"/>
      <c r="F72" s="15">
        <f t="shared" si="22"/>
        <v>0</v>
      </c>
      <c r="G72" s="15"/>
      <c r="H72" s="124" t="e">
        <f t="shared" si="1"/>
        <v>#DIV/0!</v>
      </c>
    </row>
    <row r="73" spans="1:8">
      <c r="A73" s="13" t="s">
        <v>47</v>
      </c>
      <c r="B73" s="14" t="s">
        <v>48</v>
      </c>
      <c r="C73" s="15"/>
      <c r="D73" s="15"/>
      <c r="E73" s="15"/>
      <c r="F73" s="15">
        <f t="shared" si="22"/>
        <v>0</v>
      </c>
      <c r="G73" s="15"/>
      <c r="H73" s="124" t="e">
        <f t="shared" ref="H73:H137" si="24">G73/F73</f>
        <v>#DIV/0!</v>
      </c>
    </row>
    <row r="74" spans="1:8">
      <c r="A74" s="13" t="s">
        <v>49</v>
      </c>
      <c r="B74" s="14" t="s">
        <v>50</v>
      </c>
      <c r="C74" s="15">
        <f>SUM(C71:C73)</f>
        <v>0</v>
      </c>
      <c r="D74" s="15">
        <f t="shared" ref="D74:G74" si="25">SUM(D71:D73)</f>
        <v>0</v>
      </c>
      <c r="E74" s="15">
        <f t="shared" si="25"/>
        <v>0</v>
      </c>
      <c r="F74" s="15">
        <f t="shared" si="22"/>
        <v>0</v>
      </c>
      <c r="G74" s="15">
        <f t="shared" si="25"/>
        <v>0</v>
      </c>
      <c r="H74" s="124" t="e">
        <f t="shared" si="24"/>
        <v>#DIV/0!</v>
      </c>
    </row>
    <row r="75" spans="1:8">
      <c r="A75" s="16" t="s">
        <v>51</v>
      </c>
      <c r="B75" s="17" t="s">
        <v>52</v>
      </c>
      <c r="C75" s="119">
        <f>C70+C74</f>
        <v>31590926</v>
      </c>
      <c r="D75" s="119">
        <f t="shared" ref="D75:G75" si="26">D70+D74</f>
        <v>34619000</v>
      </c>
      <c r="E75" s="119">
        <f t="shared" si="26"/>
        <v>0</v>
      </c>
      <c r="F75" s="119">
        <f t="shared" si="22"/>
        <v>34619000</v>
      </c>
      <c r="G75" s="119">
        <f t="shared" si="26"/>
        <v>18587196</v>
      </c>
      <c r="H75" s="125">
        <f t="shared" si="24"/>
        <v>0.53690736300875241</v>
      </c>
    </row>
    <row r="76" spans="1:8" ht="25.5">
      <c r="A76" s="16" t="s">
        <v>53</v>
      </c>
      <c r="B76" s="17" t="s">
        <v>54</v>
      </c>
      <c r="C76" s="119">
        <f>SUM(C77:C80)</f>
        <v>8556842</v>
      </c>
      <c r="D76" s="119">
        <f t="shared" ref="D76:G76" si="27">SUM(D77:D80)</f>
        <v>7185000</v>
      </c>
      <c r="E76" s="119">
        <f t="shared" si="27"/>
        <v>0</v>
      </c>
      <c r="F76" s="119">
        <f t="shared" si="22"/>
        <v>7185000</v>
      </c>
      <c r="G76" s="119">
        <f t="shared" si="27"/>
        <v>4296659</v>
      </c>
      <c r="H76" s="125">
        <f t="shared" si="24"/>
        <v>0.59800403618649967</v>
      </c>
    </row>
    <row r="77" spans="1:8">
      <c r="A77" s="13" t="s">
        <v>55</v>
      </c>
      <c r="B77" s="14" t="s">
        <v>56</v>
      </c>
      <c r="C77" s="15">
        <v>8228256</v>
      </c>
      <c r="D77" s="15">
        <v>6858000</v>
      </c>
      <c r="E77" s="15"/>
      <c r="F77" s="15">
        <f t="shared" si="22"/>
        <v>6858000</v>
      </c>
      <c r="G77" s="15">
        <v>4077722</v>
      </c>
      <c r="H77" s="124">
        <f t="shared" si="24"/>
        <v>0.59459346748323127</v>
      </c>
    </row>
    <row r="78" spans="1:8">
      <c r="A78" s="13" t="s">
        <v>57</v>
      </c>
      <c r="B78" s="14" t="s">
        <v>58</v>
      </c>
      <c r="C78" s="15">
        <v>171544</v>
      </c>
      <c r="D78" s="15">
        <v>210000</v>
      </c>
      <c r="E78" s="15"/>
      <c r="F78" s="15">
        <f t="shared" si="22"/>
        <v>210000</v>
      </c>
      <c r="G78" s="15">
        <v>74861</v>
      </c>
      <c r="H78" s="124">
        <f t="shared" si="24"/>
        <v>0.3564809523809524</v>
      </c>
    </row>
    <row r="79" spans="1:8">
      <c r="A79" s="13" t="s">
        <v>59</v>
      </c>
      <c r="B79" s="14" t="s">
        <v>60</v>
      </c>
      <c r="C79" s="15">
        <v>7399</v>
      </c>
      <c r="D79" s="15"/>
      <c r="E79" s="15"/>
      <c r="F79" s="15">
        <f t="shared" si="22"/>
        <v>0</v>
      </c>
      <c r="G79" s="15">
        <v>68819</v>
      </c>
      <c r="H79" s="124" t="e">
        <f t="shared" si="24"/>
        <v>#DIV/0!</v>
      </c>
    </row>
    <row r="80" spans="1:8" ht="25.5">
      <c r="A80" s="13" t="s">
        <v>61</v>
      </c>
      <c r="B80" s="14" t="s">
        <v>62</v>
      </c>
      <c r="C80" s="15">
        <v>149643</v>
      </c>
      <c r="D80" s="15">
        <v>117000</v>
      </c>
      <c r="E80" s="15"/>
      <c r="F80" s="15">
        <f t="shared" si="22"/>
        <v>117000</v>
      </c>
      <c r="G80" s="15">
        <v>75257</v>
      </c>
      <c r="H80" s="124">
        <f t="shared" si="24"/>
        <v>0.64322222222222225</v>
      </c>
    </row>
    <row r="81" spans="1:8">
      <c r="A81" s="13" t="s">
        <v>63</v>
      </c>
      <c r="B81" s="14" t="s">
        <v>64</v>
      </c>
      <c r="C81" s="15">
        <v>45643</v>
      </c>
      <c r="D81" s="15">
        <v>45000</v>
      </c>
      <c r="E81" s="127">
        <v>29779</v>
      </c>
      <c r="F81" s="15">
        <f t="shared" si="22"/>
        <v>74779</v>
      </c>
      <c r="G81" s="15">
        <v>74779</v>
      </c>
      <c r="H81" s="124">
        <f t="shared" si="24"/>
        <v>1</v>
      </c>
    </row>
    <row r="82" spans="1:8">
      <c r="A82" s="13" t="s">
        <v>65</v>
      </c>
      <c r="B82" s="14" t="s">
        <v>66</v>
      </c>
      <c r="C82" s="15"/>
      <c r="D82" s="15"/>
      <c r="E82" s="15"/>
      <c r="F82" s="15">
        <f t="shared" si="22"/>
        <v>0</v>
      </c>
      <c r="G82" s="15"/>
      <c r="H82" s="124" t="e">
        <f t="shared" si="24"/>
        <v>#DIV/0!</v>
      </c>
    </row>
    <row r="83" spans="1:8">
      <c r="A83" s="13" t="s">
        <v>67</v>
      </c>
      <c r="B83" s="14" t="s">
        <v>68</v>
      </c>
      <c r="C83" s="15">
        <f>SUM(C81:C82)</f>
        <v>45643</v>
      </c>
      <c r="D83" s="15">
        <f t="shared" ref="D83:G83" si="28">SUM(D81:D82)</f>
        <v>45000</v>
      </c>
      <c r="E83" s="15">
        <f t="shared" si="28"/>
        <v>29779</v>
      </c>
      <c r="F83" s="15">
        <f t="shared" si="22"/>
        <v>74779</v>
      </c>
      <c r="G83" s="15">
        <f t="shared" si="28"/>
        <v>74779</v>
      </c>
      <c r="H83" s="124">
        <f t="shared" si="24"/>
        <v>1</v>
      </c>
    </row>
    <row r="84" spans="1:8">
      <c r="A84" s="13" t="s">
        <v>69</v>
      </c>
      <c r="B84" s="14" t="s">
        <v>70</v>
      </c>
      <c r="C84" s="15"/>
      <c r="D84" s="15"/>
      <c r="E84" s="15"/>
      <c r="F84" s="15">
        <f t="shared" si="22"/>
        <v>0</v>
      </c>
      <c r="G84" s="15"/>
      <c r="H84" s="124" t="e">
        <f t="shared" si="24"/>
        <v>#DIV/0!</v>
      </c>
    </row>
    <row r="85" spans="1:8">
      <c r="A85" s="13" t="s">
        <v>71</v>
      </c>
      <c r="B85" s="14" t="s">
        <v>72</v>
      </c>
      <c r="C85" s="15"/>
      <c r="D85" s="15"/>
      <c r="E85" s="15"/>
      <c r="F85" s="15">
        <f t="shared" si="22"/>
        <v>0</v>
      </c>
      <c r="G85" s="15"/>
      <c r="H85" s="124" t="e">
        <f t="shared" si="24"/>
        <v>#DIV/0!</v>
      </c>
    </row>
    <row r="86" spans="1:8">
      <c r="A86" s="13" t="s">
        <v>73</v>
      </c>
      <c r="B86" s="14" t="s">
        <v>74</v>
      </c>
      <c r="C86" s="15">
        <f>SUM(C84:C85)</f>
        <v>0</v>
      </c>
      <c r="D86" s="15">
        <f t="shared" ref="D86:G86" si="29">SUM(D84:D85)</f>
        <v>0</v>
      </c>
      <c r="E86" s="15">
        <f t="shared" si="29"/>
        <v>0</v>
      </c>
      <c r="F86" s="15">
        <f t="shared" si="22"/>
        <v>0</v>
      </c>
      <c r="G86" s="15">
        <f t="shared" si="29"/>
        <v>0</v>
      </c>
      <c r="H86" s="124" t="e">
        <f t="shared" si="24"/>
        <v>#DIV/0!</v>
      </c>
    </row>
    <row r="87" spans="1:8">
      <c r="A87" s="13" t="s">
        <v>75</v>
      </c>
      <c r="B87" s="14" t="s">
        <v>76</v>
      </c>
      <c r="C87" s="15"/>
      <c r="D87" s="15"/>
      <c r="E87" s="15"/>
      <c r="F87" s="15">
        <f t="shared" si="22"/>
        <v>0</v>
      </c>
      <c r="G87" s="15"/>
      <c r="H87" s="124" t="e">
        <f t="shared" si="24"/>
        <v>#DIV/0!</v>
      </c>
    </row>
    <row r="88" spans="1:8">
      <c r="A88" s="13" t="s">
        <v>77</v>
      </c>
      <c r="B88" s="14" t="s">
        <v>78</v>
      </c>
      <c r="C88" s="15"/>
      <c r="D88" s="15"/>
      <c r="E88" s="15"/>
      <c r="F88" s="15">
        <f t="shared" si="22"/>
        <v>0</v>
      </c>
      <c r="G88" s="15"/>
      <c r="H88" s="124" t="e">
        <f t="shared" si="24"/>
        <v>#DIV/0!</v>
      </c>
    </row>
    <row r="89" spans="1:8">
      <c r="A89" s="20" t="s">
        <v>276</v>
      </c>
      <c r="B89" s="19" t="s">
        <v>277</v>
      </c>
      <c r="C89" s="15"/>
      <c r="D89" s="15"/>
      <c r="E89" s="15"/>
      <c r="F89" s="15">
        <f t="shared" si="22"/>
        <v>0</v>
      </c>
      <c r="G89" s="15"/>
      <c r="H89" s="124"/>
    </row>
    <row r="90" spans="1:8">
      <c r="A90" s="13" t="s">
        <v>79</v>
      </c>
      <c r="B90" s="14" t="s">
        <v>80</v>
      </c>
      <c r="C90" s="15"/>
      <c r="D90" s="15"/>
      <c r="E90" s="15"/>
      <c r="F90" s="15">
        <f t="shared" si="22"/>
        <v>0</v>
      </c>
      <c r="G90" s="15"/>
      <c r="H90" s="124" t="e">
        <f t="shared" si="24"/>
        <v>#DIV/0!</v>
      </c>
    </row>
    <row r="91" spans="1:8">
      <c r="A91" s="13" t="s">
        <v>81</v>
      </c>
      <c r="B91" s="14" t="s">
        <v>82</v>
      </c>
      <c r="C91" s="15"/>
      <c r="D91" s="15"/>
      <c r="E91" s="15"/>
      <c r="F91" s="15">
        <f t="shared" si="22"/>
        <v>0</v>
      </c>
      <c r="G91" s="15"/>
      <c r="H91" s="124" t="e">
        <f t="shared" si="24"/>
        <v>#DIV/0!</v>
      </c>
    </row>
    <row r="92" spans="1:8">
      <c r="A92" s="13" t="s">
        <v>83</v>
      </c>
      <c r="B92" s="14" t="s">
        <v>84</v>
      </c>
      <c r="C92" s="15"/>
      <c r="D92" s="15"/>
      <c r="E92" s="15"/>
      <c r="F92" s="15">
        <f t="shared" si="22"/>
        <v>0</v>
      </c>
      <c r="G92" s="15"/>
      <c r="H92" s="124" t="e">
        <f t="shared" si="24"/>
        <v>#DIV/0!</v>
      </c>
    </row>
    <row r="93" spans="1:8" ht="25.5">
      <c r="A93" s="13" t="s">
        <v>85</v>
      </c>
      <c r="B93" s="14" t="s">
        <v>86</v>
      </c>
      <c r="C93" s="15"/>
      <c r="D93" s="15"/>
      <c r="E93" s="15"/>
      <c r="F93" s="15">
        <f t="shared" si="22"/>
        <v>0</v>
      </c>
      <c r="G93" s="15"/>
      <c r="H93" s="124" t="e">
        <f t="shared" si="24"/>
        <v>#DIV/0!</v>
      </c>
    </row>
    <row r="94" spans="1:8">
      <c r="A94" s="13" t="s">
        <v>87</v>
      </c>
      <c r="B94" s="14" t="s">
        <v>88</v>
      </c>
      <c r="C94" s="15"/>
      <c r="D94" s="15"/>
      <c r="E94" s="15"/>
      <c r="F94" s="15">
        <f t="shared" si="22"/>
        <v>0</v>
      </c>
      <c r="G94" s="15"/>
      <c r="H94" s="124" t="e">
        <f t="shared" si="24"/>
        <v>#DIV/0!</v>
      </c>
    </row>
    <row r="95" spans="1:8">
      <c r="A95" s="13" t="s">
        <v>89</v>
      </c>
      <c r="B95" s="14" t="s">
        <v>90</v>
      </c>
      <c r="C95" s="15"/>
      <c r="D95" s="15"/>
      <c r="E95" s="15"/>
      <c r="F95" s="15">
        <f t="shared" si="22"/>
        <v>0</v>
      </c>
      <c r="G95" s="15"/>
      <c r="H95" s="124" t="e">
        <f t="shared" si="24"/>
        <v>#DIV/0!</v>
      </c>
    </row>
    <row r="96" spans="1:8" ht="25.5">
      <c r="A96" s="13" t="s">
        <v>91</v>
      </c>
      <c r="B96" s="14" t="s">
        <v>92</v>
      </c>
      <c r="C96" s="15">
        <f>C87+C88+C89+C90+C91+C93+C94</f>
        <v>0</v>
      </c>
      <c r="D96" s="15">
        <f t="shared" ref="D96:G96" si="30">D87+D88+D89+D90+D91+D93+D94</f>
        <v>0</v>
      </c>
      <c r="E96" s="15">
        <f t="shared" si="30"/>
        <v>0</v>
      </c>
      <c r="F96" s="15">
        <f t="shared" si="22"/>
        <v>0</v>
      </c>
      <c r="G96" s="15">
        <f t="shared" si="30"/>
        <v>0</v>
      </c>
      <c r="H96" s="124" t="e">
        <f t="shared" si="24"/>
        <v>#DIV/0!</v>
      </c>
    </row>
    <row r="97" spans="1:8">
      <c r="A97" s="13" t="s">
        <v>280</v>
      </c>
      <c r="B97" s="14" t="s">
        <v>281</v>
      </c>
      <c r="C97" s="15">
        <f>Igazg.!C101+Adók!C100+Temető!C99+Önk.vagyon!C99+Múzeum!C99+Rendezvények!C99+Közter.rend.!C99+Közf.!C99+Közutak!C100+Közvil.!C99+Zöldter.!C99+'Város-község'!C99+Háziorvos!C99+Védőnő!C99+Sport!C99+Könyvtár!C99+'Művelődési H.'!C99+'Isk.1-4.'!C99+'Isk.5-8.'!C99+Gyermekétk.!C99+Családvéd.!C99+Gyermekvéd.!C99+Családtám.!C99+'Egyéb szoc.'!C99+'Közösségi Ház'!C99</f>
        <v>0</v>
      </c>
      <c r="D97" s="15">
        <v>4000</v>
      </c>
      <c r="E97" s="15">
        <v>-4000</v>
      </c>
      <c r="F97" s="15">
        <f t="shared" si="22"/>
        <v>0</v>
      </c>
      <c r="G97" s="15">
        <v>0</v>
      </c>
      <c r="H97" s="124"/>
    </row>
    <row r="98" spans="1:8">
      <c r="A98" s="13" t="s">
        <v>93</v>
      </c>
      <c r="B98" s="14" t="s">
        <v>94</v>
      </c>
      <c r="C98" s="15"/>
      <c r="D98" s="15"/>
      <c r="E98" s="15"/>
      <c r="F98" s="15">
        <f t="shared" si="22"/>
        <v>0</v>
      </c>
      <c r="G98" s="15"/>
      <c r="H98" s="124" t="e">
        <f t="shared" si="24"/>
        <v>#DIV/0!</v>
      </c>
    </row>
    <row r="99" spans="1:8" ht="25.5">
      <c r="A99" s="13" t="s">
        <v>95</v>
      </c>
      <c r="B99" s="14" t="s">
        <v>96</v>
      </c>
      <c r="C99" s="15">
        <f>SUM(C97:C98)</f>
        <v>0</v>
      </c>
      <c r="D99" s="15">
        <f t="shared" ref="D99:G99" si="31">SUM(D97:D98)</f>
        <v>4000</v>
      </c>
      <c r="E99" s="15">
        <f t="shared" si="31"/>
        <v>-4000</v>
      </c>
      <c r="F99" s="15">
        <f t="shared" si="22"/>
        <v>0</v>
      </c>
      <c r="G99" s="15">
        <f t="shared" si="31"/>
        <v>0</v>
      </c>
      <c r="H99" s="124" t="e">
        <f t="shared" si="24"/>
        <v>#DIV/0!</v>
      </c>
    </row>
    <row r="100" spans="1:8" ht="25.5">
      <c r="A100" s="13" t="s">
        <v>97</v>
      </c>
      <c r="B100" s="14" t="s">
        <v>98</v>
      </c>
      <c r="C100" s="15">
        <v>2282</v>
      </c>
      <c r="D100" s="15">
        <v>12000</v>
      </c>
      <c r="E100" s="15">
        <v>3000</v>
      </c>
      <c r="F100" s="15">
        <f t="shared" si="22"/>
        <v>15000</v>
      </c>
      <c r="G100" s="15">
        <v>14131</v>
      </c>
      <c r="H100" s="124">
        <f t="shared" si="24"/>
        <v>0.94206666666666672</v>
      </c>
    </row>
    <row r="101" spans="1:8" s="121" customFormat="1">
      <c r="A101" s="13">
        <v>52</v>
      </c>
      <c r="B101" s="14" t="s">
        <v>458</v>
      </c>
      <c r="C101" s="15"/>
      <c r="D101" s="15"/>
      <c r="E101" s="15"/>
      <c r="F101" s="15">
        <f t="shared" si="22"/>
        <v>0</v>
      </c>
      <c r="G101" s="15"/>
      <c r="H101" s="124" t="e">
        <f t="shared" si="24"/>
        <v>#DIV/0!</v>
      </c>
    </row>
    <row r="102" spans="1:8">
      <c r="A102" s="13" t="s">
        <v>99</v>
      </c>
      <c r="B102" s="14" t="s">
        <v>100</v>
      </c>
      <c r="C102" s="15"/>
      <c r="D102" s="15"/>
      <c r="E102" s="15">
        <v>1168</v>
      </c>
      <c r="F102" s="15">
        <f t="shared" si="22"/>
        <v>1168</v>
      </c>
      <c r="G102" s="15">
        <v>1168</v>
      </c>
      <c r="H102" s="124">
        <f t="shared" si="24"/>
        <v>1</v>
      </c>
    </row>
    <row r="103" spans="1:8" ht="25.5">
      <c r="A103" s="13" t="s">
        <v>101</v>
      </c>
      <c r="B103" s="14" t="s">
        <v>102</v>
      </c>
      <c r="C103" s="15">
        <f>SUM(C100:C102)</f>
        <v>2282</v>
      </c>
      <c r="D103" s="15">
        <f t="shared" ref="D103:G103" si="32">SUM(D100:D102)</f>
        <v>12000</v>
      </c>
      <c r="E103" s="15">
        <f t="shared" si="32"/>
        <v>4168</v>
      </c>
      <c r="F103" s="15">
        <f t="shared" si="22"/>
        <v>16168</v>
      </c>
      <c r="G103" s="15">
        <f t="shared" si="32"/>
        <v>15299</v>
      </c>
      <c r="H103" s="124">
        <f t="shared" si="24"/>
        <v>0.94625185551707081</v>
      </c>
    </row>
    <row r="104" spans="1:8">
      <c r="A104" s="16" t="s">
        <v>103</v>
      </c>
      <c r="B104" s="17" t="s">
        <v>104</v>
      </c>
      <c r="C104" s="119">
        <f>C83+C86+C96+C99+C103</f>
        <v>47925</v>
      </c>
      <c r="D104" s="119">
        <f t="shared" ref="D104:G104" si="33">D83+D86+D96+D99+D103</f>
        <v>61000</v>
      </c>
      <c r="E104" s="119">
        <f t="shared" si="33"/>
        <v>29947</v>
      </c>
      <c r="F104" s="119">
        <f t="shared" si="22"/>
        <v>90947</v>
      </c>
      <c r="G104" s="119">
        <f t="shared" si="33"/>
        <v>90078</v>
      </c>
      <c r="H104" s="125">
        <f t="shared" si="24"/>
        <v>0.99044498444148787</v>
      </c>
    </row>
    <row r="105" spans="1:8">
      <c r="A105" s="13" t="s">
        <v>105</v>
      </c>
      <c r="B105" s="14" t="s">
        <v>106</v>
      </c>
      <c r="C105" s="15">
        <f>SUM(C106)</f>
        <v>0</v>
      </c>
      <c r="D105" s="15">
        <f t="shared" ref="D105:G105" si="34">SUM(D106)</f>
        <v>0</v>
      </c>
      <c r="E105" s="15">
        <f t="shared" si="34"/>
        <v>0</v>
      </c>
      <c r="F105" s="15">
        <f t="shared" si="22"/>
        <v>0</v>
      </c>
      <c r="G105" s="15">
        <f t="shared" si="34"/>
        <v>0</v>
      </c>
      <c r="H105" s="124" t="e">
        <f t="shared" si="24"/>
        <v>#DIV/0!</v>
      </c>
    </row>
    <row r="106" spans="1:8" ht="25.5">
      <c r="A106" s="13" t="s">
        <v>107</v>
      </c>
      <c r="B106" s="14" t="s">
        <v>108</v>
      </c>
      <c r="C106" s="15"/>
      <c r="D106" s="15"/>
      <c r="E106" s="15"/>
      <c r="F106" s="15">
        <f t="shared" si="22"/>
        <v>0</v>
      </c>
      <c r="G106" s="15"/>
      <c r="H106" s="124" t="e">
        <f t="shared" si="24"/>
        <v>#DIV/0!</v>
      </c>
    </row>
    <row r="107" spans="1:8" ht="25.5">
      <c r="A107" s="13" t="s">
        <v>109</v>
      </c>
      <c r="B107" s="14" t="s">
        <v>110</v>
      </c>
      <c r="C107" s="15"/>
      <c r="D107" s="15"/>
      <c r="E107" s="15"/>
      <c r="F107" s="15">
        <f t="shared" si="22"/>
        <v>0</v>
      </c>
      <c r="G107" s="15"/>
      <c r="H107" s="124" t="e">
        <f t="shared" si="24"/>
        <v>#DIV/0!</v>
      </c>
    </row>
    <row r="108" spans="1:8" ht="25.5">
      <c r="A108" s="13" t="s">
        <v>111</v>
      </c>
      <c r="B108" s="14" t="s">
        <v>112</v>
      </c>
      <c r="C108" s="15"/>
      <c r="D108" s="15"/>
      <c r="E108" s="15"/>
      <c r="F108" s="15">
        <f t="shared" si="22"/>
        <v>0</v>
      </c>
      <c r="G108" s="15"/>
      <c r="H108" s="124" t="e">
        <f t="shared" si="24"/>
        <v>#DIV/0!</v>
      </c>
    </row>
    <row r="109" spans="1:8">
      <c r="A109" s="13" t="s">
        <v>113</v>
      </c>
      <c r="B109" s="14" t="s">
        <v>114</v>
      </c>
      <c r="C109" s="15"/>
      <c r="D109" s="15"/>
      <c r="E109" s="15"/>
      <c r="F109" s="15">
        <f t="shared" si="22"/>
        <v>0</v>
      </c>
      <c r="G109" s="15"/>
      <c r="H109" s="124" t="e">
        <f t="shared" si="24"/>
        <v>#DIV/0!</v>
      </c>
    </row>
    <row r="110" spans="1:8" ht="38.25">
      <c r="A110" s="13" t="s">
        <v>115</v>
      </c>
      <c r="B110" s="14" t="s">
        <v>116</v>
      </c>
      <c r="C110" s="15"/>
      <c r="D110" s="15"/>
      <c r="E110" s="15"/>
      <c r="F110" s="15">
        <f t="shared" si="22"/>
        <v>0</v>
      </c>
      <c r="G110" s="15"/>
      <c r="H110" s="124" t="e">
        <f t="shared" si="24"/>
        <v>#DIV/0!</v>
      </c>
    </row>
    <row r="111" spans="1:8" ht="25.5">
      <c r="A111" s="16" t="s">
        <v>117</v>
      </c>
      <c r="B111" s="17" t="s">
        <v>118</v>
      </c>
      <c r="C111" s="119">
        <f>C105+C107</f>
        <v>0</v>
      </c>
      <c r="D111" s="119">
        <f t="shared" ref="D111:G111" si="35">D105+D107</f>
        <v>0</v>
      </c>
      <c r="E111" s="119">
        <f t="shared" si="35"/>
        <v>0</v>
      </c>
      <c r="F111" s="119">
        <f t="shared" si="22"/>
        <v>0</v>
      </c>
      <c r="G111" s="119">
        <f t="shared" si="35"/>
        <v>0</v>
      </c>
      <c r="H111" s="125" t="e">
        <f t="shared" si="24"/>
        <v>#DIV/0!</v>
      </c>
    </row>
    <row r="112" spans="1:8" ht="25.5">
      <c r="A112" s="13" t="s">
        <v>119</v>
      </c>
      <c r="B112" s="14" t="s">
        <v>120</v>
      </c>
      <c r="C112" s="15"/>
      <c r="D112" s="15"/>
      <c r="E112" s="15"/>
      <c r="F112" s="15">
        <f t="shared" si="22"/>
        <v>0</v>
      </c>
      <c r="G112" s="15"/>
      <c r="H112" s="124" t="e">
        <f t="shared" si="24"/>
        <v>#DIV/0!</v>
      </c>
    </row>
    <row r="113" spans="1:8" ht="25.5">
      <c r="A113" s="13" t="s">
        <v>121</v>
      </c>
      <c r="B113" s="14" t="s">
        <v>122</v>
      </c>
      <c r="C113" s="15"/>
      <c r="D113" s="15"/>
      <c r="E113" s="15"/>
      <c r="F113" s="15">
        <f t="shared" si="22"/>
        <v>0</v>
      </c>
      <c r="G113" s="15"/>
      <c r="H113" s="124" t="e">
        <f t="shared" si="24"/>
        <v>#DIV/0!</v>
      </c>
    </row>
    <row r="114" spans="1:8" ht="25.5">
      <c r="A114" s="13" t="s">
        <v>123</v>
      </c>
      <c r="B114" s="14" t="s">
        <v>124</v>
      </c>
      <c r="C114" s="15">
        <f>SUM(C112:C113)</f>
        <v>0</v>
      </c>
      <c r="D114" s="15">
        <f t="shared" ref="D114:G114" si="36">SUM(D112:D113)</f>
        <v>0</v>
      </c>
      <c r="E114" s="15">
        <f t="shared" si="36"/>
        <v>0</v>
      </c>
      <c r="F114" s="15">
        <f t="shared" si="22"/>
        <v>0</v>
      </c>
      <c r="G114" s="15">
        <f t="shared" si="36"/>
        <v>0</v>
      </c>
      <c r="H114" s="124" t="e">
        <f t="shared" si="24"/>
        <v>#DIV/0!</v>
      </c>
    </row>
    <row r="115" spans="1:8" ht="25.5">
      <c r="A115" s="13" t="s">
        <v>125</v>
      </c>
      <c r="B115" s="14" t="s">
        <v>126</v>
      </c>
      <c r="C115" s="15">
        <f>SUM(C116)</f>
        <v>0</v>
      </c>
      <c r="D115" s="15">
        <f t="shared" ref="D115:G115" si="37">SUM(D116)</f>
        <v>0</v>
      </c>
      <c r="E115" s="15">
        <f t="shared" si="37"/>
        <v>0</v>
      </c>
      <c r="F115" s="15">
        <f t="shared" si="22"/>
        <v>0</v>
      </c>
      <c r="G115" s="15">
        <f t="shared" si="37"/>
        <v>0</v>
      </c>
      <c r="H115" s="124" t="e">
        <f t="shared" si="24"/>
        <v>#DIV/0!</v>
      </c>
    </row>
    <row r="116" spans="1:8" ht="25.5">
      <c r="A116" s="13" t="s">
        <v>127</v>
      </c>
      <c r="B116" s="14" t="s">
        <v>128</v>
      </c>
      <c r="C116" s="15"/>
      <c r="D116" s="15"/>
      <c r="E116" s="15"/>
      <c r="F116" s="15">
        <f t="shared" si="22"/>
        <v>0</v>
      </c>
      <c r="G116" s="15"/>
      <c r="H116" s="124" t="e">
        <f t="shared" si="24"/>
        <v>#DIV/0!</v>
      </c>
    </row>
    <row r="117" spans="1:8" ht="25.5">
      <c r="A117" s="13" t="s">
        <v>129</v>
      </c>
      <c r="B117" s="14" t="s">
        <v>130</v>
      </c>
      <c r="C117" s="15">
        <f>SUM(C118:C120)</f>
        <v>0</v>
      </c>
      <c r="D117" s="15">
        <f t="shared" ref="D117:G117" si="38">SUM(D118:D120)</f>
        <v>0</v>
      </c>
      <c r="E117" s="15">
        <f t="shared" si="38"/>
        <v>0</v>
      </c>
      <c r="F117" s="15">
        <f t="shared" si="22"/>
        <v>0</v>
      </c>
      <c r="G117" s="15">
        <f t="shared" si="38"/>
        <v>0</v>
      </c>
      <c r="H117" s="124" t="e">
        <f t="shared" si="24"/>
        <v>#DIV/0!</v>
      </c>
    </row>
    <row r="118" spans="1:8">
      <c r="A118" s="13" t="s">
        <v>131</v>
      </c>
      <c r="B118" s="14" t="s">
        <v>132</v>
      </c>
      <c r="C118" s="15"/>
      <c r="D118" s="15"/>
      <c r="E118" s="15"/>
      <c r="F118" s="15">
        <f t="shared" si="22"/>
        <v>0</v>
      </c>
      <c r="G118" s="15"/>
      <c r="H118" s="124" t="e">
        <f t="shared" si="24"/>
        <v>#DIV/0!</v>
      </c>
    </row>
    <row r="119" spans="1:8">
      <c r="A119" s="13" t="s">
        <v>133</v>
      </c>
      <c r="B119" s="14" t="s">
        <v>134</v>
      </c>
      <c r="C119" s="15"/>
      <c r="D119" s="15"/>
      <c r="E119" s="15"/>
      <c r="F119" s="15">
        <f t="shared" si="22"/>
        <v>0</v>
      </c>
      <c r="G119" s="15"/>
      <c r="H119" s="124" t="e">
        <f t="shared" si="24"/>
        <v>#DIV/0!</v>
      </c>
    </row>
    <row r="120" spans="1:8">
      <c r="A120" s="13" t="s">
        <v>135</v>
      </c>
      <c r="B120" s="14" t="s">
        <v>136</v>
      </c>
      <c r="C120" s="15"/>
      <c r="D120" s="15"/>
      <c r="E120" s="15"/>
      <c r="F120" s="15">
        <f t="shared" si="22"/>
        <v>0</v>
      </c>
      <c r="G120" s="15"/>
      <c r="H120" s="124" t="e">
        <f t="shared" si="24"/>
        <v>#DIV/0!</v>
      </c>
    </row>
    <row r="121" spans="1:8">
      <c r="A121" s="13">
        <v>188</v>
      </c>
      <c r="B121" s="14" t="s">
        <v>275</v>
      </c>
      <c r="C121" s="15">
        <f>Igazg.!C126+Adók!C124+Temető!C123+Önk.vagyon!C123+Múzeum!C123+Rendezvények!C123+Közter.rend.!C123+Közf.!C123+Közutak!C124+Közvil.!C123+Zöldter.!C123+'Város-község'!C123+Háziorvos!C123+Védőnő!C123+Sport!C123+Könyvtár!C123+'Művelődési H.'!C123+'Isk.1-4.'!C123+'Isk.5-8.'!C123+Gyermekétk.!C123+Családvéd.!C123+Gyermekvéd.!C123+Családtám.!C123+'Egyéb szoc.'!C123+'Közösségi Ház'!C123</f>
        <v>0</v>
      </c>
      <c r="D121" s="15"/>
      <c r="E121" s="15">
        <v>0</v>
      </c>
      <c r="F121" s="15">
        <f t="shared" si="22"/>
        <v>0</v>
      </c>
      <c r="G121" s="15">
        <f>Igazg.!G126+Adók!G124+Temető!G123+Önk.vagyon!G123+Múzeum!G123+Rendezvények!G123+Közter.rend.!G123+Közf.!G123+Közutak!G124+Közvil.!G123+Zöldter.!G123+'Város-község'!G123+Háziorvos!G123+Védőnő!G123+Sport!G123+Könyvtár!G123+'Művelődési H.'!G123+'Isk.1-4.'!G123+'Isk.5-8.'!G123+Gyermekétk.!G123+Családvéd.!G123+Gyermekvéd.!G123+Családtám.!G123+'Egyéb szoc.'!G123+'Közösségi Ház'!G123</f>
        <v>0</v>
      </c>
      <c r="H121" s="124"/>
    </row>
    <row r="122" spans="1:8" ht="38.25">
      <c r="A122" s="16" t="s">
        <v>137</v>
      </c>
      <c r="B122" s="17" t="s">
        <v>138</v>
      </c>
      <c r="C122" s="119">
        <f>C114+C115+C117+C121</f>
        <v>0</v>
      </c>
      <c r="D122" s="119">
        <f t="shared" ref="D122:G122" si="39">D114+D115+D117+D121</f>
        <v>0</v>
      </c>
      <c r="E122" s="119">
        <f t="shared" si="39"/>
        <v>0</v>
      </c>
      <c r="F122" s="119">
        <f t="shared" si="22"/>
        <v>0</v>
      </c>
      <c r="G122" s="119">
        <f t="shared" si="39"/>
        <v>0</v>
      </c>
      <c r="H122" s="125" t="e">
        <f t="shared" si="24"/>
        <v>#DIV/0!</v>
      </c>
    </row>
    <row r="123" spans="1:8">
      <c r="A123" s="13" t="s">
        <v>139</v>
      </c>
      <c r="B123" s="14" t="s">
        <v>140</v>
      </c>
      <c r="C123" s="15"/>
      <c r="D123" s="15"/>
      <c r="E123" s="15"/>
      <c r="F123" s="15">
        <f t="shared" si="22"/>
        <v>0</v>
      </c>
      <c r="G123" s="15"/>
      <c r="H123" s="124" t="e">
        <f t="shared" si="24"/>
        <v>#DIV/0!</v>
      </c>
    </row>
    <row r="124" spans="1:8" ht="25.5">
      <c r="A124" s="13" t="s">
        <v>141</v>
      </c>
      <c r="B124" s="14" t="s">
        <v>142</v>
      </c>
      <c r="C124" s="15"/>
      <c r="D124" s="15"/>
      <c r="E124" s="15"/>
      <c r="F124" s="15">
        <f t="shared" si="22"/>
        <v>0</v>
      </c>
      <c r="G124" s="15"/>
      <c r="H124" s="124" t="e">
        <f t="shared" si="24"/>
        <v>#DIV/0!</v>
      </c>
    </row>
    <row r="125" spans="1:8" ht="25.5">
      <c r="A125" s="13" t="s">
        <v>143</v>
      </c>
      <c r="B125" s="14" t="s">
        <v>144</v>
      </c>
      <c r="C125" s="15"/>
      <c r="D125" s="15"/>
      <c r="E125" s="15"/>
      <c r="F125" s="15">
        <f t="shared" si="22"/>
        <v>0</v>
      </c>
      <c r="G125" s="15"/>
      <c r="H125" s="124" t="e">
        <f t="shared" si="24"/>
        <v>#DIV/0!</v>
      </c>
    </row>
    <row r="126" spans="1:8" ht="25.5">
      <c r="A126" s="13" t="s">
        <v>145</v>
      </c>
      <c r="B126" s="14" t="s">
        <v>146</v>
      </c>
      <c r="C126" s="15"/>
      <c r="D126" s="15"/>
      <c r="E126" s="15"/>
      <c r="F126" s="15">
        <f t="shared" si="22"/>
        <v>0</v>
      </c>
      <c r="G126" s="15"/>
      <c r="H126" s="124" t="e">
        <f t="shared" si="24"/>
        <v>#DIV/0!</v>
      </c>
    </row>
    <row r="127" spans="1:8">
      <c r="A127" s="16" t="s">
        <v>147</v>
      </c>
      <c r="B127" s="17" t="s">
        <v>148</v>
      </c>
      <c r="C127" s="119">
        <f>SUM(C123:C126)</f>
        <v>0</v>
      </c>
      <c r="D127" s="119">
        <f t="shared" ref="D127:G127" si="40">SUM(D123:D126)</f>
        <v>0</v>
      </c>
      <c r="E127" s="119">
        <f t="shared" si="40"/>
        <v>0</v>
      </c>
      <c r="F127" s="119">
        <f t="shared" si="22"/>
        <v>0</v>
      </c>
      <c r="G127" s="119">
        <f t="shared" si="40"/>
        <v>0</v>
      </c>
      <c r="H127" s="125" t="e">
        <f t="shared" si="24"/>
        <v>#DIV/0!</v>
      </c>
    </row>
    <row r="128" spans="1:8">
      <c r="A128" s="13" t="s">
        <v>149</v>
      </c>
      <c r="B128" s="14" t="s">
        <v>150</v>
      </c>
      <c r="C128" s="15"/>
      <c r="D128" s="15"/>
      <c r="E128" s="15"/>
      <c r="F128" s="15">
        <f t="shared" si="22"/>
        <v>0</v>
      </c>
      <c r="G128" s="15"/>
      <c r="H128" s="124" t="e">
        <f t="shared" si="24"/>
        <v>#DIV/0!</v>
      </c>
    </row>
    <row r="129" spans="1:8">
      <c r="A129" s="13" t="s">
        <v>151</v>
      </c>
      <c r="B129" s="14" t="s">
        <v>152</v>
      </c>
      <c r="C129" s="15"/>
      <c r="D129" s="15"/>
      <c r="E129" s="15"/>
      <c r="F129" s="15">
        <f t="shared" si="22"/>
        <v>0</v>
      </c>
      <c r="G129" s="15"/>
      <c r="H129" s="124" t="e">
        <f t="shared" si="24"/>
        <v>#DIV/0!</v>
      </c>
    </row>
    <row r="130" spans="1:8" ht="25.5">
      <c r="A130" s="13" t="s">
        <v>153</v>
      </c>
      <c r="B130" s="14" t="s">
        <v>154</v>
      </c>
      <c r="C130" s="15"/>
      <c r="D130" s="15"/>
      <c r="E130" s="15"/>
      <c r="F130" s="15">
        <f t="shared" ref="F130:F137" si="41">SUM(D130:E130)</f>
        <v>0</v>
      </c>
      <c r="G130" s="15"/>
      <c r="H130" s="124" t="e">
        <f t="shared" si="24"/>
        <v>#DIV/0!</v>
      </c>
    </row>
    <row r="131" spans="1:8">
      <c r="A131" s="16" t="s">
        <v>155</v>
      </c>
      <c r="B131" s="17" t="s">
        <v>156</v>
      </c>
      <c r="C131" s="119">
        <f>SUM(C128:C130)</f>
        <v>0</v>
      </c>
      <c r="D131" s="119">
        <f t="shared" ref="D131:G131" si="42">SUM(D128:D130)</f>
        <v>0</v>
      </c>
      <c r="E131" s="119">
        <f t="shared" si="42"/>
        <v>0</v>
      </c>
      <c r="F131" s="119">
        <f t="shared" si="41"/>
        <v>0</v>
      </c>
      <c r="G131" s="119">
        <f t="shared" si="42"/>
        <v>0</v>
      </c>
      <c r="H131" s="125" t="e">
        <f t="shared" si="24"/>
        <v>#DIV/0!</v>
      </c>
    </row>
    <row r="132" spans="1:8" ht="25.5">
      <c r="A132" s="16" t="s">
        <v>157</v>
      </c>
      <c r="B132" s="17" t="s">
        <v>158</v>
      </c>
      <c r="C132" s="119">
        <f>C75+C76+C104+C111+C122+C127+C131</f>
        <v>40195693</v>
      </c>
      <c r="D132" s="119">
        <f t="shared" ref="D132:G132" si="43">D75+D76+D104+D111+D122+D127+D131</f>
        <v>41865000</v>
      </c>
      <c r="E132" s="119">
        <f t="shared" si="43"/>
        <v>29947</v>
      </c>
      <c r="F132" s="119">
        <f t="shared" si="41"/>
        <v>41894947</v>
      </c>
      <c r="G132" s="119">
        <f t="shared" si="43"/>
        <v>22973933</v>
      </c>
      <c r="H132" s="125">
        <f t="shared" si="24"/>
        <v>0.54837002180716443</v>
      </c>
    </row>
    <row r="133" spans="1:8" ht="25.5">
      <c r="A133" s="13" t="s">
        <v>159</v>
      </c>
      <c r="B133" s="14" t="s">
        <v>160</v>
      </c>
      <c r="C133" s="15"/>
      <c r="D133" s="15"/>
      <c r="E133" s="15"/>
      <c r="F133" s="15">
        <f t="shared" si="41"/>
        <v>0</v>
      </c>
      <c r="G133" s="15"/>
      <c r="H133" s="124" t="e">
        <f t="shared" si="24"/>
        <v>#DIV/0!</v>
      </c>
    </row>
    <row r="134" spans="1:8" ht="25.5">
      <c r="A134" s="13" t="s">
        <v>161</v>
      </c>
      <c r="B134" s="14" t="s">
        <v>162</v>
      </c>
      <c r="C134" s="15"/>
      <c r="D134" s="15"/>
      <c r="E134" s="15"/>
      <c r="F134" s="15">
        <f t="shared" si="41"/>
        <v>0</v>
      </c>
      <c r="G134" s="15"/>
      <c r="H134" s="124" t="e">
        <f t="shared" si="24"/>
        <v>#DIV/0!</v>
      </c>
    </row>
    <row r="135" spans="1:8" ht="25.5">
      <c r="A135" s="13" t="s">
        <v>163</v>
      </c>
      <c r="B135" s="14" t="s">
        <v>164</v>
      </c>
      <c r="C135" s="15">
        <f>SUM(C133:C134)</f>
        <v>0</v>
      </c>
      <c r="D135" s="15">
        <f t="shared" ref="D135:G135" si="44">SUM(D133:D134)</f>
        <v>0</v>
      </c>
      <c r="E135" s="15">
        <f t="shared" si="44"/>
        <v>0</v>
      </c>
      <c r="F135" s="15">
        <f t="shared" si="41"/>
        <v>0</v>
      </c>
      <c r="G135" s="15">
        <f t="shared" si="44"/>
        <v>0</v>
      </c>
      <c r="H135" s="124" t="e">
        <f t="shared" si="24"/>
        <v>#DIV/0!</v>
      </c>
    </row>
    <row r="136" spans="1:8" ht="25.5">
      <c r="A136" s="16" t="s">
        <v>165</v>
      </c>
      <c r="B136" s="17" t="s">
        <v>166</v>
      </c>
      <c r="C136" s="119">
        <f>SUM(C135)</f>
        <v>0</v>
      </c>
      <c r="D136" s="119">
        <f t="shared" ref="D136:G136" si="45">SUM(D135)</f>
        <v>0</v>
      </c>
      <c r="E136" s="119">
        <f t="shared" si="45"/>
        <v>0</v>
      </c>
      <c r="F136" s="119">
        <f t="shared" si="41"/>
        <v>0</v>
      </c>
      <c r="G136" s="119">
        <f t="shared" si="45"/>
        <v>0</v>
      </c>
      <c r="H136" s="125" t="e">
        <f t="shared" si="24"/>
        <v>#DIV/0!</v>
      </c>
    </row>
    <row r="137" spans="1:8">
      <c r="A137" s="16" t="s">
        <v>167</v>
      </c>
      <c r="B137" s="17" t="s">
        <v>168</v>
      </c>
      <c r="C137" s="119">
        <f>C132+C136</f>
        <v>40195693</v>
      </c>
      <c r="D137" s="119">
        <f t="shared" ref="D137:G137" si="46">D132+D136</f>
        <v>41865000</v>
      </c>
      <c r="E137" s="119">
        <f t="shared" si="46"/>
        <v>29947</v>
      </c>
      <c r="F137" s="119">
        <f t="shared" si="41"/>
        <v>41894947</v>
      </c>
      <c r="G137" s="119">
        <f t="shared" si="46"/>
        <v>22973933</v>
      </c>
      <c r="H137" s="125">
        <f t="shared" si="24"/>
        <v>0.54837002180716443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137"/>
  <sheetViews>
    <sheetView view="pageBreakPreview" topLeftCell="A127" zoomScale="70" zoomScaleNormal="100" zoomScaleSheetLayoutView="70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10.21875" customWidth="1"/>
    <col min="6" max="6" width="11" customWidth="1"/>
    <col min="8" max="8" width="12.33203125" style="126" customWidth="1"/>
  </cols>
  <sheetData>
    <row r="1" spans="1:8">
      <c r="A1" s="140" t="s">
        <v>450</v>
      </c>
      <c r="B1" s="140"/>
      <c r="C1" s="140"/>
      <c r="D1" s="140"/>
      <c r="E1" s="140"/>
      <c r="F1" s="140"/>
      <c r="G1" s="140"/>
      <c r="H1" s="140"/>
    </row>
    <row r="2" spans="1:8">
      <c r="A2" s="141" t="s">
        <v>413</v>
      </c>
      <c r="B2" s="141"/>
      <c r="C2" s="141"/>
      <c r="D2" s="141"/>
      <c r="E2" s="141"/>
      <c r="F2" s="141"/>
      <c r="G2" s="141"/>
      <c r="H2" s="141"/>
    </row>
    <row r="3" spans="1:8">
      <c r="A3" s="141" t="s">
        <v>21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/>
      <c r="H6" s="124" t="e">
        <f>G6/F6</f>
        <v>#DIV/0!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61" si="0">SUM(D7:E7)</f>
        <v>0</v>
      </c>
      <c r="G7" s="15"/>
      <c r="H7" s="124" t="e">
        <f t="shared" ref="H7:H72" si="1">G7/F7</f>
        <v>#DIV/0!</v>
      </c>
    </row>
    <row r="8" spans="1:8" ht="38.25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/>
      <c r="H8" s="124" t="e">
        <f t="shared" si="1"/>
        <v>#DIV/0!</v>
      </c>
    </row>
    <row r="9" spans="1:8" ht="25.5">
      <c r="A9" s="13" t="s">
        <v>178</v>
      </c>
      <c r="B9" s="14" t="s">
        <v>179</v>
      </c>
      <c r="C9" s="15"/>
      <c r="D9" s="15"/>
      <c r="E9" s="15"/>
      <c r="F9" s="15">
        <f t="shared" si="0"/>
        <v>0</v>
      </c>
      <c r="G9" s="15"/>
      <c r="H9" s="124" t="e">
        <f t="shared" si="1"/>
        <v>#DIV/0!</v>
      </c>
    </row>
    <row r="10" spans="1:8" ht="25.5">
      <c r="A10" s="13" t="s">
        <v>180</v>
      </c>
      <c r="B10" s="14" t="s">
        <v>181</v>
      </c>
      <c r="C10" s="15"/>
      <c r="D10" s="15"/>
      <c r="E10" s="15"/>
      <c r="F10" s="15">
        <f t="shared" si="0"/>
        <v>0</v>
      </c>
      <c r="G10" s="15"/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/>
      <c r="D11" s="15"/>
      <c r="E11" s="15"/>
      <c r="F11" s="15">
        <f t="shared" si="0"/>
        <v>0</v>
      </c>
      <c r="G11" s="15"/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>SUM(C6:C11)</f>
        <v>0</v>
      </c>
      <c r="D12" s="15">
        <f t="shared" ref="D12:E12" si="2">SUM(D6:D11)</f>
        <v>0</v>
      </c>
      <c r="E12" s="15">
        <f t="shared" si="2"/>
        <v>0</v>
      </c>
      <c r="F12" s="15">
        <f t="shared" si="0"/>
        <v>0</v>
      </c>
      <c r="G12" s="15">
        <f t="shared" ref="G12" si="3">SUM(G6:G11)</f>
        <v>0</v>
      </c>
      <c r="H12" s="124" t="e">
        <f t="shared" si="1"/>
        <v>#DIV/0!</v>
      </c>
    </row>
    <row r="13" spans="1:8" ht="25.5">
      <c r="A13" s="13" t="s">
        <v>67</v>
      </c>
      <c r="B13" s="14" t="s">
        <v>185</v>
      </c>
      <c r="C13" s="15">
        <f>SUM(C14:C19)</f>
        <v>0</v>
      </c>
      <c r="D13" s="15">
        <f t="shared" ref="D13:E13" si="4">SUM(D14:D19)</f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/>
      <c r="D14" s="15"/>
      <c r="E14" s="15"/>
      <c r="F14" s="15">
        <f t="shared" si="0"/>
        <v>0</v>
      </c>
      <c r="G14" s="15"/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/>
      <c r="D15" s="15"/>
      <c r="E15" s="15"/>
      <c r="F15" s="15">
        <f t="shared" si="0"/>
        <v>0</v>
      </c>
      <c r="G15" s="15"/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/>
      <c r="D16" s="15"/>
      <c r="E16" s="15"/>
      <c r="F16" s="15">
        <f t="shared" si="0"/>
        <v>0</v>
      </c>
      <c r="G16" s="15"/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/>
      <c r="D17" s="15"/>
      <c r="E17" s="15"/>
      <c r="F17" s="15">
        <f t="shared" si="0"/>
        <v>0</v>
      </c>
      <c r="G17" s="15"/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19">
        <f>C12+C13</f>
        <v>0</v>
      </c>
      <c r="D20" s="119">
        <f t="shared" ref="D20:E20" si="6">D12+D13</f>
        <v>0</v>
      </c>
      <c r="E20" s="119">
        <f t="shared" si="6"/>
        <v>0</v>
      </c>
      <c r="F20" s="119">
        <f t="shared" si="0"/>
        <v>0</v>
      </c>
      <c r="G20" s="15">
        <f t="shared" ref="G20" si="7">G12+G13</f>
        <v>0</v>
      </c>
      <c r="H20" s="125" t="e">
        <f t="shared" si="1"/>
        <v>#DIV/0!</v>
      </c>
    </row>
    <row r="21" spans="1:8" ht="25.5">
      <c r="A21" s="13" t="s">
        <v>87</v>
      </c>
      <c r="B21" s="14" t="s">
        <v>194</v>
      </c>
      <c r="C21" s="15"/>
      <c r="D21" s="15"/>
      <c r="E21" s="15"/>
      <c r="F21" s="15">
        <f t="shared" si="0"/>
        <v>0</v>
      </c>
      <c r="G21" s="15"/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19">
        <f>SUM(C21)</f>
        <v>0</v>
      </c>
      <c r="D22" s="119">
        <f t="shared" ref="D22:E22" si="8">SUM(D21)</f>
        <v>0</v>
      </c>
      <c r="E22" s="119">
        <f t="shared" si="8"/>
        <v>0</v>
      </c>
      <c r="F22" s="119">
        <f t="shared" si="0"/>
        <v>0</v>
      </c>
      <c r="G22" s="15">
        <f t="shared" ref="G22" si="9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/>
      <c r="E24" s="15"/>
      <c r="F24" s="15">
        <f t="shared" si="0"/>
        <v>0</v>
      </c>
      <c r="G24" s="15"/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>SUM(C23)</f>
        <v>0</v>
      </c>
      <c r="D25" s="15">
        <f t="shared" ref="D25:E25" si="10">SUM(D23)</f>
        <v>0</v>
      </c>
      <c r="E25" s="15">
        <f t="shared" si="10"/>
        <v>0</v>
      </c>
      <c r="F25" s="15">
        <f t="shared" si="0"/>
        <v>0</v>
      </c>
      <c r="G25" s="15"/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>SUM(C27)</f>
        <v>0</v>
      </c>
      <c r="D26" s="15">
        <f t="shared" ref="D26:E26" si="11">SUM(D27)</f>
        <v>0</v>
      </c>
      <c r="E26" s="15">
        <f t="shared" si="11"/>
        <v>0</v>
      </c>
      <c r="F26" s="15">
        <f t="shared" si="0"/>
        <v>0</v>
      </c>
      <c r="G26" s="15">
        <f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>SUM(C29)</f>
        <v>0</v>
      </c>
      <c r="D28" s="15">
        <f t="shared" ref="D28:G28" si="12">SUM(D29)</f>
        <v>0</v>
      </c>
      <c r="E28" s="15">
        <f t="shared" si="12"/>
        <v>0</v>
      </c>
      <c r="F28" s="15">
        <f t="shared" si="0"/>
        <v>0</v>
      </c>
      <c r="G28" s="15">
        <f t="shared" si="12"/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/>
      <c r="E29" s="15"/>
      <c r="F29" s="15">
        <f t="shared" si="0"/>
        <v>0</v>
      </c>
      <c r="G29" s="15"/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>SUM(C31)</f>
        <v>0</v>
      </c>
      <c r="D30" s="15">
        <f t="shared" ref="D30:G30" si="13">SUM(D31)</f>
        <v>0</v>
      </c>
      <c r="E30" s="15">
        <f t="shared" si="13"/>
        <v>0</v>
      </c>
      <c r="F30" s="15">
        <f t="shared" si="0"/>
        <v>0</v>
      </c>
      <c r="G30" s="15">
        <f t="shared" si="13"/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/>
      <c r="E31" s="15"/>
      <c r="F31" s="15">
        <f t="shared" si="0"/>
        <v>0</v>
      </c>
      <c r="G31" s="15"/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>C25+C26+C28+C30</f>
        <v>0</v>
      </c>
      <c r="D32" s="15">
        <f t="shared" ref="D32:G32" si="14">D25+D26+D28+D30</f>
        <v>0</v>
      </c>
      <c r="E32" s="15">
        <f t="shared" si="14"/>
        <v>0</v>
      </c>
      <c r="F32" s="15">
        <f t="shared" si="0"/>
        <v>0</v>
      </c>
      <c r="G32" s="15">
        <f t="shared" si="14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/>
      <c r="D33" s="15"/>
      <c r="E33" s="15"/>
      <c r="F33" s="15">
        <f t="shared" si="0"/>
        <v>0</v>
      </c>
      <c r="G33" s="15"/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/>
      <c r="D34" s="15"/>
      <c r="E34" s="15"/>
      <c r="F34" s="15">
        <f t="shared" si="0"/>
        <v>0</v>
      </c>
      <c r="G34" s="15"/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/>
      <c r="D35" s="15"/>
      <c r="E35" s="15"/>
      <c r="F35" s="15">
        <f t="shared" si="0"/>
        <v>0</v>
      </c>
      <c r="G35" s="15"/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19">
        <f>C32+C33</f>
        <v>0</v>
      </c>
      <c r="D36" s="119">
        <f t="shared" ref="D36:G36" si="15">D32+D33</f>
        <v>0</v>
      </c>
      <c r="E36" s="119">
        <f t="shared" si="15"/>
        <v>0</v>
      </c>
      <c r="F36" s="119">
        <f t="shared" si="0"/>
        <v>0</v>
      </c>
      <c r="G36" s="119">
        <f t="shared" si="15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/>
      <c r="E40" s="15"/>
      <c r="F40" s="15">
        <f t="shared" si="0"/>
        <v>0</v>
      </c>
      <c r="G40" s="15"/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/>
      <c r="E41" s="15"/>
      <c r="F41" s="15">
        <f t="shared" si="0"/>
        <v>0</v>
      </c>
      <c r="G41" s="15"/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5.5">
      <c r="A43" s="13" t="s">
        <v>155</v>
      </c>
      <c r="B43" s="14" t="s">
        <v>232</v>
      </c>
      <c r="C43" s="15">
        <v>6013</v>
      </c>
      <c r="D43" s="15">
        <v>10000</v>
      </c>
      <c r="E43" s="15">
        <v>-1290</v>
      </c>
      <c r="F43" s="15">
        <f t="shared" si="0"/>
        <v>8710</v>
      </c>
      <c r="G43" s="15">
        <v>400</v>
      </c>
      <c r="H43" s="124">
        <f t="shared" si="1"/>
        <v>4.5924225028702644E-2</v>
      </c>
    </row>
    <row r="44" spans="1:8" ht="25.5">
      <c r="A44" s="13" t="s">
        <v>233</v>
      </c>
      <c r="B44" s="14" t="s">
        <v>234</v>
      </c>
      <c r="C44" s="15">
        <f>SUM(C43)</f>
        <v>6013</v>
      </c>
      <c r="D44" s="15">
        <f t="shared" ref="D44:G44" si="16">SUM(D43)</f>
        <v>10000</v>
      </c>
      <c r="E44" s="15">
        <f t="shared" si="16"/>
        <v>-1290</v>
      </c>
      <c r="F44" s="15">
        <f t="shared" si="16"/>
        <v>8710</v>
      </c>
      <c r="G44" s="15">
        <f t="shared" si="16"/>
        <v>400</v>
      </c>
      <c r="H44" s="124">
        <f t="shared" si="1"/>
        <v>4.5924225028702644E-2</v>
      </c>
    </row>
    <row r="45" spans="1:8">
      <c r="A45" s="13" t="s">
        <v>235</v>
      </c>
      <c r="B45" s="14" t="s">
        <v>236</v>
      </c>
      <c r="C45" s="15">
        <v>10</v>
      </c>
      <c r="D45" s="15"/>
      <c r="E45" s="15">
        <v>1046</v>
      </c>
      <c r="F45" s="15">
        <f t="shared" si="0"/>
        <v>1046</v>
      </c>
      <c r="G45" s="15">
        <f>350+696</f>
        <v>1046</v>
      </c>
      <c r="H45" s="124">
        <f t="shared" si="1"/>
        <v>1</v>
      </c>
    </row>
    <row r="46" spans="1:8" ht="38.25">
      <c r="A46" s="16" t="s">
        <v>237</v>
      </c>
      <c r="B46" s="17" t="s">
        <v>238</v>
      </c>
      <c r="C46" s="119">
        <f>C37+C38+C39+C40+C41+C42+C44+C45</f>
        <v>6023</v>
      </c>
      <c r="D46" s="119">
        <f t="shared" ref="D46:G46" si="17">D37+D38+D39+D40+D41+D42+D44+D45</f>
        <v>10000</v>
      </c>
      <c r="E46" s="119">
        <f t="shared" si="17"/>
        <v>-244</v>
      </c>
      <c r="F46" s="119">
        <f t="shared" si="17"/>
        <v>9756</v>
      </c>
      <c r="G46" s="119">
        <f t="shared" si="17"/>
        <v>1446</v>
      </c>
      <c r="H46" s="125">
        <f t="shared" si="1"/>
        <v>0.14821648216482164</v>
      </c>
    </row>
    <row r="47" spans="1:8">
      <c r="A47" s="13" t="s">
        <v>239</v>
      </c>
      <c r="B47" s="14" t="s">
        <v>240</v>
      </c>
      <c r="C47" s="15"/>
      <c r="D47" s="15"/>
      <c r="E47" s="15"/>
      <c r="F47" s="15">
        <f t="shared" si="0"/>
        <v>0</v>
      </c>
      <c r="G47" s="15"/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19">
        <f>SUM(C47)</f>
        <v>0</v>
      </c>
      <c r="D48" s="119">
        <f t="shared" ref="D48:G48" si="18">SUM(D47)</f>
        <v>0</v>
      </c>
      <c r="E48" s="119">
        <f t="shared" si="18"/>
        <v>0</v>
      </c>
      <c r="F48" s="119">
        <f t="shared" si="0"/>
        <v>0</v>
      </c>
      <c r="G48" s="119">
        <f t="shared" si="18"/>
        <v>0</v>
      </c>
      <c r="H48" s="125" t="e">
        <f t="shared" si="1"/>
        <v>#DIV/0!</v>
      </c>
    </row>
    <row r="49" spans="1:8" ht="25.5">
      <c r="A49" s="13" t="s">
        <v>243</v>
      </c>
      <c r="B49" s="14" t="s">
        <v>244</v>
      </c>
      <c r="C49" s="15">
        <f>SUM(C50:C52)</f>
        <v>0</v>
      </c>
      <c r="D49" s="15">
        <f t="shared" ref="D49:E49" si="19">SUM(D50:D52)</f>
        <v>0</v>
      </c>
      <c r="E49" s="15">
        <f t="shared" si="19"/>
        <v>0</v>
      </c>
      <c r="F49" s="15">
        <f t="shared" si="0"/>
        <v>0</v>
      </c>
      <c r="G49" s="15"/>
      <c r="H49" s="124" t="e">
        <f t="shared" si="1"/>
        <v>#DIV/0!</v>
      </c>
    </row>
    <row r="50" spans="1:8">
      <c r="A50" s="13" t="s">
        <v>245</v>
      </c>
      <c r="B50" s="14" t="s">
        <v>246</v>
      </c>
      <c r="C50" s="15"/>
      <c r="D50" s="15"/>
      <c r="E50" s="15"/>
      <c r="F50" s="15">
        <f t="shared" si="0"/>
        <v>0</v>
      </c>
      <c r="G50" s="15"/>
      <c r="H50" s="124" t="e">
        <f t="shared" si="1"/>
        <v>#DIV/0!</v>
      </c>
    </row>
    <row r="51" spans="1:8">
      <c r="A51" s="13" t="s">
        <v>247</v>
      </c>
      <c r="B51" s="14" t="s">
        <v>248</v>
      </c>
      <c r="C51" s="15"/>
      <c r="D51" s="15"/>
      <c r="E51" s="15"/>
      <c r="F51" s="15">
        <f t="shared" si="0"/>
        <v>0</v>
      </c>
      <c r="G51" s="15"/>
      <c r="H51" s="124" t="e">
        <f t="shared" si="1"/>
        <v>#DIV/0!</v>
      </c>
    </row>
    <row r="52" spans="1:8">
      <c r="A52" s="13" t="s">
        <v>249</v>
      </c>
      <c r="B52" s="14" t="s">
        <v>250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 ht="25.5">
      <c r="A53" s="16" t="s">
        <v>251</v>
      </c>
      <c r="B53" s="17" t="s">
        <v>252</v>
      </c>
      <c r="C53" s="119">
        <f>SUM(C49)</f>
        <v>0</v>
      </c>
      <c r="D53" s="119">
        <f t="shared" ref="D53:G53" si="20">SUM(D49)</f>
        <v>0</v>
      </c>
      <c r="E53" s="119">
        <f t="shared" si="20"/>
        <v>0</v>
      </c>
      <c r="F53" s="119">
        <f t="shared" si="0"/>
        <v>0</v>
      </c>
      <c r="G53" s="119">
        <f t="shared" si="20"/>
        <v>0</v>
      </c>
      <c r="H53" s="125" t="e">
        <f t="shared" si="1"/>
        <v>#DIV/0!</v>
      </c>
    </row>
    <row r="54" spans="1:8" ht="25.5">
      <c r="A54" s="16" t="s">
        <v>253</v>
      </c>
      <c r="B54" s="17" t="s">
        <v>254</v>
      </c>
      <c r="C54" s="119">
        <f>C20+C22+C36+C46+C48+C53</f>
        <v>6023</v>
      </c>
      <c r="D54" s="119">
        <f t="shared" ref="D54:G54" si="21">D20+D22+D36+D46+D48+D53</f>
        <v>10000</v>
      </c>
      <c r="E54" s="119">
        <f t="shared" si="21"/>
        <v>-244</v>
      </c>
      <c r="F54" s="119">
        <f t="shared" si="0"/>
        <v>9756</v>
      </c>
      <c r="G54" s="119">
        <f t="shared" si="21"/>
        <v>1446</v>
      </c>
      <c r="H54" s="125">
        <f t="shared" si="1"/>
        <v>0.14821648216482164</v>
      </c>
    </row>
    <row r="55" spans="1:8" ht="25.5">
      <c r="A55" s="13" t="s">
        <v>255</v>
      </c>
      <c r="B55" s="14" t="s">
        <v>256</v>
      </c>
      <c r="C55" s="15"/>
      <c r="D55" s="15">
        <v>1000000</v>
      </c>
      <c r="E55" s="15">
        <v>-29768</v>
      </c>
      <c r="F55" s="15">
        <f t="shared" si="0"/>
        <v>970232</v>
      </c>
      <c r="G55" s="15">
        <v>973232</v>
      </c>
      <c r="H55" s="124">
        <f t="shared" si="1"/>
        <v>1.0030920439647424</v>
      </c>
    </row>
    <row r="56" spans="1:8">
      <c r="A56" s="13" t="s">
        <v>163</v>
      </c>
      <c r="B56" s="14" t="s">
        <v>257</v>
      </c>
      <c r="C56" s="15">
        <f>SUM(C55)</f>
        <v>0</v>
      </c>
      <c r="D56" s="15">
        <f t="shared" ref="D56:G56" si="22">SUM(D55)</f>
        <v>1000000</v>
      </c>
      <c r="E56" s="15">
        <f t="shared" si="22"/>
        <v>-29768</v>
      </c>
      <c r="F56" s="15">
        <f t="shared" si="0"/>
        <v>970232</v>
      </c>
      <c r="G56" s="15">
        <f t="shared" si="22"/>
        <v>973232</v>
      </c>
      <c r="H56" s="124">
        <f t="shared" si="1"/>
        <v>1.0030920439647424</v>
      </c>
    </row>
    <row r="57" spans="1:8">
      <c r="A57" s="13" t="s">
        <v>258</v>
      </c>
      <c r="B57" s="14" t="s">
        <v>259</v>
      </c>
      <c r="C57" s="15"/>
      <c r="D57" s="15"/>
      <c r="E57" s="15"/>
      <c r="F57" s="15">
        <f t="shared" si="0"/>
        <v>0</v>
      </c>
      <c r="G57" s="15"/>
      <c r="H57" s="124" t="e">
        <f t="shared" si="1"/>
        <v>#DIV/0!</v>
      </c>
    </row>
    <row r="58" spans="1:8">
      <c r="A58" s="13">
        <v>300</v>
      </c>
      <c r="B58" s="19" t="s">
        <v>412</v>
      </c>
      <c r="C58" s="15">
        <v>4294000</v>
      </c>
      <c r="D58" s="15">
        <v>7252000</v>
      </c>
      <c r="E58" s="15"/>
      <c r="F58" s="15">
        <f t="shared" si="0"/>
        <v>7252000</v>
      </c>
      <c r="G58" s="15"/>
      <c r="H58" s="124"/>
    </row>
    <row r="59" spans="1:8" ht="25.5">
      <c r="A59" s="13" t="s">
        <v>260</v>
      </c>
      <c r="B59" s="14" t="s">
        <v>261</v>
      </c>
      <c r="C59" s="15">
        <f>C56+C57+C58</f>
        <v>4294000</v>
      </c>
      <c r="D59" s="15">
        <f t="shared" ref="D59:G59" si="23">D56+D57+D58</f>
        <v>8252000</v>
      </c>
      <c r="E59" s="15">
        <f t="shared" si="23"/>
        <v>-29768</v>
      </c>
      <c r="F59" s="15">
        <f t="shared" si="0"/>
        <v>8222232</v>
      </c>
      <c r="G59" s="15">
        <f t="shared" si="23"/>
        <v>973232</v>
      </c>
      <c r="H59" s="124">
        <f t="shared" si="1"/>
        <v>0.11836591329458959</v>
      </c>
    </row>
    <row r="60" spans="1:8" ht="25.5">
      <c r="A60" s="16" t="s">
        <v>262</v>
      </c>
      <c r="B60" s="17" t="s">
        <v>263</v>
      </c>
      <c r="C60" s="119">
        <f>SUM(C59)</f>
        <v>4294000</v>
      </c>
      <c r="D60" s="119">
        <f t="shared" ref="D60:G60" si="24">SUM(D59)</f>
        <v>8252000</v>
      </c>
      <c r="E60" s="119">
        <f t="shared" si="24"/>
        <v>-29768</v>
      </c>
      <c r="F60" s="119">
        <f t="shared" si="0"/>
        <v>8222232</v>
      </c>
      <c r="G60" s="119">
        <f t="shared" si="24"/>
        <v>973232</v>
      </c>
      <c r="H60" s="125">
        <f t="shared" si="1"/>
        <v>0.11836591329458959</v>
      </c>
    </row>
    <row r="61" spans="1:8">
      <c r="A61" s="16" t="s">
        <v>264</v>
      </c>
      <c r="B61" s="17" t="s">
        <v>265</v>
      </c>
      <c r="C61" s="119">
        <f>C54+C60</f>
        <v>4300023</v>
      </c>
      <c r="D61" s="119">
        <f t="shared" ref="D61:G61" si="25">D54+D60</f>
        <v>8262000</v>
      </c>
      <c r="E61" s="119">
        <f t="shared" si="25"/>
        <v>-30012</v>
      </c>
      <c r="F61" s="119">
        <f t="shared" si="0"/>
        <v>8231988</v>
      </c>
      <c r="G61" s="119">
        <f t="shared" si="25"/>
        <v>974678</v>
      </c>
      <c r="H61" s="125">
        <f t="shared" si="1"/>
        <v>0.11840129018652602</v>
      </c>
    </row>
    <row r="63" spans="1:8" ht="60">
      <c r="A63" s="12" t="s">
        <v>0</v>
      </c>
      <c r="B63" s="12" t="s">
        <v>1</v>
      </c>
      <c r="C63" s="12" t="s">
        <v>269</v>
      </c>
      <c r="D63" s="12" t="s">
        <v>270</v>
      </c>
      <c r="E63" s="12" t="s">
        <v>271</v>
      </c>
      <c r="F63" s="12" t="s">
        <v>457</v>
      </c>
      <c r="G63" s="12" t="s">
        <v>273</v>
      </c>
      <c r="H63" s="123" t="s">
        <v>274</v>
      </c>
    </row>
    <row r="64" spans="1:8" ht="25.5">
      <c r="A64" s="13" t="s">
        <v>31</v>
      </c>
      <c r="B64" s="14" t="s">
        <v>32</v>
      </c>
      <c r="C64" s="15"/>
      <c r="D64" s="15"/>
      <c r="E64" s="15"/>
      <c r="F64" s="15">
        <f>SUM(D64:E64)</f>
        <v>0</v>
      </c>
      <c r="G64" s="15"/>
      <c r="H64" s="124" t="e">
        <f t="shared" si="1"/>
        <v>#DIV/0!</v>
      </c>
    </row>
    <row r="65" spans="1:8" ht="25.5">
      <c r="A65" s="21" t="s">
        <v>178</v>
      </c>
      <c r="B65" s="14" t="s">
        <v>282</v>
      </c>
      <c r="C65" s="15"/>
      <c r="D65" s="15"/>
      <c r="E65" s="15"/>
      <c r="F65" s="15">
        <f t="shared" ref="F65:F129" si="26">SUM(D65:E65)</f>
        <v>0</v>
      </c>
      <c r="G65" s="15"/>
      <c r="H65" s="124"/>
    </row>
    <row r="66" spans="1:8">
      <c r="A66" s="13" t="s">
        <v>33</v>
      </c>
      <c r="B66" s="14" t="s">
        <v>34</v>
      </c>
      <c r="C66" s="15"/>
      <c r="D66" s="15"/>
      <c r="E66" s="15"/>
      <c r="F66" s="15">
        <f t="shared" si="26"/>
        <v>0</v>
      </c>
      <c r="G66" s="15"/>
      <c r="H66" s="124" t="e">
        <f t="shared" si="1"/>
        <v>#DIV/0!</v>
      </c>
    </row>
    <row r="67" spans="1:8">
      <c r="A67" s="13" t="s">
        <v>35</v>
      </c>
      <c r="B67" s="14" t="s">
        <v>36</v>
      </c>
      <c r="C67" s="15"/>
      <c r="D67" s="15"/>
      <c r="E67" s="15"/>
      <c r="F67" s="15">
        <f t="shared" si="26"/>
        <v>0</v>
      </c>
      <c r="G67" s="15"/>
      <c r="H67" s="124" t="e">
        <f t="shared" si="1"/>
        <v>#DIV/0!</v>
      </c>
    </row>
    <row r="68" spans="1:8">
      <c r="A68" s="13" t="s">
        <v>37</v>
      </c>
      <c r="B68" s="14" t="s">
        <v>38</v>
      </c>
      <c r="C68" s="15"/>
      <c r="D68" s="15"/>
      <c r="E68" s="15"/>
      <c r="F68" s="15">
        <f t="shared" si="26"/>
        <v>0</v>
      </c>
      <c r="G68" s="15"/>
      <c r="H68" s="124" t="e">
        <f t="shared" si="1"/>
        <v>#DIV/0!</v>
      </c>
    </row>
    <row r="69" spans="1:8" ht="25.5">
      <c r="A69" s="13" t="s">
        <v>39</v>
      </c>
      <c r="B69" s="14" t="s">
        <v>40</v>
      </c>
      <c r="C69" s="15"/>
      <c r="D69" s="15"/>
      <c r="E69" s="15"/>
      <c r="F69" s="15">
        <f t="shared" si="26"/>
        <v>0</v>
      </c>
      <c r="G69" s="15"/>
      <c r="H69" s="124" t="e">
        <f t="shared" si="1"/>
        <v>#DIV/0!</v>
      </c>
    </row>
    <row r="70" spans="1:8" ht="25.5">
      <c r="A70" s="13" t="s">
        <v>41</v>
      </c>
      <c r="B70" s="14" t="s">
        <v>42</v>
      </c>
      <c r="C70" s="15">
        <f>SUM(C64:C69)</f>
        <v>0</v>
      </c>
      <c r="D70" s="15">
        <f t="shared" ref="D70:G70" si="27">SUM(D64:D69)</f>
        <v>0</v>
      </c>
      <c r="E70" s="15">
        <f t="shared" si="27"/>
        <v>0</v>
      </c>
      <c r="F70" s="15">
        <f t="shared" si="26"/>
        <v>0</v>
      </c>
      <c r="G70" s="15">
        <f t="shared" si="27"/>
        <v>0</v>
      </c>
      <c r="H70" s="124" t="e">
        <f t="shared" si="1"/>
        <v>#DIV/0!</v>
      </c>
    </row>
    <row r="71" spans="1:8">
      <c r="A71" s="13" t="s">
        <v>43</v>
      </c>
      <c r="B71" s="14" t="s">
        <v>44</v>
      </c>
      <c r="C71" s="15"/>
      <c r="D71" s="15"/>
      <c r="E71" s="15"/>
      <c r="F71" s="15">
        <f t="shared" si="26"/>
        <v>0</v>
      </c>
      <c r="G71" s="15"/>
      <c r="H71" s="124" t="e">
        <f t="shared" si="1"/>
        <v>#DIV/0!</v>
      </c>
    </row>
    <row r="72" spans="1:8" ht="38.25">
      <c r="A72" s="13" t="s">
        <v>45</v>
      </c>
      <c r="B72" s="14" t="s">
        <v>46</v>
      </c>
      <c r="C72" s="15"/>
      <c r="D72" s="15"/>
      <c r="E72" s="15"/>
      <c r="F72" s="15">
        <f t="shared" si="26"/>
        <v>0</v>
      </c>
      <c r="G72" s="15"/>
      <c r="H72" s="124" t="e">
        <f t="shared" si="1"/>
        <v>#DIV/0!</v>
      </c>
    </row>
    <row r="73" spans="1:8">
      <c r="A73" s="13" t="s">
        <v>47</v>
      </c>
      <c r="B73" s="14" t="s">
        <v>48</v>
      </c>
      <c r="C73" s="15">
        <v>1844</v>
      </c>
      <c r="D73" s="15">
        <v>10000</v>
      </c>
      <c r="E73" s="15"/>
      <c r="F73" s="15">
        <f t="shared" si="26"/>
        <v>10000</v>
      </c>
      <c r="G73" s="15">
        <v>1634</v>
      </c>
      <c r="H73" s="124">
        <f t="shared" ref="H73:H137" si="28">G73/F73</f>
        <v>0.16339999999999999</v>
      </c>
    </row>
    <row r="74" spans="1:8">
      <c r="A74" s="13" t="s">
        <v>49</v>
      </c>
      <c r="B74" s="14" t="s">
        <v>50</v>
      </c>
      <c r="C74" s="15">
        <f>SUM(C71:C73)</f>
        <v>1844</v>
      </c>
      <c r="D74" s="15">
        <f t="shared" ref="D74:G74" si="29">SUM(D71:D73)</f>
        <v>10000</v>
      </c>
      <c r="E74" s="15">
        <f t="shared" si="29"/>
        <v>0</v>
      </c>
      <c r="F74" s="15">
        <f t="shared" si="26"/>
        <v>10000</v>
      </c>
      <c r="G74" s="15">
        <f t="shared" si="29"/>
        <v>1634</v>
      </c>
      <c r="H74" s="124">
        <f t="shared" si="28"/>
        <v>0.16339999999999999</v>
      </c>
    </row>
    <row r="75" spans="1:8">
      <c r="A75" s="16" t="s">
        <v>51</v>
      </c>
      <c r="B75" s="17" t="s">
        <v>52</v>
      </c>
      <c r="C75" s="119">
        <f>C70+C74</f>
        <v>1844</v>
      </c>
      <c r="D75" s="119">
        <f t="shared" ref="D75:G75" si="30">D70+D74</f>
        <v>10000</v>
      </c>
      <c r="E75" s="119">
        <f t="shared" si="30"/>
        <v>0</v>
      </c>
      <c r="F75" s="119">
        <f t="shared" si="26"/>
        <v>10000</v>
      </c>
      <c r="G75" s="119">
        <f t="shared" si="30"/>
        <v>1634</v>
      </c>
      <c r="H75" s="125">
        <f t="shared" si="28"/>
        <v>0.16339999999999999</v>
      </c>
    </row>
    <row r="76" spans="1:8" ht="25.5">
      <c r="A76" s="16" t="s">
        <v>53</v>
      </c>
      <c r="B76" s="17" t="s">
        <v>54</v>
      </c>
      <c r="C76" s="119">
        <f>SUM(C77:C80)</f>
        <v>0</v>
      </c>
      <c r="D76" s="119">
        <f t="shared" ref="D76:G76" si="31">SUM(D77:D80)</f>
        <v>0</v>
      </c>
      <c r="E76" s="119">
        <f t="shared" si="31"/>
        <v>0</v>
      </c>
      <c r="F76" s="119">
        <f t="shared" si="26"/>
        <v>0</v>
      </c>
      <c r="G76" s="119">
        <f t="shared" si="31"/>
        <v>0</v>
      </c>
      <c r="H76" s="125" t="e">
        <f t="shared" si="28"/>
        <v>#DIV/0!</v>
      </c>
    </row>
    <row r="77" spans="1:8">
      <c r="A77" s="13" t="s">
        <v>55</v>
      </c>
      <c r="B77" s="14" t="s">
        <v>56</v>
      </c>
      <c r="C77" s="15"/>
      <c r="D77" s="15"/>
      <c r="E77" s="15"/>
      <c r="F77" s="15">
        <f t="shared" si="26"/>
        <v>0</v>
      </c>
      <c r="G77" s="15"/>
      <c r="H77" s="124" t="e">
        <f t="shared" si="28"/>
        <v>#DIV/0!</v>
      </c>
    </row>
    <row r="78" spans="1:8">
      <c r="A78" s="13" t="s">
        <v>57</v>
      </c>
      <c r="B78" s="14" t="s">
        <v>58</v>
      </c>
      <c r="C78" s="15"/>
      <c r="D78" s="15"/>
      <c r="E78" s="15"/>
      <c r="F78" s="15">
        <f t="shared" si="26"/>
        <v>0</v>
      </c>
      <c r="G78" s="15"/>
      <c r="H78" s="124" t="e">
        <f t="shared" si="28"/>
        <v>#DIV/0!</v>
      </c>
    </row>
    <row r="79" spans="1:8">
      <c r="A79" s="13" t="s">
        <v>59</v>
      </c>
      <c r="B79" s="14" t="s">
        <v>60</v>
      </c>
      <c r="C79" s="15"/>
      <c r="D79" s="15"/>
      <c r="E79" s="15"/>
      <c r="F79" s="15">
        <f t="shared" si="26"/>
        <v>0</v>
      </c>
      <c r="G79" s="15"/>
      <c r="H79" s="124" t="e">
        <f t="shared" si="28"/>
        <v>#DIV/0!</v>
      </c>
    </row>
    <row r="80" spans="1:8" ht="25.5">
      <c r="A80" s="13" t="s">
        <v>61</v>
      </c>
      <c r="B80" s="14" t="s">
        <v>62</v>
      </c>
      <c r="C80" s="15"/>
      <c r="D80" s="15"/>
      <c r="E80" s="15"/>
      <c r="F80" s="15">
        <f t="shared" si="26"/>
        <v>0</v>
      </c>
      <c r="G80" s="15"/>
      <c r="H80" s="124" t="e">
        <f t="shared" si="28"/>
        <v>#DIV/0!</v>
      </c>
    </row>
    <row r="81" spans="1:8">
      <c r="A81" s="13" t="s">
        <v>63</v>
      </c>
      <c r="B81" s="14" t="s">
        <v>64</v>
      </c>
      <c r="C81" s="15">
        <v>64282</v>
      </c>
      <c r="D81" s="15">
        <v>60000</v>
      </c>
      <c r="E81" s="15">
        <v>-29779</v>
      </c>
      <c r="F81" s="15">
        <f t="shared" si="26"/>
        <v>30221</v>
      </c>
      <c r="G81" s="15">
        <v>11085</v>
      </c>
      <c r="H81" s="124">
        <f t="shared" si="28"/>
        <v>0.36679792197478572</v>
      </c>
    </row>
    <row r="82" spans="1:8">
      <c r="A82" s="13" t="s">
        <v>65</v>
      </c>
      <c r="B82" s="14" t="s">
        <v>66</v>
      </c>
      <c r="C82" s="15">
        <v>808323</v>
      </c>
      <c r="D82" s="15">
        <v>900000</v>
      </c>
      <c r="E82" s="15">
        <f>-1136-1</f>
        <v>-1137</v>
      </c>
      <c r="F82" s="15">
        <f t="shared" si="26"/>
        <v>898863</v>
      </c>
      <c r="G82" s="15">
        <v>446473</v>
      </c>
      <c r="H82" s="124">
        <f t="shared" si="28"/>
        <v>0.4967086196672908</v>
      </c>
    </row>
    <row r="83" spans="1:8">
      <c r="A83" s="13" t="s">
        <v>67</v>
      </c>
      <c r="B83" s="14" t="s">
        <v>68</v>
      </c>
      <c r="C83" s="15">
        <f>SUM(C81:C82)</f>
        <v>872605</v>
      </c>
      <c r="D83" s="15">
        <f t="shared" ref="D83:G83" si="32">SUM(D81:D82)</f>
        <v>960000</v>
      </c>
      <c r="E83" s="15">
        <f t="shared" si="32"/>
        <v>-30916</v>
      </c>
      <c r="F83" s="15">
        <f t="shared" si="26"/>
        <v>929084</v>
      </c>
      <c r="G83" s="15">
        <f t="shared" si="32"/>
        <v>457558</v>
      </c>
      <c r="H83" s="124">
        <f t="shared" si="28"/>
        <v>0.49248291865966909</v>
      </c>
    </row>
    <row r="84" spans="1:8">
      <c r="A84" s="13" t="s">
        <v>69</v>
      </c>
      <c r="B84" s="14" t="s">
        <v>70</v>
      </c>
      <c r="C84" s="15">
        <v>95880</v>
      </c>
      <c r="D84" s="15">
        <v>100000</v>
      </c>
      <c r="E84" s="15"/>
      <c r="F84" s="15">
        <f t="shared" si="26"/>
        <v>100000</v>
      </c>
      <c r="G84" s="15">
        <f>47940+5600</f>
        <v>53540</v>
      </c>
      <c r="H84" s="124">
        <f t="shared" si="28"/>
        <v>0.53539999999999999</v>
      </c>
    </row>
    <row r="85" spans="1:8">
      <c r="A85" s="13" t="s">
        <v>71</v>
      </c>
      <c r="B85" s="14" t="s">
        <v>72</v>
      </c>
      <c r="C85" s="15">
        <v>67841</v>
      </c>
      <c r="D85" s="15">
        <v>50000</v>
      </c>
      <c r="E85" s="15"/>
      <c r="F85" s="15">
        <f t="shared" si="26"/>
        <v>50000</v>
      </c>
      <c r="G85" s="15">
        <f>5870+6200</f>
        <v>12070</v>
      </c>
      <c r="H85" s="124">
        <f t="shared" si="28"/>
        <v>0.2414</v>
      </c>
    </row>
    <row r="86" spans="1:8">
      <c r="A86" s="13" t="s">
        <v>73</v>
      </c>
      <c r="B86" s="14" t="s">
        <v>74</v>
      </c>
      <c r="C86" s="15">
        <f>SUM(C84:C85)</f>
        <v>163721</v>
      </c>
      <c r="D86" s="15">
        <f t="shared" ref="D86:G86" si="33">SUM(D84:D85)</f>
        <v>150000</v>
      </c>
      <c r="E86" s="15">
        <f t="shared" si="33"/>
        <v>0</v>
      </c>
      <c r="F86" s="15">
        <f t="shared" si="26"/>
        <v>150000</v>
      </c>
      <c r="G86" s="15">
        <f t="shared" si="33"/>
        <v>65610</v>
      </c>
      <c r="H86" s="124">
        <f t="shared" si="28"/>
        <v>0.43740000000000001</v>
      </c>
    </row>
    <row r="87" spans="1:8">
      <c r="A87" s="13" t="s">
        <v>75</v>
      </c>
      <c r="B87" s="14" t="s">
        <v>76</v>
      </c>
      <c r="C87" s="15">
        <v>1721030</v>
      </c>
      <c r="D87" s="15">
        <v>1600000</v>
      </c>
      <c r="E87" s="15"/>
      <c r="F87" s="15">
        <f t="shared" si="26"/>
        <v>1600000</v>
      </c>
      <c r="G87" s="15">
        <f>704154+48270</f>
        <v>752424</v>
      </c>
      <c r="H87" s="124">
        <f t="shared" si="28"/>
        <v>0.47026499999999999</v>
      </c>
    </row>
    <row r="88" spans="1:8">
      <c r="A88" s="13" t="s">
        <v>77</v>
      </c>
      <c r="B88" s="14" t="s">
        <v>78</v>
      </c>
      <c r="C88" s="15"/>
      <c r="D88" s="15"/>
      <c r="E88" s="15"/>
      <c r="F88" s="15">
        <f t="shared" si="26"/>
        <v>0</v>
      </c>
      <c r="G88" s="15"/>
      <c r="H88" s="124" t="e">
        <f t="shared" si="28"/>
        <v>#DIV/0!</v>
      </c>
    </row>
    <row r="89" spans="1:8">
      <c r="A89" s="20" t="s">
        <v>276</v>
      </c>
      <c r="B89" s="19" t="s">
        <v>277</v>
      </c>
      <c r="C89" s="15"/>
      <c r="D89" s="15"/>
      <c r="E89" s="15"/>
      <c r="F89" s="15">
        <f t="shared" si="26"/>
        <v>0</v>
      </c>
      <c r="G89" s="15"/>
      <c r="H89" s="124"/>
    </row>
    <row r="90" spans="1:8">
      <c r="A90" s="13" t="s">
        <v>79</v>
      </c>
      <c r="B90" s="14" t="s">
        <v>80</v>
      </c>
      <c r="C90" s="15">
        <v>25640</v>
      </c>
      <c r="D90" s="15">
        <v>500000</v>
      </c>
      <c r="E90" s="15">
        <v>-194587</v>
      </c>
      <c r="F90" s="15">
        <f t="shared" si="26"/>
        <v>305413</v>
      </c>
      <c r="G90" s="15">
        <v>26400</v>
      </c>
      <c r="H90" s="124">
        <f t="shared" si="28"/>
        <v>8.6440328342277509E-2</v>
      </c>
    </row>
    <row r="91" spans="1:8">
      <c r="A91" s="13" t="s">
        <v>81</v>
      </c>
      <c r="B91" s="14" t="s">
        <v>82</v>
      </c>
      <c r="C91" s="15"/>
      <c r="D91" s="15"/>
      <c r="E91" s="15"/>
      <c r="F91" s="15">
        <f t="shared" si="26"/>
        <v>0</v>
      </c>
      <c r="G91" s="15"/>
      <c r="H91" s="124" t="e">
        <f t="shared" si="28"/>
        <v>#DIV/0!</v>
      </c>
    </row>
    <row r="92" spans="1:8">
      <c r="A92" s="13" t="s">
        <v>83</v>
      </c>
      <c r="B92" s="14" t="s">
        <v>84</v>
      </c>
      <c r="C92" s="15"/>
      <c r="D92" s="15"/>
      <c r="E92" s="15"/>
      <c r="F92" s="15">
        <f t="shared" si="26"/>
        <v>0</v>
      </c>
      <c r="G92" s="15"/>
      <c r="H92" s="124" t="e">
        <f t="shared" si="28"/>
        <v>#DIV/0!</v>
      </c>
    </row>
    <row r="93" spans="1:8" ht="25.5">
      <c r="A93" s="13" t="s">
        <v>85</v>
      </c>
      <c r="B93" s="14" t="s">
        <v>86</v>
      </c>
      <c r="C93" s="15"/>
      <c r="D93" s="15">
        <v>150000</v>
      </c>
      <c r="E93" s="15"/>
      <c r="F93" s="15">
        <f t="shared" si="26"/>
        <v>150000</v>
      </c>
      <c r="G93" s="15">
        <v>39586</v>
      </c>
      <c r="H93" s="124">
        <f t="shared" si="28"/>
        <v>0.26390666666666668</v>
      </c>
    </row>
    <row r="94" spans="1:8">
      <c r="A94" s="13" t="s">
        <v>87</v>
      </c>
      <c r="B94" s="14" t="s">
        <v>88</v>
      </c>
      <c r="C94" s="15">
        <v>486680</v>
      </c>
      <c r="D94" s="15">
        <v>350000</v>
      </c>
      <c r="E94" s="15">
        <v>0</v>
      </c>
      <c r="F94" s="15">
        <f t="shared" si="26"/>
        <v>350000</v>
      </c>
      <c r="G94" s="15">
        <v>214877</v>
      </c>
      <c r="H94" s="124">
        <f t="shared" si="28"/>
        <v>0.61393428571428577</v>
      </c>
    </row>
    <row r="95" spans="1:8">
      <c r="A95" s="13" t="s">
        <v>89</v>
      </c>
      <c r="B95" s="14" t="s">
        <v>90</v>
      </c>
      <c r="C95" s="15"/>
      <c r="D95" s="15"/>
      <c r="E95" s="15">
        <v>0</v>
      </c>
      <c r="F95" s="15">
        <f t="shared" si="26"/>
        <v>0</v>
      </c>
      <c r="G95" s="15"/>
      <c r="H95" s="124" t="e">
        <f t="shared" si="28"/>
        <v>#DIV/0!</v>
      </c>
    </row>
    <row r="96" spans="1:8" ht="25.5">
      <c r="A96" s="13" t="s">
        <v>91</v>
      </c>
      <c r="B96" s="14" t="s">
        <v>92</v>
      </c>
      <c r="C96" s="15">
        <f>C87+C88+C89+C90+C91+C93+C94</f>
        <v>2233350</v>
      </c>
      <c r="D96" s="15">
        <f t="shared" ref="D96:G96" si="34">D87+D88+D89+D90+D91+D93+D94</f>
        <v>2600000</v>
      </c>
      <c r="E96" s="15">
        <f t="shared" si="34"/>
        <v>-194587</v>
      </c>
      <c r="F96" s="15">
        <f t="shared" si="26"/>
        <v>2405413</v>
      </c>
      <c r="G96" s="15">
        <f t="shared" si="34"/>
        <v>1033287</v>
      </c>
      <c r="H96" s="124">
        <f t="shared" si="28"/>
        <v>0.42956739653439968</v>
      </c>
    </row>
    <row r="97" spans="1:8">
      <c r="A97" s="13" t="s">
        <v>280</v>
      </c>
      <c r="B97" s="14" t="s">
        <v>281</v>
      </c>
      <c r="C97" s="15">
        <f>Igazg.!C101+Adók!C100+Temető!C99+Önk.vagyon!C99+Múzeum!C99+Rendezvények!C99+Közter.rend.!C99+Közf.!C99+Közutak!C100+Közvil.!C99+Zöldter.!C99+'Város-község'!C99+Háziorvos!C99+Védőnő!C99+Sport!C99+Könyvtár!C99+'Művelődési H.'!C99+'Isk.1-4.'!C99+'Isk.5-8.'!C99+Gyermekétk.!C99+Családvéd.!C99+Gyermekvéd.!C99+Családtám.!C99+'Egyéb szoc.'!C99+'Közösségi Ház'!C99</f>
        <v>0</v>
      </c>
      <c r="D97" s="15"/>
      <c r="E97" s="15">
        <v>4500</v>
      </c>
      <c r="F97" s="15">
        <f t="shared" si="26"/>
        <v>4500</v>
      </c>
      <c r="G97" s="15">
        <v>4500</v>
      </c>
      <c r="H97" s="124"/>
    </row>
    <row r="98" spans="1:8">
      <c r="A98" s="13" t="s">
        <v>93</v>
      </c>
      <c r="B98" s="14" t="s">
        <v>94</v>
      </c>
      <c r="C98" s="15"/>
      <c r="D98" s="15"/>
      <c r="E98" s="15"/>
      <c r="F98" s="15">
        <f t="shared" si="26"/>
        <v>0</v>
      </c>
      <c r="G98" s="15"/>
      <c r="H98" s="124" t="e">
        <f t="shared" si="28"/>
        <v>#DIV/0!</v>
      </c>
    </row>
    <row r="99" spans="1:8" ht="25.5">
      <c r="A99" s="13" t="s">
        <v>95</v>
      </c>
      <c r="B99" s="14" t="s">
        <v>96</v>
      </c>
      <c r="C99" s="15">
        <f>SUM(C97:C98)</f>
        <v>0</v>
      </c>
      <c r="D99" s="15">
        <f t="shared" ref="D99:G99" si="35">SUM(D97:D98)</f>
        <v>0</v>
      </c>
      <c r="E99" s="15">
        <f t="shared" si="35"/>
        <v>4500</v>
      </c>
      <c r="F99" s="15">
        <f t="shared" si="26"/>
        <v>4500</v>
      </c>
      <c r="G99" s="15">
        <f t="shared" si="35"/>
        <v>4500</v>
      </c>
      <c r="H99" s="124">
        <f t="shared" si="28"/>
        <v>1</v>
      </c>
    </row>
    <row r="100" spans="1:8" ht="25.5">
      <c r="A100" s="13" t="s">
        <v>97</v>
      </c>
      <c r="B100" s="14" t="s">
        <v>98</v>
      </c>
      <c r="C100" s="15">
        <v>819765</v>
      </c>
      <c r="D100" s="15">
        <v>1002000</v>
      </c>
      <c r="E100" s="15">
        <v>-3000</v>
      </c>
      <c r="F100" s="15">
        <f t="shared" si="26"/>
        <v>999000</v>
      </c>
      <c r="G100" s="15">
        <f>363010+15715</f>
        <v>378725</v>
      </c>
      <c r="H100" s="124">
        <f t="shared" si="28"/>
        <v>0.37910410410410411</v>
      </c>
    </row>
    <row r="101" spans="1:8" s="121" customFormat="1">
      <c r="A101" s="13">
        <v>52</v>
      </c>
      <c r="B101" s="14" t="s">
        <v>458</v>
      </c>
      <c r="C101" s="15"/>
      <c r="D101" s="15"/>
      <c r="E101" s="15">
        <v>5</v>
      </c>
      <c r="F101" s="15">
        <f t="shared" si="26"/>
        <v>5</v>
      </c>
      <c r="G101" s="15">
        <v>5</v>
      </c>
      <c r="H101" s="124">
        <f t="shared" si="28"/>
        <v>1</v>
      </c>
    </row>
    <row r="102" spans="1:8">
      <c r="A102" s="13" t="s">
        <v>99</v>
      </c>
      <c r="B102" s="14" t="s">
        <v>100</v>
      </c>
      <c r="C102" s="15">
        <v>14390</v>
      </c>
      <c r="D102" s="15"/>
      <c r="E102" s="15">
        <v>2153</v>
      </c>
      <c r="F102" s="15">
        <f t="shared" si="26"/>
        <v>2153</v>
      </c>
      <c r="G102" s="15">
        <f>537+1616</f>
        <v>2153</v>
      </c>
      <c r="H102" s="124">
        <f t="shared" si="28"/>
        <v>1</v>
      </c>
    </row>
    <row r="103" spans="1:8" ht="25.5">
      <c r="A103" s="13" t="s">
        <v>101</v>
      </c>
      <c r="B103" s="14" t="s">
        <v>102</v>
      </c>
      <c r="C103" s="15">
        <f>SUM(C100:C102)</f>
        <v>834155</v>
      </c>
      <c r="D103" s="15">
        <f t="shared" ref="D103:G103" si="36">SUM(D100:D102)</f>
        <v>1002000</v>
      </c>
      <c r="E103" s="15">
        <f t="shared" si="36"/>
        <v>-842</v>
      </c>
      <c r="F103" s="15">
        <f t="shared" si="26"/>
        <v>1001158</v>
      </c>
      <c r="G103" s="15">
        <f t="shared" si="36"/>
        <v>380883</v>
      </c>
      <c r="H103" s="124">
        <f t="shared" si="28"/>
        <v>0.38044244764562635</v>
      </c>
    </row>
    <row r="104" spans="1:8">
      <c r="A104" s="16" t="s">
        <v>103</v>
      </c>
      <c r="B104" s="17" t="s">
        <v>104</v>
      </c>
      <c r="C104" s="119">
        <f>C83+C86+C96+C99+C103</f>
        <v>4103831</v>
      </c>
      <c r="D104" s="119">
        <f t="shared" ref="D104:G104" si="37">D83+D86+D96+D99+D103</f>
        <v>4712000</v>
      </c>
      <c r="E104" s="119">
        <f t="shared" si="37"/>
        <v>-221845</v>
      </c>
      <c r="F104" s="119">
        <f t="shared" si="26"/>
        <v>4490155</v>
      </c>
      <c r="G104" s="119">
        <f t="shared" si="37"/>
        <v>1941838</v>
      </c>
      <c r="H104" s="125">
        <f t="shared" si="28"/>
        <v>0.43246569439139626</v>
      </c>
    </row>
    <row r="105" spans="1:8">
      <c r="A105" s="13" t="s">
        <v>105</v>
      </c>
      <c r="B105" s="14" t="s">
        <v>106</v>
      </c>
      <c r="C105" s="15">
        <f>SUM(C106)</f>
        <v>0</v>
      </c>
      <c r="D105" s="15">
        <f t="shared" ref="D105:G105" si="38">SUM(D106)</f>
        <v>0</v>
      </c>
      <c r="E105" s="15">
        <f t="shared" si="38"/>
        <v>0</v>
      </c>
      <c r="F105" s="15">
        <f t="shared" si="26"/>
        <v>0</v>
      </c>
      <c r="G105" s="15">
        <f t="shared" si="38"/>
        <v>0</v>
      </c>
      <c r="H105" s="124" t="e">
        <f t="shared" si="28"/>
        <v>#DIV/0!</v>
      </c>
    </row>
    <row r="106" spans="1:8" ht="25.5">
      <c r="A106" s="13" t="s">
        <v>107</v>
      </c>
      <c r="B106" s="14" t="s">
        <v>108</v>
      </c>
      <c r="C106" s="15"/>
      <c r="D106" s="15"/>
      <c r="E106" s="15"/>
      <c r="F106" s="15">
        <f t="shared" si="26"/>
        <v>0</v>
      </c>
      <c r="G106" s="15"/>
      <c r="H106" s="124" t="e">
        <f t="shared" si="28"/>
        <v>#DIV/0!</v>
      </c>
    </row>
    <row r="107" spans="1:8" ht="25.5">
      <c r="A107" s="13" t="s">
        <v>109</v>
      </c>
      <c r="B107" s="14" t="s">
        <v>110</v>
      </c>
      <c r="C107" s="15"/>
      <c r="D107" s="15"/>
      <c r="E107" s="15"/>
      <c r="F107" s="15">
        <f t="shared" si="26"/>
        <v>0</v>
      </c>
      <c r="G107" s="15"/>
      <c r="H107" s="124" t="e">
        <f t="shared" si="28"/>
        <v>#DIV/0!</v>
      </c>
    </row>
    <row r="108" spans="1:8" ht="25.5">
      <c r="A108" s="13" t="s">
        <v>111</v>
      </c>
      <c r="B108" s="14" t="s">
        <v>112</v>
      </c>
      <c r="C108" s="15"/>
      <c r="D108" s="15"/>
      <c r="E108" s="15"/>
      <c r="F108" s="15">
        <f t="shared" si="26"/>
        <v>0</v>
      </c>
      <c r="G108" s="15"/>
      <c r="H108" s="124" t="e">
        <f t="shared" si="28"/>
        <v>#DIV/0!</v>
      </c>
    </row>
    <row r="109" spans="1:8">
      <c r="A109" s="13" t="s">
        <v>113</v>
      </c>
      <c r="B109" s="14" t="s">
        <v>114</v>
      </c>
      <c r="C109" s="15"/>
      <c r="D109" s="15"/>
      <c r="E109" s="15"/>
      <c r="F109" s="15">
        <f t="shared" si="26"/>
        <v>0</v>
      </c>
      <c r="G109" s="15"/>
      <c r="H109" s="124" t="e">
        <f t="shared" si="28"/>
        <v>#DIV/0!</v>
      </c>
    </row>
    <row r="110" spans="1:8" ht="38.25">
      <c r="A110" s="13" t="s">
        <v>115</v>
      </c>
      <c r="B110" s="14" t="s">
        <v>116</v>
      </c>
      <c r="C110" s="15"/>
      <c r="D110" s="15"/>
      <c r="E110" s="15"/>
      <c r="F110" s="15">
        <f t="shared" si="26"/>
        <v>0</v>
      </c>
      <c r="G110" s="15"/>
      <c r="H110" s="124" t="e">
        <f t="shared" si="28"/>
        <v>#DIV/0!</v>
      </c>
    </row>
    <row r="111" spans="1:8" ht="25.5">
      <c r="A111" s="16" t="s">
        <v>117</v>
      </c>
      <c r="B111" s="17" t="s">
        <v>118</v>
      </c>
      <c r="C111" s="119">
        <f>C105+C107</f>
        <v>0</v>
      </c>
      <c r="D111" s="119">
        <f t="shared" ref="D111:G111" si="39">D105+D107</f>
        <v>0</v>
      </c>
      <c r="E111" s="119">
        <f t="shared" si="39"/>
        <v>0</v>
      </c>
      <c r="F111" s="119">
        <f t="shared" si="26"/>
        <v>0</v>
      </c>
      <c r="G111" s="119">
        <f t="shared" si="39"/>
        <v>0</v>
      </c>
      <c r="H111" s="125" t="e">
        <f t="shared" si="28"/>
        <v>#DIV/0!</v>
      </c>
    </row>
    <row r="112" spans="1:8" ht="25.5">
      <c r="A112" s="13" t="s">
        <v>119</v>
      </c>
      <c r="B112" s="14" t="s">
        <v>120</v>
      </c>
      <c r="C112" s="15"/>
      <c r="D112" s="15"/>
      <c r="E112" s="15"/>
      <c r="F112" s="15">
        <f t="shared" si="26"/>
        <v>0</v>
      </c>
      <c r="G112" s="15"/>
      <c r="H112" s="124" t="e">
        <f t="shared" si="28"/>
        <v>#DIV/0!</v>
      </c>
    </row>
    <row r="113" spans="1:8" ht="25.5">
      <c r="A113" s="13" t="s">
        <v>121</v>
      </c>
      <c r="B113" s="14" t="s">
        <v>122</v>
      </c>
      <c r="C113" s="15"/>
      <c r="D113" s="15"/>
      <c r="E113" s="15"/>
      <c r="F113" s="15">
        <f t="shared" si="26"/>
        <v>0</v>
      </c>
      <c r="G113" s="15"/>
      <c r="H113" s="124" t="e">
        <f t="shared" si="28"/>
        <v>#DIV/0!</v>
      </c>
    </row>
    <row r="114" spans="1:8" ht="25.5">
      <c r="A114" s="13" t="s">
        <v>123</v>
      </c>
      <c r="B114" s="14" t="s">
        <v>124</v>
      </c>
      <c r="C114" s="15">
        <f>SUM(C112:C113)</f>
        <v>0</v>
      </c>
      <c r="D114" s="15">
        <f t="shared" ref="D114:G114" si="40">SUM(D112:D113)</f>
        <v>0</v>
      </c>
      <c r="E114" s="15">
        <f t="shared" si="40"/>
        <v>0</v>
      </c>
      <c r="F114" s="15">
        <f t="shared" si="26"/>
        <v>0</v>
      </c>
      <c r="G114" s="15">
        <f t="shared" si="40"/>
        <v>0</v>
      </c>
      <c r="H114" s="124" t="e">
        <f t="shared" si="28"/>
        <v>#DIV/0!</v>
      </c>
    </row>
    <row r="115" spans="1:8" ht="25.5">
      <c r="A115" s="13" t="s">
        <v>125</v>
      </c>
      <c r="B115" s="14" t="s">
        <v>126</v>
      </c>
      <c r="C115" s="15">
        <f>SUM(C116)</f>
        <v>0</v>
      </c>
      <c r="D115" s="15">
        <f t="shared" ref="D115:G115" si="41">SUM(D116)</f>
        <v>0</v>
      </c>
      <c r="E115" s="15">
        <f t="shared" si="41"/>
        <v>0</v>
      </c>
      <c r="F115" s="15">
        <f t="shared" si="26"/>
        <v>0</v>
      </c>
      <c r="G115" s="15">
        <f t="shared" si="41"/>
        <v>0</v>
      </c>
      <c r="H115" s="124" t="e">
        <f t="shared" si="28"/>
        <v>#DIV/0!</v>
      </c>
    </row>
    <row r="116" spans="1:8" ht="25.5">
      <c r="A116" s="13" t="s">
        <v>127</v>
      </c>
      <c r="B116" s="14" t="s">
        <v>128</v>
      </c>
      <c r="C116" s="15"/>
      <c r="D116" s="15"/>
      <c r="E116" s="15"/>
      <c r="F116" s="15">
        <f t="shared" si="26"/>
        <v>0</v>
      </c>
      <c r="G116" s="15"/>
      <c r="H116" s="124" t="e">
        <f t="shared" si="28"/>
        <v>#DIV/0!</v>
      </c>
    </row>
    <row r="117" spans="1:8" ht="25.5">
      <c r="A117" s="13" t="s">
        <v>129</v>
      </c>
      <c r="B117" s="14" t="s">
        <v>130</v>
      </c>
      <c r="C117" s="15">
        <f>SUM(C118:C120)</f>
        <v>0</v>
      </c>
      <c r="D117" s="15">
        <f t="shared" ref="D117:G117" si="42">SUM(D118:D120)</f>
        <v>0</v>
      </c>
      <c r="E117" s="15">
        <f t="shared" si="42"/>
        <v>0</v>
      </c>
      <c r="F117" s="15">
        <f t="shared" si="26"/>
        <v>0</v>
      </c>
      <c r="G117" s="15">
        <f t="shared" si="42"/>
        <v>0</v>
      </c>
      <c r="H117" s="124" t="e">
        <f t="shared" si="28"/>
        <v>#DIV/0!</v>
      </c>
    </row>
    <row r="118" spans="1:8">
      <c r="A118" s="13" t="s">
        <v>131</v>
      </c>
      <c r="B118" s="14" t="s">
        <v>132</v>
      </c>
      <c r="C118" s="15"/>
      <c r="D118" s="15"/>
      <c r="E118" s="15"/>
      <c r="F118" s="15">
        <f t="shared" si="26"/>
        <v>0</v>
      </c>
      <c r="G118" s="15"/>
      <c r="H118" s="124" t="e">
        <f t="shared" si="28"/>
        <v>#DIV/0!</v>
      </c>
    </row>
    <row r="119" spans="1:8">
      <c r="A119" s="13" t="s">
        <v>133</v>
      </c>
      <c r="B119" s="14" t="s">
        <v>134</v>
      </c>
      <c r="C119" s="15"/>
      <c r="D119" s="15"/>
      <c r="E119" s="15"/>
      <c r="F119" s="15">
        <f t="shared" si="26"/>
        <v>0</v>
      </c>
      <c r="G119" s="15"/>
      <c r="H119" s="124" t="e">
        <f t="shared" si="28"/>
        <v>#DIV/0!</v>
      </c>
    </row>
    <row r="120" spans="1:8">
      <c r="A120" s="13" t="s">
        <v>135</v>
      </c>
      <c r="B120" s="14" t="s">
        <v>136</v>
      </c>
      <c r="C120" s="15"/>
      <c r="D120" s="15"/>
      <c r="E120" s="15"/>
      <c r="F120" s="15">
        <f t="shared" si="26"/>
        <v>0</v>
      </c>
      <c r="G120" s="15"/>
      <c r="H120" s="124" t="e">
        <f t="shared" si="28"/>
        <v>#DIV/0!</v>
      </c>
    </row>
    <row r="121" spans="1:8">
      <c r="A121" s="13">
        <v>188</v>
      </c>
      <c r="B121" s="14" t="s">
        <v>275</v>
      </c>
      <c r="C121" s="15">
        <f>Igazg.!C126+Adók!C124+Temető!C123+Önk.vagyon!C123+Múzeum!C123+Rendezvények!C123+Közter.rend.!C123+Közf.!C123+Közutak!C124+Közvil.!C123+Zöldter.!C123+'Város-község'!C123+Háziorvos!C123+Védőnő!C123+Sport!C123+Könyvtár!C123+'Művelődési H.'!C123+'Isk.1-4.'!C123+'Isk.5-8.'!C123+Gyermekétk.!C123+Családvéd.!C123+Gyermekvéd.!C123+Családtám.!C123+'Egyéb szoc.'!C123+'Közösségi Ház'!C123</f>
        <v>0</v>
      </c>
      <c r="D121" s="15"/>
      <c r="E121" s="15">
        <v>0</v>
      </c>
      <c r="F121" s="15">
        <f t="shared" si="26"/>
        <v>0</v>
      </c>
      <c r="G121" s="15">
        <f>Igazg.!G126+Adók!G124+Temető!G123+Önk.vagyon!G123+Múzeum!G123+Rendezvények!G123+Közter.rend.!G123+Közf.!G123+Közutak!G124+Közvil.!G123+Zöldter.!G123+'Város-község'!G123+Háziorvos!G123+Védőnő!G123+Sport!G123+Könyvtár!G123+'Művelődési H.'!G123+'Isk.1-4.'!G123+'Isk.5-8.'!G123+Gyermekétk.!G123+Családvéd.!G123+Gyermekvéd.!G123+Családtám.!G123+'Egyéb szoc.'!G123+'Közösségi Ház'!G123</f>
        <v>0</v>
      </c>
      <c r="H121" s="124"/>
    </row>
    <row r="122" spans="1:8" ht="38.25">
      <c r="A122" s="16" t="s">
        <v>137</v>
      </c>
      <c r="B122" s="17" t="s">
        <v>138</v>
      </c>
      <c r="C122" s="119">
        <f>C114+C115+C117+C121</f>
        <v>0</v>
      </c>
      <c r="D122" s="119">
        <f t="shared" ref="D122:G122" si="43">D114+D115+D117+D121</f>
        <v>0</v>
      </c>
      <c r="E122" s="119">
        <f t="shared" si="43"/>
        <v>0</v>
      </c>
      <c r="F122" s="119">
        <f t="shared" si="26"/>
        <v>0</v>
      </c>
      <c r="G122" s="119">
        <f t="shared" si="43"/>
        <v>0</v>
      </c>
      <c r="H122" s="125" t="e">
        <f t="shared" si="28"/>
        <v>#DIV/0!</v>
      </c>
    </row>
    <row r="123" spans="1:8">
      <c r="A123" s="13" t="s">
        <v>139</v>
      </c>
      <c r="B123" s="14" t="s">
        <v>140</v>
      </c>
      <c r="C123" s="15"/>
      <c r="D123" s="15">
        <v>1000000</v>
      </c>
      <c r="E123" s="15"/>
      <c r="F123" s="15">
        <f t="shared" si="26"/>
        <v>1000000</v>
      </c>
      <c r="G123" s="15"/>
      <c r="H123" s="124">
        <f t="shared" si="28"/>
        <v>0</v>
      </c>
    </row>
    <row r="124" spans="1:8" ht="25.5">
      <c r="A124" s="13" t="s">
        <v>141</v>
      </c>
      <c r="B124" s="14" t="s">
        <v>142</v>
      </c>
      <c r="C124" s="15">
        <v>26000</v>
      </c>
      <c r="D124" s="15"/>
      <c r="E124" s="15"/>
      <c r="F124" s="15">
        <f t="shared" si="26"/>
        <v>0</v>
      </c>
      <c r="G124" s="15"/>
      <c r="H124" s="124" t="e">
        <f t="shared" si="28"/>
        <v>#DIV/0!</v>
      </c>
    </row>
    <row r="125" spans="1:8" ht="25.5">
      <c r="A125" s="13" t="s">
        <v>143</v>
      </c>
      <c r="B125" s="14" t="s">
        <v>144</v>
      </c>
      <c r="C125" s="15"/>
      <c r="D125" s="15">
        <v>2000000</v>
      </c>
      <c r="E125" s="15"/>
      <c r="F125" s="15">
        <f t="shared" si="26"/>
        <v>2000000</v>
      </c>
      <c r="G125" s="15"/>
      <c r="H125" s="124">
        <f t="shared" si="28"/>
        <v>0</v>
      </c>
    </row>
    <row r="126" spans="1:8" ht="25.5">
      <c r="A126" s="13" t="s">
        <v>145</v>
      </c>
      <c r="B126" s="14" t="s">
        <v>146</v>
      </c>
      <c r="C126" s="15">
        <v>7020</v>
      </c>
      <c r="D126" s="15">
        <v>540000</v>
      </c>
      <c r="E126" s="15"/>
      <c r="F126" s="15">
        <f t="shared" si="26"/>
        <v>540000</v>
      </c>
      <c r="G126" s="15"/>
      <c r="H126" s="124">
        <f t="shared" si="28"/>
        <v>0</v>
      </c>
    </row>
    <row r="127" spans="1:8">
      <c r="A127" s="16" t="s">
        <v>147</v>
      </c>
      <c r="B127" s="17" t="s">
        <v>148</v>
      </c>
      <c r="C127" s="119">
        <f>SUM(C123:C126)</f>
        <v>33020</v>
      </c>
      <c r="D127" s="119">
        <f t="shared" ref="D127:G127" si="44">SUM(D123:D126)</f>
        <v>3540000</v>
      </c>
      <c r="E127" s="119">
        <f t="shared" si="44"/>
        <v>0</v>
      </c>
      <c r="F127" s="119">
        <f t="shared" si="26"/>
        <v>3540000</v>
      </c>
      <c r="G127" s="119">
        <f t="shared" si="44"/>
        <v>0</v>
      </c>
      <c r="H127" s="125">
        <f t="shared" si="28"/>
        <v>0</v>
      </c>
    </row>
    <row r="128" spans="1:8">
      <c r="A128" s="13" t="s">
        <v>149</v>
      </c>
      <c r="B128" s="14" t="s">
        <v>150</v>
      </c>
      <c r="C128" s="15"/>
      <c r="D128" s="15"/>
      <c r="E128" s="15">
        <v>151050</v>
      </c>
      <c r="F128" s="15">
        <f t="shared" si="26"/>
        <v>151050</v>
      </c>
      <c r="G128" s="15">
        <v>151050</v>
      </c>
      <c r="H128" s="124">
        <f t="shared" si="28"/>
        <v>1</v>
      </c>
    </row>
    <row r="129" spans="1:8">
      <c r="A129" s="13" t="s">
        <v>151</v>
      </c>
      <c r="B129" s="14" t="s">
        <v>152</v>
      </c>
      <c r="C129" s="15"/>
      <c r="D129" s="15"/>
      <c r="E129" s="15"/>
      <c r="F129" s="15">
        <f t="shared" si="26"/>
        <v>0</v>
      </c>
      <c r="G129" s="15"/>
      <c r="H129" s="124" t="e">
        <f t="shared" si="28"/>
        <v>#DIV/0!</v>
      </c>
    </row>
    <row r="130" spans="1:8" ht="25.5">
      <c r="A130" s="13" t="s">
        <v>153</v>
      </c>
      <c r="B130" s="14" t="s">
        <v>154</v>
      </c>
      <c r="C130" s="15"/>
      <c r="D130" s="15"/>
      <c r="E130" s="15">
        <v>40783</v>
      </c>
      <c r="F130" s="15">
        <f t="shared" ref="F130:F137" si="45">SUM(D130:E130)</f>
        <v>40783</v>
      </c>
      <c r="G130" s="15">
        <v>40783</v>
      </c>
      <c r="H130" s="124">
        <f t="shared" si="28"/>
        <v>1</v>
      </c>
    </row>
    <row r="131" spans="1:8">
      <c r="A131" s="16" t="s">
        <v>155</v>
      </c>
      <c r="B131" s="17" t="s">
        <v>156</v>
      </c>
      <c r="C131" s="119">
        <f>SUM(C128:C130)</f>
        <v>0</v>
      </c>
      <c r="D131" s="119">
        <f t="shared" ref="D131:G131" si="46">SUM(D128:D130)</f>
        <v>0</v>
      </c>
      <c r="E131" s="119">
        <f t="shared" si="46"/>
        <v>191833</v>
      </c>
      <c r="F131" s="119">
        <f t="shared" si="45"/>
        <v>191833</v>
      </c>
      <c r="G131" s="119">
        <f t="shared" si="46"/>
        <v>191833</v>
      </c>
      <c r="H131" s="125">
        <f t="shared" si="28"/>
        <v>1</v>
      </c>
    </row>
    <row r="132" spans="1:8" ht="25.5">
      <c r="A132" s="16" t="s">
        <v>157</v>
      </c>
      <c r="B132" s="17" t="s">
        <v>158</v>
      </c>
      <c r="C132" s="119">
        <f>C75+C76+C104+C111+C122+C127+C131</f>
        <v>4138695</v>
      </c>
      <c r="D132" s="119">
        <f t="shared" ref="D132:G132" si="47">D75+D76+D104+D111+D122+D127+D131</f>
        <v>8262000</v>
      </c>
      <c r="E132" s="119">
        <f t="shared" si="47"/>
        <v>-30012</v>
      </c>
      <c r="F132" s="119">
        <f t="shared" si="45"/>
        <v>8231988</v>
      </c>
      <c r="G132" s="119">
        <f t="shared" si="47"/>
        <v>2135305</v>
      </c>
      <c r="H132" s="125">
        <f t="shared" si="28"/>
        <v>0.25939117015233742</v>
      </c>
    </row>
    <row r="133" spans="1:8" ht="25.5">
      <c r="A133" s="13" t="s">
        <v>159</v>
      </c>
      <c r="B133" s="14" t="s">
        <v>160</v>
      </c>
      <c r="C133" s="15"/>
      <c r="D133" s="15"/>
      <c r="E133" s="15"/>
      <c r="F133" s="15">
        <f t="shared" si="45"/>
        <v>0</v>
      </c>
      <c r="G133" s="15"/>
      <c r="H133" s="124" t="e">
        <f t="shared" si="28"/>
        <v>#DIV/0!</v>
      </c>
    </row>
    <row r="134" spans="1:8" ht="25.5">
      <c r="A134" s="13" t="s">
        <v>161</v>
      </c>
      <c r="B134" s="14" t="s">
        <v>162</v>
      </c>
      <c r="C134" s="15"/>
      <c r="D134" s="15"/>
      <c r="E134" s="15"/>
      <c r="F134" s="15">
        <f t="shared" si="45"/>
        <v>0</v>
      </c>
      <c r="G134" s="15"/>
      <c r="H134" s="124" t="e">
        <f t="shared" si="28"/>
        <v>#DIV/0!</v>
      </c>
    </row>
    <row r="135" spans="1:8" ht="25.5">
      <c r="A135" s="13" t="s">
        <v>163</v>
      </c>
      <c r="B135" s="14" t="s">
        <v>164</v>
      </c>
      <c r="C135" s="15">
        <f>SUM(C133:C134)</f>
        <v>0</v>
      </c>
      <c r="D135" s="15">
        <f t="shared" ref="D135:G135" si="48">SUM(D133:D134)</f>
        <v>0</v>
      </c>
      <c r="E135" s="15">
        <f t="shared" si="48"/>
        <v>0</v>
      </c>
      <c r="F135" s="15">
        <f t="shared" si="45"/>
        <v>0</v>
      </c>
      <c r="G135" s="15">
        <f t="shared" si="48"/>
        <v>0</v>
      </c>
      <c r="H135" s="124" t="e">
        <f t="shared" si="28"/>
        <v>#DIV/0!</v>
      </c>
    </row>
    <row r="136" spans="1:8" ht="25.5">
      <c r="A136" s="16" t="s">
        <v>165</v>
      </c>
      <c r="B136" s="17" t="s">
        <v>166</v>
      </c>
      <c r="C136" s="119">
        <f>SUM(C135)</f>
        <v>0</v>
      </c>
      <c r="D136" s="119">
        <f t="shared" ref="D136:G136" si="49">SUM(D135)</f>
        <v>0</v>
      </c>
      <c r="E136" s="119">
        <f t="shared" si="49"/>
        <v>0</v>
      </c>
      <c r="F136" s="119">
        <f t="shared" si="45"/>
        <v>0</v>
      </c>
      <c r="G136" s="119">
        <f t="shared" si="49"/>
        <v>0</v>
      </c>
      <c r="H136" s="125" t="e">
        <f t="shared" si="28"/>
        <v>#DIV/0!</v>
      </c>
    </row>
    <row r="137" spans="1:8">
      <c r="A137" s="16" t="s">
        <v>167</v>
      </c>
      <c r="B137" s="17" t="s">
        <v>168</v>
      </c>
      <c r="C137" s="119">
        <f>C132+C136</f>
        <v>4138695</v>
      </c>
      <c r="D137" s="119">
        <f t="shared" ref="D137:G137" si="50">D132+D136</f>
        <v>8262000</v>
      </c>
      <c r="E137" s="119">
        <f t="shared" si="50"/>
        <v>-30012</v>
      </c>
      <c r="F137" s="119">
        <f t="shared" si="45"/>
        <v>8231988</v>
      </c>
      <c r="G137" s="119">
        <f t="shared" si="50"/>
        <v>2135305</v>
      </c>
      <c r="H137" s="125">
        <f t="shared" si="28"/>
        <v>0.25939117015233742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137"/>
  <sheetViews>
    <sheetView view="pageBreakPreview" zoomScale="70" zoomScaleNormal="100" zoomScaleSheetLayoutView="70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9.109375" customWidth="1"/>
    <col min="6" max="6" width="11.5546875" customWidth="1"/>
    <col min="8" max="8" width="12.5546875" style="126" customWidth="1"/>
  </cols>
  <sheetData>
    <row r="1" spans="1:8">
      <c r="A1" s="140" t="s">
        <v>451</v>
      </c>
      <c r="B1" s="140"/>
      <c r="C1" s="140"/>
      <c r="D1" s="140"/>
      <c r="E1" s="140"/>
      <c r="F1" s="140"/>
      <c r="G1" s="140"/>
      <c r="H1" s="140"/>
    </row>
    <row r="2" spans="1:8">
      <c r="A2" s="141" t="s">
        <v>413</v>
      </c>
      <c r="B2" s="141"/>
      <c r="C2" s="141"/>
      <c r="D2" s="141"/>
      <c r="E2" s="141"/>
      <c r="F2" s="141"/>
      <c r="G2" s="141"/>
      <c r="H2" s="141"/>
    </row>
    <row r="3" spans="1:8">
      <c r="A3" s="141" t="s">
        <v>24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/>
      <c r="H6" s="124" t="e">
        <f>G6/F6</f>
        <v>#DIV/0!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61" si="0">SUM(D7:E7)</f>
        <v>0</v>
      </c>
      <c r="G7" s="15"/>
      <c r="H7" s="124" t="e">
        <f t="shared" ref="H7:H72" si="1">G7/F7</f>
        <v>#DIV/0!</v>
      </c>
    </row>
    <row r="8" spans="1:8" ht="38.25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/>
      <c r="H8" s="124" t="e">
        <f t="shared" si="1"/>
        <v>#DIV/0!</v>
      </c>
    </row>
    <row r="9" spans="1:8" ht="25.5">
      <c r="A9" s="13" t="s">
        <v>178</v>
      </c>
      <c r="B9" s="14" t="s">
        <v>179</v>
      </c>
      <c r="C9" s="15"/>
      <c r="D9" s="15"/>
      <c r="E9" s="15"/>
      <c r="F9" s="15">
        <f t="shared" si="0"/>
        <v>0</v>
      </c>
      <c r="G9" s="15"/>
      <c r="H9" s="124" t="e">
        <f t="shared" si="1"/>
        <v>#DIV/0!</v>
      </c>
    </row>
    <row r="10" spans="1:8" ht="25.5">
      <c r="A10" s="13" t="s">
        <v>180</v>
      </c>
      <c r="B10" s="14" t="s">
        <v>181</v>
      </c>
      <c r="C10" s="15"/>
      <c r="D10" s="15"/>
      <c r="E10" s="15"/>
      <c r="F10" s="15">
        <f t="shared" si="0"/>
        <v>0</v>
      </c>
      <c r="G10" s="15"/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/>
      <c r="D11" s="15"/>
      <c r="E11" s="15"/>
      <c r="F11" s="15">
        <f t="shared" si="0"/>
        <v>0</v>
      </c>
      <c r="G11" s="15"/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>SUM(C6:C11)</f>
        <v>0</v>
      </c>
      <c r="D12" s="15">
        <f t="shared" ref="D12:E12" si="2">SUM(D6:D11)</f>
        <v>0</v>
      </c>
      <c r="E12" s="15">
        <f t="shared" si="2"/>
        <v>0</v>
      </c>
      <c r="F12" s="15">
        <f t="shared" si="0"/>
        <v>0</v>
      </c>
      <c r="G12" s="15">
        <f t="shared" ref="G12" si="3">SUM(G6:G11)</f>
        <v>0</v>
      </c>
      <c r="H12" s="124" t="e">
        <f t="shared" si="1"/>
        <v>#DIV/0!</v>
      </c>
    </row>
    <row r="13" spans="1:8" ht="25.5">
      <c r="A13" s="13" t="s">
        <v>67</v>
      </c>
      <c r="B13" s="14" t="s">
        <v>185</v>
      </c>
      <c r="C13" s="15">
        <f>SUM(C14:C19)</f>
        <v>0</v>
      </c>
      <c r="D13" s="15">
        <f t="shared" ref="D13:E13" si="4">SUM(D14:D19)</f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/>
      <c r="D14" s="15"/>
      <c r="E14" s="15"/>
      <c r="F14" s="15">
        <f t="shared" si="0"/>
        <v>0</v>
      </c>
      <c r="G14" s="15"/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/>
      <c r="D15" s="15"/>
      <c r="E15" s="15"/>
      <c r="F15" s="15">
        <f t="shared" si="0"/>
        <v>0</v>
      </c>
      <c r="G15" s="15"/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/>
      <c r="D16" s="15"/>
      <c r="E16" s="15"/>
      <c r="F16" s="15">
        <f t="shared" si="0"/>
        <v>0</v>
      </c>
      <c r="G16" s="15"/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/>
      <c r="D17" s="15"/>
      <c r="E17" s="15"/>
      <c r="F17" s="15">
        <f t="shared" si="0"/>
        <v>0</v>
      </c>
      <c r="G17" s="15"/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19">
        <f>C12+C13</f>
        <v>0</v>
      </c>
      <c r="D20" s="119">
        <f t="shared" ref="D20:E20" si="6">D12+D13</f>
        <v>0</v>
      </c>
      <c r="E20" s="119">
        <f t="shared" si="6"/>
        <v>0</v>
      </c>
      <c r="F20" s="119">
        <f t="shared" si="0"/>
        <v>0</v>
      </c>
      <c r="G20" s="15">
        <f t="shared" ref="G20" si="7">G12+G13</f>
        <v>0</v>
      </c>
      <c r="H20" s="125" t="e">
        <f t="shared" si="1"/>
        <v>#DIV/0!</v>
      </c>
    </row>
    <row r="21" spans="1:8" ht="25.5">
      <c r="A21" s="13" t="s">
        <v>87</v>
      </c>
      <c r="B21" s="14" t="s">
        <v>194</v>
      </c>
      <c r="C21" s="15"/>
      <c r="D21" s="15"/>
      <c r="E21" s="15"/>
      <c r="F21" s="15">
        <f t="shared" si="0"/>
        <v>0</v>
      </c>
      <c r="G21" s="15"/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19">
        <f>SUM(C21)</f>
        <v>0</v>
      </c>
      <c r="D22" s="119">
        <f t="shared" ref="D22:E22" si="8">SUM(D21)</f>
        <v>0</v>
      </c>
      <c r="E22" s="119">
        <f t="shared" si="8"/>
        <v>0</v>
      </c>
      <c r="F22" s="119">
        <f t="shared" si="0"/>
        <v>0</v>
      </c>
      <c r="G22" s="15">
        <f t="shared" ref="G22" si="9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/>
      <c r="E24" s="15"/>
      <c r="F24" s="15">
        <f t="shared" si="0"/>
        <v>0</v>
      </c>
      <c r="G24" s="15"/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>SUM(C23)</f>
        <v>0</v>
      </c>
      <c r="D25" s="15">
        <f t="shared" ref="D25:E25" si="10">SUM(D23)</f>
        <v>0</v>
      </c>
      <c r="E25" s="15">
        <f t="shared" si="10"/>
        <v>0</v>
      </c>
      <c r="F25" s="15">
        <f t="shared" si="0"/>
        <v>0</v>
      </c>
      <c r="G25" s="15"/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>SUM(C27)</f>
        <v>0</v>
      </c>
      <c r="D26" s="15">
        <f t="shared" ref="D26:E26" si="11">SUM(D27)</f>
        <v>0</v>
      </c>
      <c r="E26" s="15">
        <f t="shared" si="11"/>
        <v>0</v>
      </c>
      <c r="F26" s="15">
        <f t="shared" si="0"/>
        <v>0</v>
      </c>
      <c r="G26" s="15">
        <f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>SUM(C29)</f>
        <v>0</v>
      </c>
      <c r="D28" s="15">
        <f t="shared" ref="D28:G28" si="12">SUM(D29)</f>
        <v>0</v>
      </c>
      <c r="E28" s="15">
        <f t="shared" si="12"/>
        <v>0</v>
      </c>
      <c r="F28" s="15">
        <f t="shared" si="0"/>
        <v>0</v>
      </c>
      <c r="G28" s="15">
        <f t="shared" si="12"/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/>
      <c r="E29" s="15"/>
      <c r="F29" s="15">
        <f t="shared" si="0"/>
        <v>0</v>
      </c>
      <c r="G29" s="15"/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>SUM(C31)</f>
        <v>0</v>
      </c>
      <c r="D30" s="15">
        <f t="shared" ref="D30:G30" si="13">SUM(D31)</f>
        <v>0</v>
      </c>
      <c r="E30" s="15">
        <f t="shared" si="13"/>
        <v>0</v>
      </c>
      <c r="F30" s="15">
        <f t="shared" si="0"/>
        <v>0</v>
      </c>
      <c r="G30" s="15">
        <f t="shared" si="13"/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/>
      <c r="E31" s="15"/>
      <c r="F31" s="15">
        <f t="shared" si="0"/>
        <v>0</v>
      </c>
      <c r="G31" s="15"/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>C25+C26+C28+C30</f>
        <v>0</v>
      </c>
      <c r="D32" s="15">
        <f t="shared" ref="D32:G32" si="14">D25+D26+D28+D30</f>
        <v>0</v>
      </c>
      <c r="E32" s="15">
        <f t="shared" si="14"/>
        <v>0</v>
      </c>
      <c r="F32" s="15">
        <f t="shared" si="0"/>
        <v>0</v>
      </c>
      <c r="G32" s="15">
        <f t="shared" si="14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/>
      <c r="D33" s="15"/>
      <c r="E33" s="15"/>
      <c r="F33" s="15">
        <f t="shared" si="0"/>
        <v>0</v>
      </c>
      <c r="G33" s="15"/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/>
      <c r="D34" s="15"/>
      <c r="E34" s="15"/>
      <c r="F34" s="15">
        <f t="shared" si="0"/>
        <v>0</v>
      </c>
      <c r="G34" s="15"/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/>
      <c r="D35" s="15"/>
      <c r="E35" s="15"/>
      <c r="F35" s="15">
        <f t="shared" si="0"/>
        <v>0</v>
      </c>
      <c r="G35" s="15"/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19">
        <f>C32+C33</f>
        <v>0</v>
      </c>
      <c r="D36" s="119">
        <f t="shared" ref="D36:G36" si="15">D32+D33</f>
        <v>0</v>
      </c>
      <c r="E36" s="119">
        <f t="shared" si="15"/>
        <v>0</v>
      </c>
      <c r="F36" s="119">
        <f t="shared" si="0"/>
        <v>0</v>
      </c>
      <c r="G36" s="119">
        <f t="shared" si="15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/>
      <c r="E40" s="15"/>
      <c r="F40" s="15">
        <f t="shared" si="0"/>
        <v>0</v>
      </c>
      <c r="G40" s="15"/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>
        <v>4304459</v>
      </c>
      <c r="D41" s="15">
        <v>5153000</v>
      </c>
      <c r="E41" s="15"/>
      <c r="F41" s="15">
        <f t="shared" si="0"/>
        <v>5153000</v>
      </c>
      <c r="G41" s="15">
        <v>2845773</v>
      </c>
      <c r="H41" s="124">
        <f t="shared" si="1"/>
        <v>0.55225557927420921</v>
      </c>
    </row>
    <row r="42" spans="1:8">
      <c r="A42" s="13" t="s">
        <v>147</v>
      </c>
      <c r="B42" s="14" t="s">
        <v>231</v>
      </c>
      <c r="C42" s="15">
        <v>1162205</v>
      </c>
      <c r="D42" s="15">
        <v>1391000</v>
      </c>
      <c r="E42" s="15"/>
      <c r="F42" s="15">
        <f t="shared" si="0"/>
        <v>1391000</v>
      </c>
      <c r="G42" s="15">
        <v>768358</v>
      </c>
      <c r="H42" s="124">
        <f t="shared" si="1"/>
        <v>0.55237814521926676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/>
      <c r="D44" s="15"/>
      <c r="E44" s="15"/>
      <c r="F44" s="15">
        <f t="shared" si="0"/>
        <v>0</v>
      </c>
      <c r="G44" s="15"/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>
        <v>11</v>
      </c>
      <c r="D45" s="15"/>
      <c r="E45" s="15">
        <v>1</v>
      </c>
      <c r="F45" s="15">
        <f t="shared" si="0"/>
        <v>1</v>
      </c>
      <c r="G45" s="15">
        <v>1</v>
      </c>
      <c r="H45" s="124">
        <f t="shared" si="1"/>
        <v>1</v>
      </c>
    </row>
    <row r="46" spans="1:8" ht="38.25">
      <c r="A46" s="16" t="s">
        <v>237</v>
      </c>
      <c r="B46" s="17" t="s">
        <v>238</v>
      </c>
      <c r="C46" s="119">
        <f>SUM(C37:C45)</f>
        <v>5466675</v>
      </c>
      <c r="D46" s="119">
        <f t="shared" ref="D46:G46" si="16">SUM(D37:D45)</f>
        <v>6544000</v>
      </c>
      <c r="E46" s="119">
        <f t="shared" si="16"/>
        <v>1</v>
      </c>
      <c r="F46" s="119">
        <f t="shared" si="0"/>
        <v>6544001</v>
      </c>
      <c r="G46" s="119">
        <f t="shared" si="16"/>
        <v>3614132</v>
      </c>
      <c r="H46" s="125">
        <f t="shared" si="1"/>
        <v>0.55228170044595037</v>
      </c>
    </row>
    <row r="47" spans="1:8">
      <c r="A47" s="13" t="s">
        <v>239</v>
      </c>
      <c r="B47" s="14" t="s">
        <v>240</v>
      </c>
      <c r="C47" s="15"/>
      <c r="D47" s="15"/>
      <c r="E47" s="15"/>
      <c r="F47" s="15">
        <f t="shared" si="0"/>
        <v>0</v>
      </c>
      <c r="G47" s="15"/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19">
        <f>SUM(C47)</f>
        <v>0</v>
      </c>
      <c r="D48" s="119">
        <f t="shared" ref="D48:G48" si="17">SUM(D47)</f>
        <v>0</v>
      </c>
      <c r="E48" s="119">
        <f t="shared" si="17"/>
        <v>0</v>
      </c>
      <c r="F48" s="119">
        <f t="shared" si="0"/>
        <v>0</v>
      </c>
      <c r="G48" s="119">
        <f t="shared" si="17"/>
        <v>0</v>
      </c>
      <c r="H48" s="125" t="e">
        <f t="shared" si="1"/>
        <v>#DIV/0!</v>
      </c>
    </row>
    <row r="49" spans="1:8" ht="25.5">
      <c r="A49" s="13" t="s">
        <v>243</v>
      </c>
      <c r="B49" s="14" t="s">
        <v>244</v>
      </c>
      <c r="C49" s="15">
        <f>SUM(C50:C52)</f>
        <v>0</v>
      </c>
      <c r="D49" s="15">
        <f t="shared" ref="D49:G49" si="18">SUM(D50:D52)</f>
        <v>0</v>
      </c>
      <c r="E49" s="15">
        <f t="shared" si="18"/>
        <v>0</v>
      </c>
      <c r="F49" s="15">
        <f t="shared" si="0"/>
        <v>0</v>
      </c>
      <c r="G49" s="15">
        <f t="shared" si="18"/>
        <v>0</v>
      </c>
      <c r="H49" s="124" t="e">
        <f t="shared" si="1"/>
        <v>#DIV/0!</v>
      </c>
    </row>
    <row r="50" spans="1:8">
      <c r="A50" s="13" t="s">
        <v>245</v>
      </c>
      <c r="B50" s="14" t="s">
        <v>246</v>
      </c>
      <c r="C50" s="15"/>
      <c r="D50" s="15"/>
      <c r="E50" s="15"/>
      <c r="F50" s="15">
        <f t="shared" si="0"/>
        <v>0</v>
      </c>
      <c r="G50" s="15"/>
      <c r="H50" s="124" t="e">
        <f t="shared" si="1"/>
        <v>#DIV/0!</v>
      </c>
    </row>
    <row r="51" spans="1:8">
      <c r="A51" s="13" t="s">
        <v>247</v>
      </c>
      <c r="B51" s="14" t="s">
        <v>248</v>
      </c>
      <c r="C51" s="15"/>
      <c r="D51" s="15"/>
      <c r="E51" s="15"/>
      <c r="F51" s="15">
        <f t="shared" si="0"/>
        <v>0</v>
      </c>
      <c r="G51" s="15"/>
      <c r="H51" s="124" t="e">
        <f t="shared" si="1"/>
        <v>#DIV/0!</v>
      </c>
    </row>
    <row r="52" spans="1:8">
      <c r="A52" s="13" t="s">
        <v>249</v>
      </c>
      <c r="B52" s="14" t="s">
        <v>250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 ht="25.5">
      <c r="A53" s="16" t="s">
        <v>251</v>
      </c>
      <c r="B53" s="17" t="s">
        <v>252</v>
      </c>
      <c r="C53" s="119">
        <f>SUM(C49)</f>
        <v>0</v>
      </c>
      <c r="D53" s="119">
        <f t="shared" ref="D53:G53" si="19">SUM(D49)</f>
        <v>0</v>
      </c>
      <c r="E53" s="119">
        <f t="shared" si="19"/>
        <v>0</v>
      </c>
      <c r="F53" s="119">
        <f t="shared" si="0"/>
        <v>0</v>
      </c>
      <c r="G53" s="119">
        <f t="shared" si="19"/>
        <v>0</v>
      </c>
      <c r="H53" s="125" t="e">
        <f t="shared" si="1"/>
        <v>#DIV/0!</v>
      </c>
    </row>
    <row r="54" spans="1:8" ht="25.5">
      <c r="A54" s="16" t="s">
        <v>253</v>
      </c>
      <c r="B54" s="17" t="s">
        <v>254</v>
      </c>
      <c r="C54" s="119">
        <f>C20+C22+C36+C46+C48+C53</f>
        <v>5466675</v>
      </c>
      <c r="D54" s="119">
        <f t="shared" ref="D54:G54" si="20">D20+D22+D36+D46+D48+D53</f>
        <v>6544000</v>
      </c>
      <c r="E54" s="119">
        <f t="shared" si="20"/>
        <v>1</v>
      </c>
      <c r="F54" s="119">
        <f t="shared" si="0"/>
        <v>6544001</v>
      </c>
      <c r="G54" s="119">
        <f t="shared" si="20"/>
        <v>3614132</v>
      </c>
      <c r="H54" s="125">
        <f t="shared" si="1"/>
        <v>0.55228170044595037</v>
      </c>
    </row>
    <row r="55" spans="1:8" ht="25.5">
      <c r="A55" s="13" t="s">
        <v>255</v>
      </c>
      <c r="B55" s="14" t="s">
        <v>256</v>
      </c>
      <c r="C55" s="15">
        <v>2540328</v>
      </c>
      <c r="D55" s="15"/>
      <c r="E55" s="15"/>
      <c r="F55" s="15">
        <f t="shared" si="0"/>
        <v>0</v>
      </c>
      <c r="G55" s="15"/>
      <c r="H55" s="124" t="e">
        <f t="shared" si="1"/>
        <v>#DIV/0!</v>
      </c>
    </row>
    <row r="56" spans="1:8">
      <c r="A56" s="13" t="s">
        <v>163</v>
      </c>
      <c r="B56" s="14" t="s">
        <v>257</v>
      </c>
      <c r="C56" s="15">
        <f>SUM(C55)</f>
        <v>2540328</v>
      </c>
      <c r="D56" s="15">
        <f t="shared" ref="D56:G56" si="21">SUM(D55)</f>
        <v>0</v>
      </c>
      <c r="E56" s="15">
        <f t="shared" si="21"/>
        <v>0</v>
      </c>
      <c r="F56" s="15">
        <f t="shared" si="0"/>
        <v>0</v>
      </c>
      <c r="G56" s="15">
        <f t="shared" si="21"/>
        <v>0</v>
      </c>
      <c r="H56" s="124" t="e">
        <f t="shared" si="1"/>
        <v>#DIV/0!</v>
      </c>
    </row>
    <row r="57" spans="1:8">
      <c r="A57" s="13" t="s">
        <v>258</v>
      </c>
      <c r="B57" s="14" t="s">
        <v>259</v>
      </c>
      <c r="C57" s="15"/>
      <c r="D57" s="15"/>
      <c r="E57" s="15"/>
      <c r="F57" s="15">
        <f t="shared" si="0"/>
        <v>0</v>
      </c>
      <c r="G57" s="15"/>
      <c r="H57" s="124" t="e">
        <f t="shared" si="1"/>
        <v>#DIV/0!</v>
      </c>
    </row>
    <row r="58" spans="1:8">
      <c r="A58" s="13">
        <v>300</v>
      </c>
      <c r="B58" s="19" t="s">
        <v>412</v>
      </c>
      <c r="C58" s="15">
        <v>5126891</v>
      </c>
      <c r="D58" s="15">
        <v>8367000</v>
      </c>
      <c r="E58" s="15"/>
      <c r="F58" s="15">
        <f t="shared" si="0"/>
        <v>8367000</v>
      </c>
      <c r="G58" s="15"/>
      <c r="H58" s="124"/>
    </row>
    <row r="59" spans="1:8" ht="25.5">
      <c r="A59" s="13" t="s">
        <v>260</v>
      </c>
      <c r="B59" s="14" t="s">
        <v>261</v>
      </c>
      <c r="C59" s="15">
        <f>C56+C57+C58</f>
        <v>7667219</v>
      </c>
      <c r="D59" s="15">
        <f t="shared" ref="D59:G59" si="22">D56+D57+D58</f>
        <v>8367000</v>
      </c>
      <c r="E59" s="15">
        <f t="shared" si="22"/>
        <v>0</v>
      </c>
      <c r="F59" s="15">
        <f t="shared" si="0"/>
        <v>8367000</v>
      </c>
      <c r="G59" s="15">
        <f t="shared" si="22"/>
        <v>0</v>
      </c>
      <c r="H59" s="124">
        <f t="shared" si="1"/>
        <v>0</v>
      </c>
    </row>
    <row r="60" spans="1:8" ht="25.5">
      <c r="A60" s="16" t="s">
        <v>262</v>
      </c>
      <c r="B60" s="17" t="s">
        <v>263</v>
      </c>
      <c r="C60" s="119">
        <f>SUM(C59)</f>
        <v>7667219</v>
      </c>
      <c r="D60" s="119">
        <f t="shared" ref="D60:G60" si="23">SUM(D59)</f>
        <v>8367000</v>
      </c>
      <c r="E60" s="119">
        <f t="shared" si="23"/>
        <v>0</v>
      </c>
      <c r="F60" s="119">
        <f t="shared" si="0"/>
        <v>8367000</v>
      </c>
      <c r="G60" s="119">
        <f t="shared" si="23"/>
        <v>0</v>
      </c>
      <c r="H60" s="125">
        <f t="shared" si="1"/>
        <v>0</v>
      </c>
    </row>
    <row r="61" spans="1:8">
      <c r="A61" s="16" t="s">
        <v>264</v>
      </c>
      <c r="B61" s="17" t="s">
        <v>265</v>
      </c>
      <c r="C61" s="119">
        <f>C54+C60</f>
        <v>13133894</v>
      </c>
      <c r="D61" s="119">
        <f t="shared" ref="D61:G61" si="24">D54+D60</f>
        <v>14911000</v>
      </c>
      <c r="E61" s="119">
        <f t="shared" si="24"/>
        <v>1</v>
      </c>
      <c r="F61" s="119">
        <f t="shared" si="0"/>
        <v>14911001</v>
      </c>
      <c r="G61" s="119">
        <f t="shared" si="24"/>
        <v>3614132</v>
      </c>
      <c r="H61" s="125">
        <f t="shared" si="1"/>
        <v>0.24238023993157803</v>
      </c>
    </row>
    <row r="63" spans="1:8" ht="60">
      <c r="A63" s="12" t="s">
        <v>0</v>
      </c>
      <c r="B63" s="12" t="s">
        <v>1</v>
      </c>
      <c r="C63" s="12" t="s">
        <v>269</v>
      </c>
      <c r="D63" s="12" t="s">
        <v>270</v>
      </c>
      <c r="E63" s="12" t="s">
        <v>271</v>
      </c>
      <c r="F63" s="12" t="s">
        <v>457</v>
      </c>
      <c r="G63" s="12" t="s">
        <v>273</v>
      </c>
      <c r="H63" s="123" t="s">
        <v>274</v>
      </c>
    </row>
    <row r="64" spans="1:8" ht="25.5">
      <c r="A64" s="13" t="s">
        <v>31</v>
      </c>
      <c r="B64" s="14" t="s">
        <v>32</v>
      </c>
      <c r="C64" s="15">
        <v>1381287</v>
      </c>
      <c r="D64" s="15">
        <v>1900000</v>
      </c>
      <c r="E64" s="15"/>
      <c r="F64" s="15">
        <f>SUM(D64:E64)</f>
        <v>1900000</v>
      </c>
      <c r="G64" s="15">
        <v>82795</v>
      </c>
      <c r="H64" s="124">
        <f t="shared" si="1"/>
        <v>4.3576315789473685E-2</v>
      </c>
    </row>
    <row r="65" spans="1:8" ht="25.5">
      <c r="A65" s="21" t="s">
        <v>178</v>
      </c>
      <c r="B65" s="14" t="s">
        <v>282</v>
      </c>
      <c r="C65" s="15"/>
      <c r="D65" s="15"/>
      <c r="E65" s="15"/>
      <c r="F65" s="15">
        <f t="shared" ref="F65:F129" si="25">SUM(D65:E65)</f>
        <v>0</v>
      </c>
      <c r="G65" s="15"/>
      <c r="H65" s="124"/>
    </row>
    <row r="66" spans="1:8">
      <c r="A66" s="13" t="s">
        <v>33</v>
      </c>
      <c r="B66" s="14" t="s">
        <v>34</v>
      </c>
      <c r="C66" s="15">
        <v>75000</v>
      </c>
      <c r="D66" s="15">
        <v>60000</v>
      </c>
      <c r="E66" s="15"/>
      <c r="F66" s="15">
        <f t="shared" si="25"/>
        <v>60000</v>
      </c>
      <c r="G66" s="15">
        <v>3790</v>
      </c>
      <c r="H66" s="124">
        <f t="shared" si="1"/>
        <v>6.3166666666666663E-2</v>
      </c>
    </row>
    <row r="67" spans="1:8">
      <c r="A67" s="13" t="s">
        <v>35</v>
      </c>
      <c r="B67" s="14" t="s">
        <v>36</v>
      </c>
      <c r="C67" s="15"/>
      <c r="D67" s="15"/>
      <c r="E67" s="15"/>
      <c r="F67" s="15">
        <f t="shared" si="25"/>
        <v>0</v>
      </c>
      <c r="G67" s="15"/>
      <c r="H67" s="124" t="e">
        <f t="shared" si="1"/>
        <v>#DIV/0!</v>
      </c>
    </row>
    <row r="68" spans="1:8">
      <c r="A68" s="13" t="s">
        <v>37</v>
      </c>
      <c r="B68" s="14" t="s">
        <v>38</v>
      </c>
      <c r="C68" s="15">
        <v>8000</v>
      </c>
      <c r="D68" s="15"/>
      <c r="E68" s="15"/>
      <c r="F68" s="15">
        <f t="shared" si="25"/>
        <v>0</v>
      </c>
      <c r="G68" s="15"/>
      <c r="H68" s="124" t="e">
        <f t="shared" si="1"/>
        <v>#DIV/0!</v>
      </c>
    </row>
    <row r="69" spans="1:8" ht="25.5">
      <c r="A69" s="13" t="s">
        <v>39</v>
      </c>
      <c r="B69" s="14" t="s">
        <v>40</v>
      </c>
      <c r="C69" s="15"/>
      <c r="D69" s="15">
        <v>12000</v>
      </c>
      <c r="E69" s="15"/>
      <c r="F69" s="15">
        <f t="shared" si="25"/>
        <v>12000</v>
      </c>
      <c r="G69" s="15"/>
      <c r="H69" s="124">
        <f t="shared" si="1"/>
        <v>0</v>
      </c>
    </row>
    <row r="70" spans="1:8" ht="25.5">
      <c r="A70" s="13" t="s">
        <v>41</v>
      </c>
      <c r="B70" s="14" t="s">
        <v>42</v>
      </c>
      <c r="C70" s="15">
        <f>SUM(C64:C69)</f>
        <v>1464287</v>
      </c>
      <c r="D70" s="15">
        <f t="shared" ref="D70:G70" si="26">SUM(D64:D69)</f>
        <v>1972000</v>
      </c>
      <c r="E70" s="15">
        <f t="shared" si="26"/>
        <v>0</v>
      </c>
      <c r="F70" s="15">
        <f t="shared" si="25"/>
        <v>1972000</v>
      </c>
      <c r="G70" s="15">
        <f t="shared" si="26"/>
        <v>86585</v>
      </c>
      <c r="H70" s="124">
        <f t="shared" si="1"/>
        <v>4.3907200811359029E-2</v>
      </c>
    </row>
    <row r="71" spans="1:8">
      <c r="A71" s="13" t="s">
        <v>43</v>
      </c>
      <c r="B71" s="14" t="s">
        <v>44</v>
      </c>
      <c r="C71" s="15"/>
      <c r="D71" s="15"/>
      <c r="E71" s="15"/>
      <c r="F71" s="15">
        <f t="shared" si="25"/>
        <v>0</v>
      </c>
      <c r="G71" s="15"/>
      <c r="H71" s="124" t="e">
        <f t="shared" si="1"/>
        <v>#DIV/0!</v>
      </c>
    </row>
    <row r="72" spans="1:8" ht="38.25">
      <c r="A72" s="13" t="s">
        <v>45</v>
      </c>
      <c r="B72" s="14" t="s">
        <v>46</v>
      </c>
      <c r="C72" s="15"/>
      <c r="D72" s="15"/>
      <c r="E72" s="15"/>
      <c r="F72" s="15">
        <f t="shared" si="25"/>
        <v>0</v>
      </c>
      <c r="G72" s="15"/>
      <c r="H72" s="124" t="e">
        <f t="shared" si="1"/>
        <v>#DIV/0!</v>
      </c>
    </row>
    <row r="73" spans="1:8">
      <c r="A73" s="13" t="s">
        <v>47</v>
      </c>
      <c r="B73" s="14" t="s">
        <v>48</v>
      </c>
      <c r="C73" s="15"/>
      <c r="D73" s="15"/>
      <c r="E73" s="15"/>
      <c r="F73" s="15">
        <f t="shared" si="25"/>
        <v>0</v>
      </c>
      <c r="G73" s="15"/>
      <c r="H73" s="124" t="e">
        <f t="shared" ref="H73:H137" si="27">G73/F73</f>
        <v>#DIV/0!</v>
      </c>
    </row>
    <row r="74" spans="1:8">
      <c r="A74" s="13" t="s">
        <v>49</v>
      </c>
      <c r="B74" s="14" t="s">
        <v>50</v>
      </c>
      <c r="C74" s="15">
        <f>SUM(C71:C73)</f>
        <v>0</v>
      </c>
      <c r="D74" s="15">
        <f t="shared" ref="D74:G74" si="28">SUM(D71:D73)</f>
        <v>0</v>
      </c>
      <c r="E74" s="15">
        <f t="shared" si="28"/>
        <v>0</v>
      </c>
      <c r="F74" s="15">
        <f t="shared" si="25"/>
        <v>0</v>
      </c>
      <c r="G74" s="15">
        <f t="shared" si="28"/>
        <v>0</v>
      </c>
      <c r="H74" s="124" t="e">
        <f t="shared" si="27"/>
        <v>#DIV/0!</v>
      </c>
    </row>
    <row r="75" spans="1:8">
      <c r="A75" s="16" t="s">
        <v>51</v>
      </c>
      <c r="B75" s="17" t="s">
        <v>52</v>
      </c>
      <c r="C75" s="119">
        <f>C70+C74</f>
        <v>1464287</v>
      </c>
      <c r="D75" s="119">
        <f t="shared" ref="D75:G75" si="29">D70+D74</f>
        <v>1972000</v>
      </c>
      <c r="E75" s="119">
        <f t="shared" si="29"/>
        <v>0</v>
      </c>
      <c r="F75" s="119">
        <f t="shared" si="25"/>
        <v>1972000</v>
      </c>
      <c r="G75" s="119">
        <f t="shared" si="29"/>
        <v>86585</v>
      </c>
      <c r="H75" s="125">
        <f t="shared" si="27"/>
        <v>4.3907200811359029E-2</v>
      </c>
    </row>
    <row r="76" spans="1:8" ht="25.5">
      <c r="A76" s="16" t="s">
        <v>53</v>
      </c>
      <c r="B76" s="17" t="s">
        <v>54</v>
      </c>
      <c r="C76" s="119">
        <f>SUM(C77:C80)</f>
        <v>401610</v>
      </c>
      <c r="D76" s="119">
        <f t="shared" ref="D76:G76" si="30">SUM(D77:D80)</f>
        <v>440000</v>
      </c>
      <c r="E76" s="119">
        <f t="shared" si="30"/>
        <v>0</v>
      </c>
      <c r="F76" s="119">
        <f t="shared" si="25"/>
        <v>440000</v>
      </c>
      <c r="G76" s="119">
        <f t="shared" si="30"/>
        <v>22743</v>
      </c>
      <c r="H76" s="125">
        <f t="shared" si="27"/>
        <v>5.168863636363636E-2</v>
      </c>
    </row>
    <row r="77" spans="1:8">
      <c r="A77" s="13" t="s">
        <v>55</v>
      </c>
      <c r="B77" s="14" t="s">
        <v>56</v>
      </c>
      <c r="C77" s="15">
        <v>375107</v>
      </c>
      <c r="D77" s="15">
        <v>421000</v>
      </c>
      <c r="E77" s="15"/>
      <c r="F77" s="15">
        <f t="shared" si="25"/>
        <v>421000</v>
      </c>
      <c r="G77" s="15">
        <v>21440</v>
      </c>
      <c r="H77" s="124">
        <f t="shared" si="27"/>
        <v>5.0926365795724467E-2</v>
      </c>
    </row>
    <row r="78" spans="1:8">
      <c r="A78" s="13" t="s">
        <v>57</v>
      </c>
      <c r="B78" s="14" t="s">
        <v>58</v>
      </c>
      <c r="C78" s="15">
        <v>14542</v>
      </c>
      <c r="D78" s="15"/>
      <c r="E78" s="15"/>
      <c r="F78" s="15">
        <f t="shared" si="25"/>
        <v>0</v>
      </c>
      <c r="G78" s="15">
        <v>629</v>
      </c>
      <c r="H78" s="124" t="e">
        <f t="shared" si="27"/>
        <v>#DIV/0!</v>
      </c>
    </row>
    <row r="79" spans="1:8">
      <c r="A79" s="13" t="s">
        <v>59</v>
      </c>
      <c r="B79" s="14" t="s">
        <v>60</v>
      </c>
      <c r="C79" s="15"/>
      <c r="D79" s="15"/>
      <c r="E79" s="15"/>
      <c r="F79" s="15">
        <f t="shared" si="25"/>
        <v>0</v>
      </c>
      <c r="G79" s="15"/>
      <c r="H79" s="124" t="e">
        <f t="shared" si="27"/>
        <v>#DIV/0!</v>
      </c>
    </row>
    <row r="80" spans="1:8" ht="25.5">
      <c r="A80" s="13" t="s">
        <v>61</v>
      </c>
      <c r="B80" s="14" t="s">
        <v>62</v>
      </c>
      <c r="C80" s="15">
        <v>11961</v>
      </c>
      <c r="D80" s="15">
        <v>19000</v>
      </c>
      <c r="E80" s="15"/>
      <c r="F80" s="15">
        <f t="shared" si="25"/>
        <v>19000</v>
      </c>
      <c r="G80" s="15">
        <v>674</v>
      </c>
      <c r="H80" s="124">
        <f t="shared" si="27"/>
        <v>3.5473684210526317E-2</v>
      </c>
    </row>
    <row r="81" spans="1:8">
      <c r="A81" s="13" t="s">
        <v>63</v>
      </c>
      <c r="B81" s="14" t="s">
        <v>64</v>
      </c>
      <c r="C81" s="15"/>
      <c r="D81" s="15">
        <v>5000</v>
      </c>
      <c r="E81" s="15"/>
      <c r="F81" s="15">
        <f t="shared" si="25"/>
        <v>5000</v>
      </c>
      <c r="G81" s="15"/>
      <c r="H81" s="124">
        <f t="shared" si="27"/>
        <v>0</v>
      </c>
    </row>
    <row r="82" spans="1:8">
      <c r="A82" s="13" t="s">
        <v>65</v>
      </c>
      <c r="B82" s="14" t="s">
        <v>66</v>
      </c>
      <c r="C82" s="15">
        <v>32870</v>
      </c>
      <c r="D82" s="15">
        <v>100000</v>
      </c>
      <c r="E82" s="15">
        <v>1</v>
      </c>
      <c r="F82" s="15">
        <f t="shared" si="25"/>
        <v>100001</v>
      </c>
      <c r="G82" s="15">
        <v>1448</v>
      </c>
      <c r="H82" s="124">
        <f t="shared" si="27"/>
        <v>1.4479855201447985E-2</v>
      </c>
    </row>
    <row r="83" spans="1:8">
      <c r="A83" s="13" t="s">
        <v>67</v>
      </c>
      <c r="B83" s="14" t="s">
        <v>68</v>
      </c>
      <c r="C83" s="15">
        <f>SUM(C81:C82)</f>
        <v>32870</v>
      </c>
      <c r="D83" s="15">
        <f t="shared" ref="D83:G83" si="31">SUM(D81:D82)</f>
        <v>105000</v>
      </c>
      <c r="E83" s="15">
        <f t="shared" si="31"/>
        <v>1</v>
      </c>
      <c r="F83" s="15">
        <f t="shared" si="25"/>
        <v>105001</v>
      </c>
      <c r="G83" s="15">
        <f t="shared" si="31"/>
        <v>1448</v>
      </c>
      <c r="H83" s="124">
        <f t="shared" si="27"/>
        <v>1.3790344853858535E-2</v>
      </c>
    </row>
    <row r="84" spans="1:8">
      <c r="A84" s="13" t="s">
        <v>69</v>
      </c>
      <c r="B84" s="14" t="s">
        <v>70</v>
      </c>
      <c r="C84" s="15"/>
      <c r="D84" s="15"/>
      <c r="E84" s="15"/>
      <c r="F84" s="15">
        <f t="shared" si="25"/>
        <v>0</v>
      </c>
      <c r="G84" s="15"/>
      <c r="H84" s="124" t="e">
        <f t="shared" si="27"/>
        <v>#DIV/0!</v>
      </c>
    </row>
    <row r="85" spans="1:8">
      <c r="A85" s="13" t="s">
        <v>71</v>
      </c>
      <c r="B85" s="14" t="s">
        <v>72</v>
      </c>
      <c r="C85" s="15"/>
      <c r="D85" s="15"/>
      <c r="E85" s="15"/>
      <c r="F85" s="15">
        <f t="shared" si="25"/>
        <v>0</v>
      </c>
      <c r="G85" s="15"/>
      <c r="H85" s="124" t="e">
        <f t="shared" si="27"/>
        <v>#DIV/0!</v>
      </c>
    </row>
    <row r="86" spans="1:8">
      <c r="A86" s="13" t="s">
        <v>73</v>
      </c>
      <c r="B86" s="14" t="s">
        <v>74</v>
      </c>
      <c r="C86" s="15">
        <f>SUM(C84:C85)</f>
        <v>0</v>
      </c>
      <c r="D86" s="15">
        <f t="shared" ref="D86:G86" si="32">SUM(D84:D85)</f>
        <v>0</v>
      </c>
      <c r="E86" s="15">
        <f t="shared" si="32"/>
        <v>0</v>
      </c>
      <c r="F86" s="15">
        <f t="shared" si="25"/>
        <v>0</v>
      </c>
      <c r="G86" s="15">
        <f t="shared" si="32"/>
        <v>0</v>
      </c>
      <c r="H86" s="124" t="e">
        <f t="shared" si="27"/>
        <v>#DIV/0!</v>
      </c>
    </row>
    <row r="87" spans="1:8">
      <c r="A87" s="13" t="s">
        <v>75</v>
      </c>
      <c r="B87" s="14" t="s">
        <v>76</v>
      </c>
      <c r="C87" s="15"/>
      <c r="D87" s="15"/>
      <c r="E87" s="15"/>
      <c r="F87" s="15">
        <f t="shared" si="25"/>
        <v>0</v>
      </c>
      <c r="G87" s="15"/>
      <c r="H87" s="124" t="e">
        <f t="shared" si="27"/>
        <v>#DIV/0!</v>
      </c>
    </row>
    <row r="88" spans="1:8">
      <c r="A88" s="13" t="s">
        <v>77</v>
      </c>
      <c r="B88" s="14" t="s">
        <v>78</v>
      </c>
      <c r="C88" s="15">
        <v>8258455</v>
      </c>
      <c r="D88" s="15">
        <v>9737000</v>
      </c>
      <c r="E88" s="15"/>
      <c r="F88" s="15">
        <f t="shared" si="25"/>
        <v>9737000</v>
      </c>
      <c r="G88" s="15">
        <v>4245937</v>
      </c>
      <c r="H88" s="124">
        <f t="shared" si="27"/>
        <v>0.43606213412755468</v>
      </c>
    </row>
    <row r="89" spans="1:8">
      <c r="A89" s="20" t="s">
        <v>276</v>
      </c>
      <c r="B89" s="19" t="s">
        <v>277</v>
      </c>
      <c r="C89" s="15"/>
      <c r="D89" s="15"/>
      <c r="E89" s="15"/>
      <c r="F89" s="15">
        <f t="shared" si="25"/>
        <v>0</v>
      </c>
      <c r="G89" s="15"/>
      <c r="H89" s="124"/>
    </row>
    <row r="90" spans="1:8">
      <c r="A90" s="13" t="s">
        <v>79</v>
      </c>
      <c r="B90" s="14" t="s">
        <v>80</v>
      </c>
      <c r="C90" s="15"/>
      <c r="D90" s="15"/>
      <c r="E90" s="15"/>
      <c r="F90" s="15">
        <f t="shared" si="25"/>
        <v>0</v>
      </c>
      <c r="G90" s="15"/>
      <c r="H90" s="124" t="e">
        <f t="shared" si="27"/>
        <v>#DIV/0!</v>
      </c>
    </row>
    <row r="91" spans="1:8">
      <c r="A91" s="13" t="s">
        <v>81</v>
      </c>
      <c r="B91" s="14" t="s">
        <v>82</v>
      </c>
      <c r="C91" s="15"/>
      <c r="D91" s="15"/>
      <c r="E91" s="15"/>
      <c r="F91" s="15">
        <f t="shared" si="25"/>
        <v>0</v>
      </c>
      <c r="G91" s="15"/>
      <c r="H91" s="124" t="e">
        <f t="shared" si="27"/>
        <v>#DIV/0!</v>
      </c>
    </row>
    <row r="92" spans="1:8">
      <c r="A92" s="13" t="s">
        <v>83</v>
      </c>
      <c r="B92" s="14" t="s">
        <v>84</v>
      </c>
      <c r="C92" s="15"/>
      <c r="D92" s="15"/>
      <c r="E92" s="15"/>
      <c r="F92" s="15">
        <f t="shared" si="25"/>
        <v>0</v>
      </c>
      <c r="G92" s="15"/>
      <c r="H92" s="124" t="e">
        <f t="shared" si="27"/>
        <v>#DIV/0!</v>
      </c>
    </row>
    <row r="93" spans="1:8" ht="25.5">
      <c r="A93" s="13" t="s">
        <v>85</v>
      </c>
      <c r="B93" s="14" t="s">
        <v>86</v>
      </c>
      <c r="C93" s="15"/>
      <c r="D93" s="15"/>
      <c r="E93" s="15"/>
      <c r="F93" s="15">
        <f t="shared" si="25"/>
        <v>0</v>
      </c>
      <c r="G93" s="15"/>
      <c r="H93" s="124" t="e">
        <f t="shared" si="27"/>
        <v>#DIV/0!</v>
      </c>
    </row>
    <row r="94" spans="1:8">
      <c r="A94" s="13" t="s">
        <v>87</v>
      </c>
      <c r="B94" s="14" t="s">
        <v>88</v>
      </c>
      <c r="C94" s="15">
        <v>1700</v>
      </c>
      <c r="D94" s="15"/>
      <c r="E94" s="15"/>
      <c r="F94" s="15">
        <f t="shared" si="25"/>
        <v>0</v>
      </c>
      <c r="G94" s="15"/>
      <c r="H94" s="124" t="e">
        <f t="shared" si="27"/>
        <v>#DIV/0!</v>
      </c>
    </row>
    <row r="95" spans="1:8">
      <c r="A95" s="13" t="s">
        <v>89</v>
      </c>
      <c r="B95" s="14" t="s">
        <v>90</v>
      </c>
      <c r="C95" s="15"/>
      <c r="D95" s="15"/>
      <c r="E95" s="15"/>
      <c r="F95" s="15">
        <f t="shared" si="25"/>
        <v>0</v>
      </c>
      <c r="G95" s="15"/>
      <c r="H95" s="124" t="e">
        <f t="shared" si="27"/>
        <v>#DIV/0!</v>
      </c>
    </row>
    <row r="96" spans="1:8" ht="25.5">
      <c r="A96" s="13" t="s">
        <v>91</v>
      </c>
      <c r="B96" s="14" t="s">
        <v>92</v>
      </c>
      <c r="C96" s="15">
        <f>C87+C88+C89+C90+C91+C93+C94</f>
        <v>8260155</v>
      </c>
      <c r="D96" s="15">
        <f t="shared" ref="D96:G96" si="33">D87+D88+D89+D90+D91+D93+D94</f>
        <v>9737000</v>
      </c>
      <c r="E96" s="15">
        <f t="shared" si="33"/>
        <v>0</v>
      </c>
      <c r="F96" s="15">
        <f t="shared" si="25"/>
        <v>9737000</v>
      </c>
      <c r="G96" s="15">
        <f t="shared" si="33"/>
        <v>4245937</v>
      </c>
      <c r="H96" s="124">
        <f t="shared" si="27"/>
        <v>0.43606213412755468</v>
      </c>
    </row>
    <row r="97" spans="1:8">
      <c r="A97" s="13" t="s">
        <v>280</v>
      </c>
      <c r="B97" s="14" t="s">
        <v>281</v>
      </c>
      <c r="C97" s="15">
        <f>Igazg.!C101+Adók!C100+Temető!C99+Önk.vagyon!C99+Múzeum!C99+Rendezvények!C99+Közter.rend.!C99+Közf.!C99+Közutak!C100+Közvil.!C99+Zöldter.!C99+'Város-község'!C99+Háziorvos!C99+Védőnő!C99+Sport!C99+Könyvtár!C99+'Művelődési H.'!C99+'Isk.1-4.'!C99+'Isk.5-8.'!C99+Gyermekétk.!C99+Családvéd.!C99+Gyermekvéd.!C99+Családtám.!C99+'Egyéb szoc.'!C99+'Közösségi Ház'!C99</f>
        <v>0</v>
      </c>
      <c r="D97" s="15"/>
      <c r="E97" s="15">
        <f>Igazg.!E101+Adók!E100+Temető!E99+Önk.vagyon!E99+Múzeum!E99+Rendezvények!E99+Közter.rend.!E99+Közf.!E99+Közutak!E100+Közvil.!E99+Zöldter.!E99+'Város-község'!E99+Háziorvos!E99+Védőnő!E99+Sport!E99+Könyvtár!E99+'Művelődési H.'!E99+'Isk.1-4.'!E99+'Isk.5-8.'!E99+Gyermekétk.!E99+Családvéd.!E99+Gyermekvéd.!E99+Családtám.!E99+'Egyéb szoc.'!E99+'Közösségi Ház'!E99</f>
        <v>0</v>
      </c>
      <c r="F97" s="15">
        <f t="shared" si="25"/>
        <v>0</v>
      </c>
      <c r="G97" s="15">
        <v>0</v>
      </c>
      <c r="H97" s="124"/>
    </row>
    <row r="98" spans="1:8">
      <c r="A98" s="13" t="s">
        <v>93</v>
      </c>
      <c r="B98" s="14" t="s">
        <v>94</v>
      </c>
      <c r="C98" s="15"/>
      <c r="D98" s="15"/>
      <c r="E98" s="15"/>
      <c r="F98" s="15">
        <f t="shared" si="25"/>
        <v>0</v>
      </c>
      <c r="G98" s="15"/>
      <c r="H98" s="124" t="e">
        <f t="shared" si="27"/>
        <v>#DIV/0!</v>
      </c>
    </row>
    <row r="99" spans="1:8" ht="25.5">
      <c r="A99" s="13" t="s">
        <v>95</v>
      </c>
      <c r="B99" s="14" t="s">
        <v>96</v>
      </c>
      <c r="C99" s="15">
        <f>SUM(C97:C98)</f>
        <v>0</v>
      </c>
      <c r="D99" s="15">
        <f t="shared" ref="D99:G99" si="34">SUM(D97:D98)</f>
        <v>0</v>
      </c>
      <c r="E99" s="15">
        <f t="shared" si="34"/>
        <v>0</v>
      </c>
      <c r="F99" s="15">
        <f t="shared" si="25"/>
        <v>0</v>
      </c>
      <c r="G99" s="15">
        <f t="shared" si="34"/>
        <v>0</v>
      </c>
      <c r="H99" s="124" t="e">
        <f t="shared" si="27"/>
        <v>#DIV/0!</v>
      </c>
    </row>
    <row r="100" spans="1:8" ht="25.5">
      <c r="A100" s="13" t="s">
        <v>97</v>
      </c>
      <c r="B100" s="14" t="s">
        <v>98</v>
      </c>
      <c r="C100" s="15">
        <v>2238659</v>
      </c>
      <c r="D100" s="15">
        <v>2657000</v>
      </c>
      <c r="E100" s="15"/>
      <c r="F100" s="15">
        <f t="shared" si="25"/>
        <v>2657000</v>
      </c>
      <c r="G100" s="15">
        <v>1146794</v>
      </c>
      <c r="H100" s="124">
        <f t="shared" si="27"/>
        <v>0.43161234474971771</v>
      </c>
    </row>
    <row r="101" spans="1:8" s="121" customFormat="1">
      <c r="A101" s="13">
        <v>52</v>
      </c>
      <c r="B101" s="14" t="s">
        <v>458</v>
      </c>
      <c r="C101" s="15"/>
      <c r="D101" s="15"/>
      <c r="E101" s="15"/>
      <c r="F101" s="15">
        <f t="shared" si="25"/>
        <v>0</v>
      </c>
      <c r="G101" s="15"/>
      <c r="H101" s="124" t="e">
        <f t="shared" si="27"/>
        <v>#DIV/0!</v>
      </c>
    </row>
    <row r="102" spans="1:8">
      <c r="A102" s="13" t="s">
        <v>99</v>
      </c>
      <c r="B102" s="14" t="s">
        <v>100</v>
      </c>
      <c r="C102" s="15">
        <v>12</v>
      </c>
      <c r="D102" s="15"/>
      <c r="E102" s="15"/>
      <c r="F102" s="15">
        <f t="shared" si="25"/>
        <v>0</v>
      </c>
      <c r="G102" s="15"/>
      <c r="H102" s="124" t="e">
        <f t="shared" si="27"/>
        <v>#DIV/0!</v>
      </c>
    </row>
    <row r="103" spans="1:8" ht="25.5">
      <c r="A103" s="13" t="s">
        <v>101</v>
      </c>
      <c r="B103" s="14" t="s">
        <v>102</v>
      </c>
      <c r="C103" s="15">
        <f>SUM(C100:C102)</f>
        <v>2238671</v>
      </c>
      <c r="D103" s="15">
        <f t="shared" ref="D103:G103" si="35">SUM(D100:D102)</f>
        <v>2657000</v>
      </c>
      <c r="E103" s="15">
        <f t="shared" si="35"/>
        <v>0</v>
      </c>
      <c r="F103" s="15">
        <f t="shared" si="25"/>
        <v>2657000</v>
      </c>
      <c r="G103" s="15">
        <f t="shared" si="35"/>
        <v>1146794</v>
      </c>
      <c r="H103" s="124">
        <f t="shared" si="27"/>
        <v>0.43161234474971771</v>
      </c>
    </row>
    <row r="104" spans="1:8">
      <c r="A104" s="16" t="s">
        <v>103</v>
      </c>
      <c r="B104" s="17" t="s">
        <v>104</v>
      </c>
      <c r="C104" s="119">
        <f>C83+C86+C96+C99+C103</f>
        <v>10531696</v>
      </c>
      <c r="D104" s="119">
        <f t="shared" ref="D104:G104" si="36">D83+D86+D96+D99+D103</f>
        <v>12499000</v>
      </c>
      <c r="E104" s="119">
        <f t="shared" si="36"/>
        <v>1</v>
      </c>
      <c r="F104" s="119">
        <f t="shared" si="25"/>
        <v>12499001</v>
      </c>
      <c r="G104" s="119">
        <f t="shared" si="36"/>
        <v>5394179</v>
      </c>
      <c r="H104" s="125">
        <f t="shared" si="27"/>
        <v>0.4315688109793735</v>
      </c>
    </row>
    <row r="105" spans="1:8">
      <c r="A105" s="13" t="s">
        <v>105</v>
      </c>
      <c r="B105" s="14" t="s">
        <v>106</v>
      </c>
      <c r="C105" s="15">
        <f>SUM(C106)</f>
        <v>0</v>
      </c>
      <c r="D105" s="15">
        <f t="shared" ref="D105:G105" si="37">SUM(D106)</f>
        <v>0</v>
      </c>
      <c r="E105" s="15">
        <f t="shared" si="37"/>
        <v>0</v>
      </c>
      <c r="F105" s="15">
        <f t="shared" si="25"/>
        <v>0</v>
      </c>
      <c r="G105" s="15">
        <f t="shared" si="37"/>
        <v>0</v>
      </c>
      <c r="H105" s="124" t="e">
        <f t="shared" si="27"/>
        <v>#DIV/0!</v>
      </c>
    </row>
    <row r="106" spans="1:8" ht="25.5">
      <c r="A106" s="13" t="s">
        <v>107</v>
      </c>
      <c r="B106" s="14" t="s">
        <v>108</v>
      </c>
      <c r="C106" s="15"/>
      <c r="D106" s="15"/>
      <c r="E106" s="15"/>
      <c r="F106" s="15">
        <f t="shared" si="25"/>
        <v>0</v>
      </c>
      <c r="G106" s="15"/>
      <c r="H106" s="124" t="e">
        <f t="shared" si="27"/>
        <v>#DIV/0!</v>
      </c>
    </row>
    <row r="107" spans="1:8" ht="25.5">
      <c r="A107" s="13" t="s">
        <v>109</v>
      </c>
      <c r="B107" s="14" t="s">
        <v>110</v>
      </c>
      <c r="C107" s="15"/>
      <c r="D107" s="15"/>
      <c r="E107" s="15"/>
      <c r="F107" s="15">
        <f t="shared" si="25"/>
        <v>0</v>
      </c>
      <c r="G107" s="15"/>
      <c r="H107" s="124" t="e">
        <f t="shared" si="27"/>
        <v>#DIV/0!</v>
      </c>
    </row>
    <row r="108" spans="1:8" ht="25.5">
      <c r="A108" s="13" t="s">
        <v>111</v>
      </c>
      <c r="B108" s="14" t="s">
        <v>112</v>
      </c>
      <c r="C108" s="15"/>
      <c r="D108" s="15"/>
      <c r="E108" s="15"/>
      <c r="F108" s="15">
        <f t="shared" si="25"/>
        <v>0</v>
      </c>
      <c r="G108" s="15"/>
      <c r="H108" s="124" t="e">
        <f t="shared" si="27"/>
        <v>#DIV/0!</v>
      </c>
    </row>
    <row r="109" spans="1:8">
      <c r="A109" s="13" t="s">
        <v>113</v>
      </c>
      <c r="B109" s="14" t="s">
        <v>114</v>
      </c>
      <c r="C109" s="15"/>
      <c r="D109" s="15"/>
      <c r="E109" s="15"/>
      <c r="F109" s="15">
        <f t="shared" si="25"/>
        <v>0</v>
      </c>
      <c r="G109" s="15"/>
      <c r="H109" s="124" t="e">
        <f t="shared" si="27"/>
        <v>#DIV/0!</v>
      </c>
    </row>
    <row r="110" spans="1:8" ht="38.25">
      <c r="A110" s="13" t="s">
        <v>115</v>
      </c>
      <c r="B110" s="14" t="s">
        <v>116</v>
      </c>
      <c r="C110" s="15"/>
      <c r="D110" s="15"/>
      <c r="E110" s="15"/>
      <c r="F110" s="15">
        <f t="shared" si="25"/>
        <v>0</v>
      </c>
      <c r="G110" s="15"/>
      <c r="H110" s="124" t="e">
        <f t="shared" si="27"/>
        <v>#DIV/0!</v>
      </c>
    </row>
    <row r="111" spans="1:8" ht="25.5">
      <c r="A111" s="16" t="s">
        <v>117</v>
      </c>
      <c r="B111" s="17" t="s">
        <v>118</v>
      </c>
      <c r="C111" s="119">
        <f>C105+C107</f>
        <v>0</v>
      </c>
      <c r="D111" s="119">
        <f t="shared" ref="D111:G111" si="38">D105+D107</f>
        <v>0</v>
      </c>
      <c r="E111" s="119">
        <f t="shared" si="38"/>
        <v>0</v>
      </c>
      <c r="F111" s="119">
        <f t="shared" si="25"/>
        <v>0</v>
      </c>
      <c r="G111" s="119">
        <f t="shared" si="38"/>
        <v>0</v>
      </c>
      <c r="H111" s="125" t="e">
        <f t="shared" si="27"/>
        <v>#DIV/0!</v>
      </c>
    </row>
    <row r="112" spans="1:8" ht="25.5">
      <c r="A112" s="13" t="s">
        <v>119</v>
      </c>
      <c r="B112" s="14" t="s">
        <v>120</v>
      </c>
      <c r="C112" s="15"/>
      <c r="D112" s="15"/>
      <c r="E112" s="15"/>
      <c r="F112" s="15">
        <f t="shared" si="25"/>
        <v>0</v>
      </c>
      <c r="G112" s="15"/>
      <c r="H112" s="124" t="e">
        <f t="shared" si="27"/>
        <v>#DIV/0!</v>
      </c>
    </row>
    <row r="113" spans="1:8" ht="25.5">
      <c r="A113" s="13" t="s">
        <v>121</v>
      </c>
      <c r="B113" s="14" t="s">
        <v>122</v>
      </c>
      <c r="C113" s="15"/>
      <c r="D113" s="15"/>
      <c r="E113" s="15"/>
      <c r="F113" s="15">
        <f t="shared" si="25"/>
        <v>0</v>
      </c>
      <c r="G113" s="15"/>
      <c r="H113" s="124" t="e">
        <f t="shared" si="27"/>
        <v>#DIV/0!</v>
      </c>
    </row>
    <row r="114" spans="1:8" ht="25.5">
      <c r="A114" s="13" t="s">
        <v>123</v>
      </c>
      <c r="B114" s="14" t="s">
        <v>124</v>
      </c>
      <c r="C114" s="15">
        <f>SUM(C112:C113)</f>
        <v>0</v>
      </c>
      <c r="D114" s="15">
        <f t="shared" ref="D114:G114" si="39">SUM(D112:D113)</f>
        <v>0</v>
      </c>
      <c r="E114" s="15">
        <f t="shared" si="39"/>
        <v>0</v>
      </c>
      <c r="F114" s="15">
        <f t="shared" si="25"/>
        <v>0</v>
      </c>
      <c r="G114" s="15">
        <f t="shared" si="39"/>
        <v>0</v>
      </c>
      <c r="H114" s="124" t="e">
        <f t="shared" si="27"/>
        <v>#DIV/0!</v>
      </c>
    </row>
    <row r="115" spans="1:8" ht="25.5">
      <c r="A115" s="13" t="s">
        <v>125</v>
      </c>
      <c r="B115" s="14" t="s">
        <v>126</v>
      </c>
      <c r="C115" s="15">
        <f>SUM(C116)</f>
        <v>0</v>
      </c>
      <c r="D115" s="15">
        <f t="shared" ref="D115:G115" si="40">SUM(D116)</f>
        <v>0</v>
      </c>
      <c r="E115" s="15">
        <f t="shared" si="40"/>
        <v>0</v>
      </c>
      <c r="F115" s="15">
        <f t="shared" si="25"/>
        <v>0</v>
      </c>
      <c r="G115" s="15">
        <f t="shared" si="40"/>
        <v>0</v>
      </c>
      <c r="H115" s="124" t="e">
        <f t="shared" si="27"/>
        <v>#DIV/0!</v>
      </c>
    </row>
    <row r="116" spans="1:8" ht="25.5">
      <c r="A116" s="13" t="s">
        <v>127</v>
      </c>
      <c r="B116" s="14" t="s">
        <v>128</v>
      </c>
      <c r="C116" s="15"/>
      <c r="D116" s="15"/>
      <c r="E116" s="15"/>
      <c r="F116" s="15">
        <f t="shared" si="25"/>
        <v>0</v>
      </c>
      <c r="G116" s="15"/>
      <c r="H116" s="124" t="e">
        <f t="shared" si="27"/>
        <v>#DIV/0!</v>
      </c>
    </row>
    <row r="117" spans="1:8" ht="25.5">
      <c r="A117" s="13" t="s">
        <v>129</v>
      </c>
      <c r="B117" s="14" t="s">
        <v>130</v>
      </c>
      <c r="C117" s="15">
        <f>SUM(C118:C120)</f>
        <v>0</v>
      </c>
      <c r="D117" s="15">
        <f t="shared" ref="D117:G117" si="41">SUM(D118:D120)</f>
        <v>0</v>
      </c>
      <c r="E117" s="15">
        <f t="shared" si="41"/>
        <v>0</v>
      </c>
      <c r="F117" s="15">
        <f t="shared" si="25"/>
        <v>0</v>
      </c>
      <c r="G117" s="15">
        <f t="shared" si="41"/>
        <v>0</v>
      </c>
      <c r="H117" s="124" t="e">
        <f t="shared" si="27"/>
        <v>#DIV/0!</v>
      </c>
    </row>
    <row r="118" spans="1:8">
      <c r="A118" s="13" t="s">
        <v>131</v>
      </c>
      <c r="B118" s="14" t="s">
        <v>132</v>
      </c>
      <c r="C118" s="15"/>
      <c r="D118" s="15"/>
      <c r="E118" s="15"/>
      <c r="F118" s="15">
        <f t="shared" si="25"/>
        <v>0</v>
      </c>
      <c r="G118" s="15"/>
      <c r="H118" s="124" t="e">
        <f t="shared" si="27"/>
        <v>#DIV/0!</v>
      </c>
    </row>
    <row r="119" spans="1:8">
      <c r="A119" s="13" t="s">
        <v>133</v>
      </c>
      <c r="B119" s="14" t="s">
        <v>134</v>
      </c>
      <c r="C119" s="15"/>
      <c r="D119" s="15"/>
      <c r="E119" s="15"/>
      <c r="F119" s="15">
        <f t="shared" si="25"/>
        <v>0</v>
      </c>
      <c r="G119" s="15"/>
      <c r="H119" s="124" t="e">
        <f t="shared" si="27"/>
        <v>#DIV/0!</v>
      </c>
    </row>
    <row r="120" spans="1:8">
      <c r="A120" s="13" t="s">
        <v>135</v>
      </c>
      <c r="B120" s="14" t="s">
        <v>136</v>
      </c>
      <c r="C120" s="15"/>
      <c r="D120" s="15"/>
      <c r="E120" s="15"/>
      <c r="F120" s="15">
        <f t="shared" si="25"/>
        <v>0</v>
      </c>
      <c r="G120" s="15"/>
      <c r="H120" s="124" t="e">
        <f t="shared" si="27"/>
        <v>#DIV/0!</v>
      </c>
    </row>
    <row r="121" spans="1:8">
      <c r="A121" s="13">
        <v>188</v>
      </c>
      <c r="B121" s="14" t="s">
        <v>275</v>
      </c>
      <c r="C121" s="15">
        <f>Igazg.!C126+Adók!C124+Temető!C123+Önk.vagyon!C123+Múzeum!C123+Rendezvények!C123+Közter.rend.!C123+Közf.!C123+Közutak!C124+Közvil.!C123+Zöldter.!C123+'Város-község'!C123+Háziorvos!C123+Védőnő!C123+Sport!C123+Könyvtár!C123+'Művelődési H.'!C123+'Isk.1-4.'!C123+'Isk.5-8.'!C123+Gyermekétk.!C123+Családvéd.!C123+Gyermekvéd.!C123+Családtám.!C123+'Egyéb szoc.'!C123+'Közösségi Ház'!C123</f>
        <v>0</v>
      </c>
      <c r="D121" s="15"/>
      <c r="E121" s="15">
        <v>0</v>
      </c>
      <c r="F121" s="15">
        <f t="shared" si="25"/>
        <v>0</v>
      </c>
      <c r="G121" s="15">
        <f>Igazg.!G126+Adók!G124+Temető!G123+Önk.vagyon!G123+Múzeum!G123+Rendezvények!G123+Közter.rend.!G123+Közf.!G123+Közutak!G124+Közvil.!G123+Zöldter.!G123+'Város-község'!G123+Háziorvos!G123+Védőnő!G123+Sport!G123+Könyvtár!G123+'Művelődési H.'!G123+'Isk.1-4.'!G123+'Isk.5-8.'!G123+Gyermekétk.!G123+Családvéd.!G123+Gyermekvéd.!G123+Családtám.!G123+'Egyéb szoc.'!G123+'Közösségi Ház'!G123</f>
        <v>0</v>
      </c>
      <c r="H121" s="124"/>
    </row>
    <row r="122" spans="1:8" ht="38.25">
      <c r="A122" s="16" t="s">
        <v>137</v>
      </c>
      <c r="B122" s="17" t="s">
        <v>138</v>
      </c>
      <c r="C122" s="119">
        <f>C114+C115+C117+C121</f>
        <v>0</v>
      </c>
      <c r="D122" s="119">
        <f t="shared" ref="D122:G122" si="42">D114+D115+D117+D121</f>
        <v>0</v>
      </c>
      <c r="E122" s="119">
        <f t="shared" si="42"/>
        <v>0</v>
      </c>
      <c r="F122" s="119">
        <f t="shared" si="25"/>
        <v>0</v>
      </c>
      <c r="G122" s="119">
        <f t="shared" si="42"/>
        <v>0</v>
      </c>
      <c r="H122" s="125" t="e">
        <f t="shared" si="27"/>
        <v>#DIV/0!</v>
      </c>
    </row>
    <row r="123" spans="1:8">
      <c r="A123" s="13" t="s">
        <v>139</v>
      </c>
      <c r="B123" s="14" t="s">
        <v>140</v>
      </c>
      <c r="C123" s="15"/>
      <c r="D123" s="15"/>
      <c r="E123" s="15"/>
      <c r="F123" s="15">
        <f t="shared" si="25"/>
        <v>0</v>
      </c>
      <c r="G123" s="15"/>
      <c r="H123" s="124" t="e">
        <f t="shared" si="27"/>
        <v>#DIV/0!</v>
      </c>
    </row>
    <row r="124" spans="1:8" ht="25.5">
      <c r="A124" s="13" t="s">
        <v>141</v>
      </c>
      <c r="B124" s="14" t="s">
        <v>142</v>
      </c>
      <c r="C124" s="15"/>
      <c r="D124" s="15"/>
      <c r="E124" s="15"/>
      <c r="F124" s="15">
        <f t="shared" si="25"/>
        <v>0</v>
      </c>
      <c r="G124" s="15"/>
      <c r="H124" s="124" t="e">
        <f t="shared" si="27"/>
        <v>#DIV/0!</v>
      </c>
    </row>
    <row r="125" spans="1:8" ht="25.5">
      <c r="A125" s="13" t="s">
        <v>143</v>
      </c>
      <c r="B125" s="14" t="s">
        <v>144</v>
      </c>
      <c r="C125" s="15"/>
      <c r="D125" s="15"/>
      <c r="E125" s="15"/>
      <c r="F125" s="15">
        <f t="shared" si="25"/>
        <v>0</v>
      </c>
      <c r="G125" s="15"/>
      <c r="H125" s="124" t="e">
        <f t="shared" si="27"/>
        <v>#DIV/0!</v>
      </c>
    </row>
    <row r="126" spans="1:8" ht="25.5">
      <c r="A126" s="13" t="s">
        <v>145</v>
      </c>
      <c r="B126" s="14" t="s">
        <v>146</v>
      </c>
      <c r="C126" s="15"/>
      <c r="D126" s="15"/>
      <c r="E126" s="15"/>
      <c r="F126" s="15">
        <f t="shared" si="25"/>
        <v>0</v>
      </c>
      <c r="G126" s="15"/>
      <c r="H126" s="124" t="e">
        <f t="shared" si="27"/>
        <v>#DIV/0!</v>
      </c>
    </row>
    <row r="127" spans="1:8">
      <c r="A127" s="16" t="s">
        <v>147</v>
      </c>
      <c r="B127" s="17" t="s">
        <v>148</v>
      </c>
      <c r="C127" s="119">
        <f>SUM(C123:C126)</f>
        <v>0</v>
      </c>
      <c r="D127" s="119">
        <f t="shared" ref="D127:G127" si="43">SUM(D123:D126)</f>
        <v>0</v>
      </c>
      <c r="E127" s="119">
        <f t="shared" si="43"/>
        <v>0</v>
      </c>
      <c r="F127" s="119">
        <f t="shared" si="25"/>
        <v>0</v>
      </c>
      <c r="G127" s="119">
        <f t="shared" si="43"/>
        <v>0</v>
      </c>
      <c r="H127" s="125" t="e">
        <f t="shared" si="27"/>
        <v>#DIV/0!</v>
      </c>
    </row>
    <row r="128" spans="1:8">
      <c r="A128" s="13" t="s">
        <v>149</v>
      </c>
      <c r="B128" s="14" t="s">
        <v>150</v>
      </c>
      <c r="C128" s="15"/>
      <c r="D128" s="15"/>
      <c r="E128" s="15"/>
      <c r="F128" s="15">
        <f t="shared" si="25"/>
        <v>0</v>
      </c>
      <c r="G128" s="15"/>
      <c r="H128" s="124" t="e">
        <f t="shared" si="27"/>
        <v>#DIV/0!</v>
      </c>
    </row>
    <row r="129" spans="1:8">
      <c r="A129" s="13" t="s">
        <v>151</v>
      </c>
      <c r="B129" s="14" t="s">
        <v>152</v>
      </c>
      <c r="C129" s="15"/>
      <c r="D129" s="15"/>
      <c r="E129" s="15"/>
      <c r="F129" s="15">
        <f t="shared" si="25"/>
        <v>0</v>
      </c>
      <c r="G129" s="15"/>
      <c r="H129" s="124" t="e">
        <f t="shared" si="27"/>
        <v>#DIV/0!</v>
      </c>
    </row>
    <row r="130" spans="1:8" ht="25.5">
      <c r="A130" s="13" t="s">
        <v>153</v>
      </c>
      <c r="B130" s="14" t="s">
        <v>154</v>
      </c>
      <c r="C130" s="15"/>
      <c r="D130" s="15"/>
      <c r="E130" s="15"/>
      <c r="F130" s="15">
        <f t="shared" ref="F130:F137" si="44">SUM(D130:E130)</f>
        <v>0</v>
      </c>
      <c r="G130" s="15"/>
      <c r="H130" s="124" t="e">
        <f t="shared" si="27"/>
        <v>#DIV/0!</v>
      </c>
    </row>
    <row r="131" spans="1:8">
      <c r="A131" s="16" t="s">
        <v>155</v>
      </c>
      <c r="B131" s="17" t="s">
        <v>156</v>
      </c>
      <c r="C131" s="119">
        <f>SUM(C128:C130)</f>
        <v>0</v>
      </c>
      <c r="D131" s="119">
        <f t="shared" ref="D131:G131" si="45">SUM(D128:D130)</f>
        <v>0</v>
      </c>
      <c r="E131" s="119">
        <f t="shared" si="45"/>
        <v>0</v>
      </c>
      <c r="F131" s="119">
        <f t="shared" si="44"/>
        <v>0</v>
      </c>
      <c r="G131" s="119">
        <f t="shared" si="45"/>
        <v>0</v>
      </c>
      <c r="H131" s="125" t="e">
        <f t="shared" si="27"/>
        <v>#DIV/0!</v>
      </c>
    </row>
    <row r="132" spans="1:8" ht="25.5">
      <c r="A132" s="16" t="s">
        <v>157</v>
      </c>
      <c r="B132" s="17" t="s">
        <v>158</v>
      </c>
      <c r="C132" s="119">
        <f>C75+C76+C104+C111+C122+C127+C131</f>
        <v>12397593</v>
      </c>
      <c r="D132" s="119">
        <f t="shared" ref="D132:G132" si="46">D75+D76+D104+D111+D122+D127+D131</f>
        <v>14911000</v>
      </c>
      <c r="E132" s="119">
        <f t="shared" si="46"/>
        <v>1</v>
      </c>
      <c r="F132" s="119">
        <f t="shared" si="44"/>
        <v>14911001</v>
      </c>
      <c r="G132" s="119">
        <f t="shared" si="46"/>
        <v>5503507</v>
      </c>
      <c r="H132" s="125">
        <f t="shared" si="27"/>
        <v>0.3690903783052526</v>
      </c>
    </row>
    <row r="133" spans="1:8" ht="25.5">
      <c r="A133" s="13" t="s">
        <v>159</v>
      </c>
      <c r="B133" s="14" t="s">
        <v>160</v>
      </c>
      <c r="C133" s="15"/>
      <c r="D133" s="15"/>
      <c r="E133" s="15"/>
      <c r="F133" s="15">
        <f t="shared" si="44"/>
        <v>0</v>
      </c>
      <c r="G133" s="15"/>
      <c r="H133" s="124" t="e">
        <f t="shared" si="27"/>
        <v>#DIV/0!</v>
      </c>
    </row>
    <row r="134" spans="1:8" ht="25.5">
      <c r="A134" s="13" t="s">
        <v>161</v>
      </c>
      <c r="B134" s="14" t="s">
        <v>162</v>
      </c>
      <c r="C134" s="15"/>
      <c r="D134" s="15"/>
      <c r="E134" s="15"/>
      <c r="F134" s="15">
        <f t="shared" si="44"/>
        <v>0</v>
      </c>
      <c r="G134" s="15"/>
      <c r="H134" s="124" t="e">
        <f t="shared" si="27"/>
        <v>#DIV/0!</v>
      </c>
    </row>
    <row r="135" spans="1:8" ht="25.5">
      <c r="A135" s="13" t="s">
        <v>163</v>
      </c>
      <c r="B135" s="14" t="s">
        <v>164</v>
      </c>
      <c r="C135" s="15">
        <f>SUM(C133:C134)</f>
        <v>0</v>
      </c>
      <c r="D135" s="15">
        <f t="shared" ref="D135:G135" si="47">SUM(D133:D134)</f>
        <v>0</v>
      </c>
      <c r="E135" s="15">
        <f t="shared" si="47"/>
        <v>0</v>
      </c>
      <c r="F135" s="15">
        <f t="shared" si="44"/>
        <v>0</v>
      </c>
      <c r="G135" s="15">
        <f t="shared" si="47"/>
        <v>0</v>
      </c>
      <c r="H135" s="124" t="e">
        <f t="shared" si="27"/>
        <v>#DIV/0!</v>
      </c>
    </row>
    <row r="136" spans="1:8" ht="25.5">
      <c r="A136" s="16" t="s">
        <v>165</v>
      </c>
      <c r="B136" s="17" t="s">
        <v>166</v>
      </c>
      <c r="C136" s="119">
        <f>SUM(C135)</f>
        <v>0</v>
      </c>
      <c r="D136" s="119">
        <f t="shared" ref="D136:G136" si="48">SUM(D135)</f>
        <v>0</v>
      </c>
      <c r="E136" s="119">
        <f t="shared" si="48"/>
        <v>0</v>
      </c>
      <c r="F136" s="119">
        <f t="shared" si="44"/>
        <v>0</v>
      </c>
      <c r="G136" s="119">
        <f t="shared" si="48"/>
        <v>0</v>
      </c>
      <c r="H136" s="125" t="e">
        <f t="shared" si="27"/>
        <v>#DIV/0!</v>
      </c>
    </row>
    <row r="137" spans="1:8">
      <c r="A137" s="16" t="s">
        <v>167</v>
      </c>
      <c r="B137" s="17" t="s">
        <v>168</v>
      </c>
      <c r="C137" s="119">
        <f>C132+C136</f>
        <v>12397593</v>
      </c>
      <c r="D137" s="119">
        <f t="shared" ref="D137:G137" si="49">D132+D136</f>
        <v>14911000</v>
      </c>
      <c r="E137" s="119">
        <f t="shared" si="49"/>
        <v>1</v>
      </c>
      <c r="F137" s="119">
        <f t="shared" si="44"/>
        <v>14911001</v>
      </c>
      <c r="G137" s="119">
        <f t="shared" si="49"/>
        <v>5503507</v>
      </c>
      <c r="H137" s="125">
        <f t="shared" si="27"/>
        <v>0.3690903783052526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139"/>
  <sheetViews>
    <sheetView view="pageBreakPreview" zoomScale="70" zoomScaleNormal="100" zoomScaleSheetLayoutView="70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9.33203125" customWidth="1"/>
    <col min="6" max="6" width="10.33203125" customWidth="1"/>
    <col min="8" max="8" width="11.77734375" style="126" customWidth="1"/>
  </cols>
  <sheetData>
    <row r="1" spans="1:8">
      <c r="A1" s="140" t="s">
        <v>452</v>
      </c>
      <c r="B1" s="140"/>
      <c r="C1" s="140"/>
      <c r="D1" s="140"/>
      <c r="E1" s="140"/>
      <c r="F1" s="140"/>
      <c r="G1" s="140"/>
      <c r="H1" s="140"/>
    </row>
    <row r="2" spans="1:8">
      <c r="A2" s="141" t="s">
        <v>413</v>
      </c>
      <c r="B2" s="141"/>
      <c r="C2" s="141"/>
      <c r="D2" s="141"/>
      <c r="E2" s="141"/>
      <c r="F2" s="141"/>
      <c r="G2" s="141"/>
      <c r="H2" s="141"/>
    </row>
    <row r="3" spans="1:8">
      <c r="A3" s="141" t="s">
        <v>414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f>'091110'!C6+'091140'!C6+'096015'!C6</f>
        <v>0</v>
      </c>
      <c r="D6" s="15">
        <f>'091110'!D6+'091140'!D6+'096015'!D6</f>
        <v>0</v>
      </c>
      <c r="E6" s="15">
        <f>'091110'!E6+'091140'!E6+'096015'!E6</f>
        <v>0</v>
      </c>
      <c r="F6" s="15">
        <f>'091110'!F6+'091140'!F6+'096015'!F6</f>
        <v>0</v>
      </c>
      <c r="G6" s="15">
        <f>'091110'!G6+'091140'!G6+'096015'!G6</f>
        <v>0</v>
      </c>
      <c r="H6" s="124" t="e">
        <f>G6/F6</f>
        <v>#DIV/0!</v>
      </c>
    </row>
    <row r="7" spans="1:8" ht="25.5">
      <c r="A7" s="13" t="s">
        <v>174</v>
      </c>
      <c r="B7" s="14" t="s">
        <v>175</v>
      </c>
      <c r="C7" s="15">
        <f>'091110'!C7+'091140'!C7+'096015'!C7</f>
        <v>0</v>
      </c>
      <c r="D7" s="15">
        <f>'091110'!D7+'091140'!D7+'096015'!D7</f>
        <v>0</v>
      </c>
      <c r="E7" s="15">
        <f>'091110'!E7+'091140'!E7+'096015'!E7</f>
        <v>0</v>
      </c>
      <c r="F7" s="15">
        <f>'091110'!F7+'091140'!F7+'096015'!F7</f>
        <v>0</v>
      </c>
      <c r="G7" s="15">
        <f>'091110'!G7+'091140'!G7+'096015'!G7</f>
        <v>0</v>
      </c>
      <c r="H7" s="124" t="e">
        <f t="shared" ref="H7:H72" si="0">G7/F7</f>
        <v>#DIV/0!</v>
      </c>
    </row>
    <row r="8" spans="1:8" ht="38.25">
      <c r="A8" s="13" t="s">
        <v>176</v>
      </c>
      <c r="B8" s="14" t="s">
        <v>177</v>
      </c>
      <c r="C8" s="15">
        <f>'091110'!C8+'091140'!C8+'096015'!C8</f>
        <v>0</v>
      </c>
      <c r="D8" s="15">
        <f>'091110'!D8+'091140'!D8+'096015'!D8</f>
        <v>0</v>
      </c>
      <c r="E8" s="15">
        <f>'091110'!E8+'091140'!E8+'096015'!E8</f>
        <v>0</v>
      </c>
      <c r="F8" s="15">
        <f>'091110'!F8+'091140'!F8+'096015'!F8</f>
        <v>0</v>
      </c>
      <c r="G8" s="15">
        <f>'091110'!G8+'091140'!G8+'096015'!G8</f>
        <v>0</v>
      </c>
      <c r="H8" s="124" t="e">
        <f t="shared" si="0"/>
        <v>#DIV/0!</v>
      </c>
    </row>
    <row r="9" spans="1:8" ht="25.5">
      <c r="A9" s="13" t="s">
        <v>178</v>
      </c>
      <c r="B9" s="14" t="s">
        <v>179</v>
      </c>
      <c r="C9" s="15">
        <f>'091110'!C9+'091140'!C9+'096015'!C9</f>
        <v>0</v>
      </c>
      <c r="D9" s="15">
        <f>'091110'!D9+'091140'!D9+'096015'!D9</f>
        <v>0</v>
      </c>
      <c r="E9" s="15">
        <f>'091110'!E9+'091140'!E9+'096015'!E9</f>
        <v>0</v>
      </c>
      <c r="F9" s="15">
        <f>'091110'!F9+'091140'!F9+'096015'!F9</f>
        <v>0</v>
      </c>
      <c r="G9" s="15">
        <f>'091110'!G9+'091140'!G9+'096015'!G9</f>
        <v>0</v>
      </c>
      <c r="H9" s="124" t="e">
        <f t="shared" si="0"/>
        <v>#DIV/0!</v>
      </c>
    </row>
    <row r="10" spans="1:8" ht="25.5">
      <c r="A10" s="13" t="s">
        <v>180</v>
      </c>
      <c r="B10" s="14" t="s">
        <v>181</v>
      </c>
      <c r="C10" s="15">
        <f>'091110'!C10+'091140'!C10+'096015'!C10</f>
        <v>0</v>
      </c>
      <c r="D10" s="15">
        <f>'091110'!D10+'091140'!D10+'096015'!D10</f>
        <v>0</v>
      </c>
      <c r="E10" s="15">
        <f>'091110'!E10+'091140'!E10+'096015'!E10</f>
        <v>0</v>
      </c>
      <c r="F10" s="15">
        <f>'091110'!F10+'091140'!F10+'096015'!F10</f>
        <v>0</v>
      </c>
      <c r="G10" s="15">
        <f>'091110'!G10+'091140'!G10+'096015'!G10</f>
        <v>0</v>
      </c>
      <c r="H10" s="124" t="e">
        <f t="shared" si="0"/>
        <v>#DIV/0!</v>
      </c>
    </row>
    <row r="11" spans="1:8">
      <c r="A11" s="13" t="s">
        <v>182</v>
      </c>
      <c r="B11" s="14" t="s">
        <v>183</v>
      </c>
      <c r="C11" s="15">
        <f>'091110'!C11+'091140'!C11+'096015'!C11</f>
        <v>0</v>
      </c>
      <c r="D11" s="15">
        <f>'091110'!D11+'091140'!D11+'096015'!D11</f>
        <v>0</v>
      </c>
      <c r="E11" s="15">
        <f>'091110'!E11+'091140'!E11+'096015'!E11</f>
        <v>0</v>
      </c>
      <c r="F11" s="15">
        <f>'091110'!F11+'091140'!F11+'096015'!F11</f>
        <v>0</v>
      </c>
      <c r="G11" s="15">
        <f>'091110'!G11+'091140'!G11+'096015'!G11</f>
        <v>0</v>
      </c>
      <c r="H11" s="124" t="e">
        <f t="shared" si="0"/>
        <v>#DIV/0!</v>
      </c>
    </row>
    <row r="12" spans="1:8" ht="25.5">
      <c r="A12" s="13" t="s">
        <v>33</v>
      </c>
      <c r="B12" s="14" t="s">
        <v>184</v>
      </c>
      <c r="C12" s="15">
        <f>'091110'!C12+'091140'!C12+'096015'!C12</f>
        <v>0</v>
      </c>
      <c r="D12" s="15">
        <f>'091110'!D12+'091140'!D12+'096015'!D12</f>
        <v>0</v>
      </c>
      <c r="E12" s="15">
        <f>'091110'!E12+'091140'!E12+'096015'!E12</f>
        <v>0</v>
      </c>
      <c r="F12" s="15">
        <f>'091110'!F12+'091140'!F12+'096015'!F12</f>
        <v>0</v>
      </c>
      <c r="G12" s="15">
        <f>'091110'!G12+'091140'!G12+'096015'!G12</f>
        <v>0</v>
      </c>
      <c r="H12" s="124" t="e">
        <f t="shared" si="0"/>
        <v>#DIV/0!</v>
      </c>
    </row>
    <row r="13" spans="1:8" ht="25.5">
      <c r="A13" s="13" t="s">
        <v>67</v>
      </c>
      <c r="B13" s="14" t="s">
        <v>185</v>
      </c>
      <c r="C13" s="15">
        <f>'091110'!C13+'091140'!C13+'096015'!C13</f>
        <v>0</v>
      </c>
      <c r="D13" s="15">
        <f>'091110'!D13+'091140'!D13+'096015'!D13</f>
        <v>0</v>
      </c>
      <c r="E13" s="15">
        <f>'091110'!E13+'091140'!E13+'096015'!E13</f>
        <v>0</v>
      </c>
      <c r="F13" s="15">
        <f>'091110'!F13+'091140'!F13+'096015'!F13</f>
        <v>0</v>
      </c>
      <c r="G13" s="15">
        <f>'091110'!G13+'091140'!G13+'096015'!G13</f>
        <v>0</v>
      </c>
      <c r="H13" s="124" t="e">
        <f t="shared" si="0"/>
        <v>#DIV/0!</v>
      </c>
    </row>
    <row r="14" spans="1:8">
      <c r="A14" s="13" t="s">
        <v>69</v>
      </c>
      <c r="B14" s="14" t="s">
        <v>186</v>
      </c>
      <c r="C14" s="15">
        <f>'091110'!C14+'091140'!C14+'096015'!C14</f>
        <v>0</v>
      </c>
      <c r="D14" s="15">
        <f>'091110'!D14+'091140'!D14+'096015'!D14</f>
        <v>0</v>
      </c>
      <c r="E14" s="15">
        <f>'091110'!E14+'091140'!E14+'096015'!E14</f>
        <v>0</v>
      </c>
      <c r="F14" s="15">
        <f>'091110'!F14+'091140'!F14+'096015'!F14</f>
        <v>0</v>
      </c>
      <c r="G14" s="15">
        <f>'091110'!G14+'091140'!G14+'096015'!G14</f>
        <v>0</v>
      </c>
      <c r="H14" s="124" t="e">
        <f t="shared" si="0"/>
        <v>#DIV/0!</v>
      </c>
    </row>
    <row r="15" spans="1:8" ht="38.25">
      <c r="A15" s="13" t="s">
        <v>73</v>
      </c>
      <c r="B15" s="14" t="s">
        <v>187</v>
      </c>
      <c r="C15" s="15">
        <f>'091110'!C15+'091140'!C15+'096015'!C15</f>
        <v>0</v>
      </c>
      <c r="D15" s="15">
        <f>'091110'!D15+'091140'!D15+'096015'!D15</f>
        <v>0</v>
      </c>
      <c r="E15" s="15">
        <f>'091110'!E15+'091140'!E15+'096015'!E15</f>
        <v>0</v>
      </c>
      <c r="F15" s="15">
        <f>'091110'!F15+'091140'!F15+'096015'!F15</f>
        <v>0</v>
      </c>
      <c r="G15" s="15">
        <f>'091110'!G15+'091140'!G15+'096015'!G15</f>
        <v>0</v>
      </c>
      <c r="H15" s="124" t="e">
        <f t="shared" si="0"/>
        <v>#DIV/0!</v>
      </c>
    </row>
    <row r="16" spans="1:8" ht="25.5">
      <c r="A16" s="13" t="s">
        <v>75</v>
      </c>
      <c r="B16" s="14" t="s">
        <v>188</v>
      </c>
      <c r="C16" s="15">
        <f>'091110'!C16+'091140'!C16+'096015'!C16</f>
        <v>0</v>
      </c>
      <c r="D16" s="15">
        <f>'091110'!D16+'091140'!D16+'096015'!D16</f>
        <v>0</v>
      </c>
      <c r="E16" s="15">
        <f>'091110'!E16+'091140'!E16+'096015'!E16</f>
        <v>0</v>
      </c>
      <c r="F16" s="15">
        <f>'091110'!F16+'091140'!F16+'096015'!F16</f>
        <v>0</v>
      </c>
      <c r="G16" s="15">
        <f>'091110'!G16+'091140'!G16+'096015'!G16</f>
        <v>0</v>
      </c>
      <c r="H16" s="124" t="e">
        <f t="shared" si="0"/>
        <v>#DIV/0!</v>
      </c>
    </row>
    <row r="17" spans="1:8" ht="25.5">
      <c r="A17" s="13" t="s">
        <v>77</v>
      </c>
      <c r="B17" s="14" t="s">
        <v>189</v>
      </c>
      <c r="C17" s="15">
        <f>'091110'!C17+'091140'!C17+'096015'!C17</f>
        <v>0</v>
      </c>
      <c r="D17" s="15">
        <f>'091110'!D17+'091140'!D17+'096015'!D17</f>
        <v>0</v>
      </c>
      <c r="E17" s="15">
        <f>'091110'!E17+'091140'!E17+'096015'!E17</f>
        <v>0</v>
      </c>
      <c r="F17" s="15">
        <f>'091110'!F17+'091140'!F17+'096015'!F17</f>
        <v>0</v>
      </c>
      <c r="G17" s="15">
        <f>'091110'!G17+'091140'!G17+'096015'!G17</f>
        <v>0</v>
      </c>
      <c r="H17" s="124" t="e">
        <f t="shared" si="0"/>
        <v>#DIV/0!</v>
      </c>
    </row>
    <row r="18" spans="1:8">
      <c r="A18" s="13" t="s">
        <v>190</v>
      </c>
      <c r="B18" s="14" t="s">
        <v>191</v>
      </c>
      <c r="C18" s="15">
        <f>'091110'!C18+'091140'!C18+'096015'!C18</f>
        <v>0</v>
      </c>
      <c r="D18" s="15">
        <f>'091110'!D18+'091140'!D18+'096015'!D18</f>
        <v>0</v>
      </c>
      <c r="E18" s="15">
        <f>'091110'!E18+'091140'!E18+'096015'!E18</f>
        <v>0</v>
      </c>
      <c r="F18" s="15">
        <f>'091110'!F18+'091140'!F18+'096015'!F18</f>
        <v>0</v>
      </c>
      <c r="G18" s="15">
        <f>'091110'!G18+'091140'!G18+'096015'!G18</f>
        <v>0</v>
      </c>
      <c r="H18" s="124" t="e">
        <f t="shared" si="0"/>
        <v>#DIV/0!</v>
      </c>
    </row>
    <row r="19" spans="1:8" ht="25.5">
      <c r="A19" s="13" t="s">
        <v>81</v>
      </c>
      <c r="B19" s="14" t="s">
        <v>192</v>
      </c>
      <c r="C19" s="15">
        <f>'091110'!C19+'091140'!C19+'096015'!C19</f>
        <v>0</v>
      </c>
      <c r="D19" s="15">
        <f>'091110'!D19+'091140'!D19+'096015'!D19</f>
        <v>0</v>
      </c>
      <c r="E19" s="15">
        <f>'091110'!E19+'091140'!E19+'096015'!E19</f>
        <v>0</v>
      </c>
      <c r="F19" s="15">
        <f>'091110'!F19+'091140'!F19+'096015'!F19</f>
        <v>0</v>
      </c>
      <c r="G19" s="15">
        <f>'091110'!G19+'091140'!G19+'096015'!G19</f>
        <v>0</v>
      </c>
      <c r="H19" s="124" t="e">
        <f t="shared" si="0"/>
        <v>#DIV/0!</v>
      </c>
    </row>
    <row r="20" spans="1:8" ht="38.25">
      <c r="A20" s="16" t="s">
        <v>85</v>
      </c>
      <c r="B20" s="17" t="s">
        <v>193</v>
      </c>
      <c r="C20" s="119">
        <f>'091110'!C20+'091140'!C20+'096015'!C20</f>
        <v>0</v>
      </c>
      <c r="D20" s="119">
        <f>'091110'!D20+'091140'!D20+'096015'!D20</f>
        <v>0</v>
      </c>
      <c r="E20" s="119">
        <f>'091110'!E20+'091140'!E20+'096015'!E20</f>
        <v>0</v>
      </c>
      <c r="F20" s="119">
        <f>'091110'!F20+'091140'!F20+'096015'!F20</f>
        <v>0</v>
      </c>
      <c r="G20" s="15">
        <f>'091110'!G20+'091140'!G20+'096015'!G20</f>
        <v>0</v>
      </c>
      <c r="H20" s="125" t="e">
        <f t="shared" si="0"/>
        <v>#DIV/0!</v>
      </c>
    </row>
    <row r="21" spans="1:8" ht="25.5">
      <c r="A21" s="13" t="s">
        <v>87</v>
      </c>
      <c r="B21" s="14" t="s">
        <v>194</v>
      </c>
      <c r="C21" s="15">
        <f>'091110'!C21+'091140'!C21+'096015'!C21</f>
        <v>0</v>
      </c>
      <c r="D21" s="15">
        <f>'091110'!D21+'091140'!D21+'096015'!D21</f>
        <v>0</v>
      </c>
      <c r="E21" s="15">
        <f>'091110'!E21+'091140'!E21+'096015'!E21</f>
        <v>0</v>
      </c>
      <c r="F21" s="15">
        <f>'091110'!F21+'091140'!F21+'096015'!F21</f>
        <v>0</v>
      </c>
      <c r="G21" s="15">
        <f>'091110'!G21+'091140'!G21+'096015'!G21</f>
        <v>0</v>
      </c>
      <c r="H21" s="124" t="e">
        <f t="shared" si="0"/>
        <v>#DIV/0!</v>
      </c>
    </row>
    <row r="22" spans="1:8" ht="38.25">
      <c r="A22" s="16" t="s">
        <v>195</v>
      </c>
      <c r="B22" s="17" t="s">
        <v>196</v>
      </c>
      <c r="C22" s="119">
        <f>'091110'!C22+'091140'!C22+'096015'!C22</f>
        <v>0</v>
      </c>
      <c r="D22" s="119">
        <f>'091110'!D22+'091140'!D22+'096015'!D22</f>
        <v>0</v>
      </c>
      <c r="E22" s="119">
        <f>'091110'!E22+'091140'!E22+'096015'!E22</f>
        <v>0</v>
      </c>
      <c r="F22" s="119">
        <f>'091110'!F22+'091140'!F22+'096015'!F22</f>
        <v>0</v>
      </c>
      <c r="G22" s="15">
        <f>'091110'!G22+'091140'!G22+'096015'!G22</f>
        <v>0</v>
      </c>
      <c r="H22" s="125" t="e">
        <f t="shared" si="0"/>
        <v>#DIV/0!</v>
      </c>
    </row>
    <row r="23" spans="1:8" ht="25.5">
      <c r="A23" s="13" t="s">
        <v>197</v>
      </c>
      <c r="B23" s="14" t="s">
        <v>198</v>
      </c>
      <c r="C23" s="15">
        <f>'091110'!C23+'091140'!C23+'096015'!C23</f>
        <v>0</v>
      </c>
      <c r="D23" s="15">
        <f>'091110'!D23+'091140'!D23+'096015'!D23</f>
        <v>0</v>
      </c>
      <c r="E23" s="15">
        <f>'091110'!E23+'091140'!E23+'096015'!E23</f>
        <v>0</v>
      </c>
      <c r="F23" s="15">
        <f>'091110'!F23+'091140'!F23+'096015'!F23</f>
        <v>0</v>
      </c>
      <c r="G23" s="15">
        <f>'091110'!G23+'091140'!G23+'096015'!G23</f>
        <v>0</v>
      </c>
      <c r="H23" s="124" t="e">
        <f t="shared" si="0"/>
        <v>#DIV/0!</v>
      </c>
    </row>
    <row r="24" spans="1:8" ht="25.5">
      <c r="A24" s="13" t="s">
        <v>199</v>
      </c>
      <c r="B24" s="14" t="s">
        <v>200</v>
      </c>
      <c r="C24" s="15">
        <f>'091110'!C24+'091140'!C24+'096015'!C24</f>
        <v>0</v>
      </c>
      <c r="D24" s="15">
        <f>'091110'!D24+'091140'!D24+'096015'!D24</f>
        <v>0</v>
      </c>
      <c r="E24" s="15">
        <f>'091110'!E24+'091140'!E24+'096015'!E24</f>
        <v>0</v>
      </c>
      <c r="F24" s="15">
        <f>'091110'!F24+'091140'!F24+'096015'!F24</f>
        <v>0</v>
      </c>
      <c r="G24" s="15">
        <f>'091110'!G24+'091140'!G24+'096015'!G24</f>
        <v>0</v>
      </c>
      <c r="H24" s="124" t="e">
        <f t="shared" si="0"/>
        <v>#DIV/0!</v>
      </c>
    </row>
    <row r="25" spans="1:8">
      <c r="A25" s="13" t="s">
        <v>201</v>
      </c>
      <c r="B25" s="14" t="s">
        <v>202</v>
      </c>
      <c r="C25" s="15">
        <f>'091110'!C25+'091140'!C25+'096015'!C25</f>
        <v>0</v>
      </c>
      <c r="D25" s="15">
        <f>'091110'!D25+'091140'!D25+'096015'!D25</f>
        <v>0</v>
      </c>
      <c r="E25" s="15">
        <f>'091110'!E25+'091140'!E25+'096015'!E25</f>
        <v>0</v>
      </c>
      <c r="F25" s="15">
        <f>'091110'!F25+'091140'!F25+'096015'!F25</f>
        <v>0</v>
      </c>
      <c r="G25" s="15">
        <f>'091110'!G25+'091140'!G25+'096015'!G25</f>
        <v>0</v>
      </c>
      <c r="H25" s="124" t="e">
        <f t="shared" si="0"/>
        <v>#DIV/0!</v>
      </c>
    </row>
    <row r="26" spans="1:8">
      <c r="A26" s="13" t="s">
        <v>203</v>
      </c>
      <c r="B26" s="14" t="s">
        <v>204</v>
      </c>
      <c r="C26" s="15">
        <f>'091110'!C26+'091140'!C26+'096015'!C26</f>
        <v>0</v>
      </c>
      <c r="D26" s="15">
        <f>'091110'!D26+'091140'!D26+'096015'!D26</f>
        <v>0</v>
      </c>
      <c r="E26" s="15">
        <f>'091110'!E26+'091140'!E26+'096015'!E26</f>
        <v>0</v>
      </c>
      <c r="F26" s="15">
        <f>'091110'!F26+'091140'!F26+'096015'!F26</f>
        <v>0</v>
      </c>
      <c r="G26" s="15">
        <f>'091110'!G26+'091140'!G26+'096015'!G26</f>
        <v>0</v>
      </c>
      <c r="H26" s="124" t="e">
        <f t="shared" si="0"/>
        <v>#DIV/0!</v>
      </c>
    </row>
    <row r="27" spans="1:8">
      <c r="A27" s="13" t="s">
        <v>205</v>
      </c>
      <c r="B27" s="14" t="s">
        <v>206</v>
      </c>
      <c r="C27" s="15">
        <f>'091110'!C27+'091140'!C27+'096015'!C27</f>
        <v>0</v>
      </c>
      <c r="D27" s="15">
        <f>'091110'!D27+'091140'!D27+'096015'!D27</f>
        <v>0</v>
      </c>
      <c r="E27" s="15">
        <f>'091110'!E27+'091140'!E27+'096015'!E27</f>
        <v>0</v>
      </c>
      <c r="F27" s="15">
        <f>'091110'!F27+'091140'!F27+'096015'!F27</f>
        <v>0</v>
      </c>
      <c r="G27" s="15">
        <f>'091110'!G27+'091140'!G27+'096015'!G27</f>
        <v>0</v>
      </c>
      <c r="H27" s="124" t="e">
        <f t="shared" si="0"/>
        <v>#DIV/0!</v>
      </c>
    </row>
    <row r="28" spans="1:8" ht="25.5">
      <c r="A28" s="13" t="s">
        <v>207</v>
      </c>
      <c r="B28" s="14" t="s">
        <v>208</v>
      </c>
      <c r="C28" s="15">
        <f>'091110'!C28+'091140'!C28+'096015'!C28</f>
        <v>0</v>
      </c>
      <c r="D28" s="15">
        <f>'091110'!D28+'091140'!D28+'096015'!D28</f>
        <v>0</v>
      </c>
      <c r="E28" s="15">
        <f>'091110'!E28+'091140'!E28+'096015'!E28</f>
        <v>0</v>
      </c>
      <c r="F28" s="15">
        <f>'091110'!F28+'091140'!F28+'096015'!F28</f>
        <v>0</v>
      </c>
      <c r="G28" s="15">
        <f>'091110'!G28+'091140'!G28+'096015'!G28</f>
        <v>0</v>
      </c>
      <c r="H28" s="124" t="e">
        <f t="shared" si="0"/>
        <v>#DIV/0!</v>
      </c>
    </row>
    <row r="29" spans="1:8" ht="38.25">
      <c r="A29" s="13" t="s">
        <v>119</v>
      </c>
      <c r="B29" s="14" t="s">
        <v>209</v>
      </c>
      <c r="C29" s="15">
        <f>'091110'!C29+'091140'!C29+'096015'!C29</f>
        <v>0</v>
      </c>
      <c r="D29" s="15">
        <f>'091110'!D29+'091140'!D29+'096015'!D29</f>
        <v>0</v>
      </c>
      <c r="E29" s="15">
        <f>'091110'!E29+'091140'!E29+'096015'!E29</f>
        <v>0</v>
      </c>
      <c r="F29" s="15">
        <f>'091110'!F29+'091140'!F29+'096015'!F29</f>
        <v>0</v>
      </c>
      <c r="G29" s="15">
        <f>'091110'!G29+'091140'!G29+'096015'!G29</f>
        <v>0</v>
      </c>
      <c r="H29" s="124" t="e">
        <f t="shared" si="0"/>
        <v>#DIV/0!</v>
      </c>
    </row>
    <row r="30" spans="1:8">
      <c r="A30" s="13" t="s">
        <v>210</v>
      </c>
      <c r="B30" s="14" t="s">
        <v>211</v>
      </c>
      <c r="C30" s="15">
        <f>'091110'!C30+'091140'!C30+'096015'!C30</f>
        <v>0</v>
      </c>
      <c r="D30" s="15">
        <f>'091110'!D30+'091140'!D30+'096015'!D30</f>
        <v>0</v>
      </c>
      <c r="E30" s="15">
        <f>'091110'!E30+'091140'!E30+'096015'!E30</f>
        <v>0</v>
      </c>
      <c r="F30" s="15">
        <f>'091110'!F30+'091140'!F30+'096015'!F30</f>
        <v>0</v>
      </c>
      <c r="G30" s="15">
        <f>'091110'!G30+'091140'!G30+'096015'!G30</f>
        <v>0</v>
      </c>
      <c r="H30" s="124" t="e">
        <f t="shared" si="0"/>
        <v>#DIV/0!</v>
      </c>
    </row>
    <row r="31" spans="1:8" ht="25.5">
      <c r="A31" s="13" t="s">
        <v>212</v>
      </c>
      <c r="B31" s="14" t="s">
        <v>213</v>
      </c>
      <c r="C31" s="15">
        <f>'091110'!C31+'091140'!C31+'096015'!C31</f>
        <v>0</v>
      </c>
      <c r="D31" s="15">
        <f>'091110'!D31+'091140'!D31+'096015'!D31</f>
        <v>0</v>
      </c>
      <c r="E31" s="15">
        <f>'091110'!E31+'091140'!E31+'096015'!E31</f>
        <v>0</v>
      </c>
      <c r="F31" s="15">
        <f>'091110'!F31+'091140'!F31+'096015'!F31</f>
        <v>0</v>
      </c>
      <c r="G31" s="15">
        <f>'091110'!G31+'091140'!G31+'096015'!G31</f>
        <v>0</v>
      </c>
      <c r="H31" s="124" t="e">
        <f t="shared" si="0"/>
        <v>#DIV/0!</v>
      </c>
    </row>
    <row r="32" spans="1:8" ht="25.5">
      <c r="A32" s="13" t="s">
        <v>214</v>
      </c>
      <c r="B32" s="14" t="s">
        <v>215</v>
      </c>
      <c r="C32" s="15">
        <f>'091110'!C32+'091140'!C32+'096015'!C32</f>
        <v>0</v>
      </c>
      <c r="D32" s="15">
        <f>'091110'!D32+'091140'!D32+'096015'!D32</f>
        <v>0</v>
      </c>
      <c r="E32" s="15">
        <f>'091110'!E32+'091140'!E32+'096015'!E32</f>
        <v>0</v>
      </c>
      <c r="F32" s="15">
        <f>'091110'!F32+'091140'!F32+'096015'!F32</f>
        <v>0</v>
      </c>
      <c r="G32" s="15">
        <f>'091110'!G32+'091140'!G32+'096015'!G32</f>
        <v>0</v>
      </c>
      <c r="H32" s="124" t="e">
        <f t="shared" si="0"/>
        <v>#DIV/0!</v>
      </c>
    </row>
    <row r="33" spans="1:8" ht="25.5">
      <c r="A33" s="13" t="s">
        <v>216</v>
      </c>
      <c r="B33" s="14" t="s">
        <v>217</v>
      </c>
      <c r="C33" s="15">
        <f>'091110'!C33+'091140'!C33+'096015'!C33</f>
        <v>0</v>
      </c>
      <c r="D33" s="15">
        <f>'091110'!D33+'091140'!D33+'096015'!D33</f>
        <v>0</v>
      </c>
      <c r="E33" s="15">
        <f>'091110'!E33+'091140'!E33+'096015'!E33</f>
        <v>0</v>
      </c>
      <c r="F33" s="15">
        <f>'091110'!F33+'091140'!F33+'096015'!F33</f>
        <v>0</v>
      </c>
      <c r="G33" s="15">
        <f>'091110'!G33+'091140'!G33+'096015'!G33</f>
        <v>0</v>
      </c>
      <c r="H33" s="124" t="e">
        <f t="shared" si="0"/>
        <v>#DIV/0!</v>
      </c>
    </row>
    <row r="34" spans="1:8">
      <c r="A34" s="13" t="s">
        <v>131</v>
      </c>
      <c r="B34" s="14" t="s">
        <v>218</v>
      </c>
      <c r="C34" s="15">
        <f>'091110'!C34+'091140'!C34+'096015'!C34</f>
        <v>0</v>
      </c>
      <c r="D34" s="15">
        <f>'091110'!D34+'091140'!D34+'096015'!D34</f>
        <v>0</v>
      </c>
      <c r="E34" s="15">
        <f>'091110'!E34+'091140'!E34+'096015'!E34</f>
        <v>0</v>
      </c>
      <c r="F34" s="15">
        <f>'091110'!F34+'091140'!F34+'096015'!F34</f>
        <v>0</v>
      </c>
      <c r="G34" s="15">
        <f>'091110'!G34+'091140'!G34+'096015'!G34</f>
        <v>0</v>
      </c>
      <c r="H34" s="124" t="e">
        <f t="shared" si="0"/>
        <v>#DIV/0!</v>
      </c>
    </row>
    <row r="35" spans="1:8">
      <c r="A35" s="13" t="s">
        <v>219</v>
      </c>
      <c r="B35" s="14" t="s">
        <v>220</v>
      </c>
      <c r="C35" s="15">
        <f>'091110'!C35+'091140'!C35+'096015'!C35</f>
        <v>0</v>
      </c>
      <c r="D35" s="15">
        <f>'091110'!D35+'091140'!D35+'096015'!D35</f>
        <v>0</v>
      </c>
      <c r="E35" s="15">
        <f>'091110'!E35+'091140'!E35+'096015'!E35</f>
        <v>0</v>
      </c>
      <c r="F35" s="15">
        <f>'091110'!F35+'091140'!F35+'096015'!F35</f>
        <v>0</v>
      </c>
      <c r="G35" s="15">
        <f>'091110'!G35+'091140'!G35+'096015'!G35</f>
        <v>0</v>
      </c>
      <c r="H35" s="124" t="e">
        <f t="shared" si="0"/>
        <v>#DIV/0!</v>
      </c>
    </row>
    <row r="36" spans="1:8" ht="25.5">
      <c r="A36" s="16" t="s">
        <v>221</v>
      </c>
      <c r="B36" s="17" t="s">
        <v>222</v>
      </c>
      <c r="C36" s="119">
        <f>'091110'!C36+'091140'!C36+'096015'!C36</f>
        <v>0</v>
      </c>
      <c r="D36" s="119">
        <f>'091110'!D36+'091140'!D36+'096015'!D36</f>
        <v>0</v>
      </c>
      <c r="E36" s="119">
        <f>'091110'!E36+'091140'!E36+'096015'!E36</f>
        <v>0</v>
      </c>
      <c r="F36" s="119">
        <f>'091110'!F36+'091140'!F36+'096015'!F36</f>
        <v>0</v>
      </c>
      <c r="G36" s="15">
        <f>'091110'!G36+'091140'!G36+'096015'!G36</f>
        <v>0</v>
      </c>
      <c r="H36" s="125" t="e">
        <f t="shared" si="0"/>
        <v>#DIV/0!</v>
      </c>
    </row>
    <row r="37" spans="1:8">
      <c r="A37" s="13" t="s">
        <v>223</v>
      </c>
      <c r="B37" s="14" t="s">
        <v>224</v>
      </c>
      <c r="C37" s="15">
        <f>'091110'!C37+'091140'!C37+'096015'!C37</f>
        <v>0</v>
      </c>
      <c r="D37" s="15">
        <f>'091110'!D37+'091140'!D37+'096015'!D37</f>
        <v>0</v>
      </c>
      <c r="E37" s="15">
        <f>'091110'!E37+'091140'!E37+'096015'!E37</f>
        <v>0</v>
      </c>
      <c r="F37" s="15">
        <f>'091110'!F37+'091140'!F37+'096015'!F37</f>
        <v>0</v>
      </c>
      <c r="G37" s="15">
        <f>'091110'!G37+'091140'!G37+'096015'!G37</f>
        <v>0</v>
      </c>
      <c r="H37" s="124" t="e">
        <f t="shared" si="0"/>
        <v>#DIV/0!</v>
      </c>
    </row>
    <row r="38" spans="1:8">
      <c r="A38" s="13" t="s">
        <v>135</v>
      </c>
      <c r="B38" s="14" t="s">
        <v>225</v>
      </c>
      <c r="C38" s="15">
        <f>'091110'!C38+'091140'!C38+'096015'!C38</f>
        <v>0</v>
      </c>
      <c r="D38" s="15">
        <f>'091110'!D38+'091140'!D38+'096015'!D38</f>
        <v>0</v>
      </c>
      <c r="E38" s="15">
        <f>'091110'!E38+'091140'!E38+'096015'!E38</f>
        <v>0</v>
      </c>
      <c r="F38" s="15">
        <f>'091110'!F38+'091140'!F38+'096015'!F38</f>
        <v>0</v>
      </c>
      <c r="G38" s="15">
        <f>'091110'!G38+'091140'!G38+'096015'!G38</f>
        <v>0</v>
      </c>
      <c r="H38" s="124" t="e">
        <f t="shared" si="0"/>
        <v>#DIV/0!</v>
      </c>
    </row>
    <row r="39" spans="1:8" ht="25.5">
      <c r="A39" s="13" t="s">
        <v>226</v>
      </c>
      <c r="B39" s="14" t="s">
        <v>227</v>
      </c>
      <c r="C39" s="15">
        <f>'091110'!C39+'091140'!C39+'096015'!C39</f>
        <v>0</v>
      </c>
      <c r="D39" s="15">
        <f>'091110'!D39+'091140'!D39+'096015'!D39</f>
        <v>0</v>
      </c>
      <c r="E39" s="15">
        <f>'091110'!E39+'091140'!E39+'096015'!E39</f>
        <v>0</v>
      </c>
      <c r="F39" s="15">
        <f>'091110'!F39+'091140'!F39+'096015'!F39</f>
        <v>0</v>
      </c>
      <c r="G39" s="15">
        <f>'091110'!G39+'091140'!G39+'096015'!G39</f>
        <v>0</v>
      </c>
      <c r="H39" s="124" t="e">
        <f t="shared" si="0"/>
        <v>#DIV/0!</v>
      </c>
    </row>
    <row r="40" spans="1:8">
      <c r="A40" s="13" t="s">
        <v>228</v>
      </c>
      <c r="B40" s="14" t="s">
        <v>229</v>
      </c>
      <c r="C40" s="15">
        <f>'091110'!C40+'091140'!C40+'096015'!C40</f>
        <v>0</v>
      </c>
      <c r="D40" s="15">
        <f>'091110'!D40+'091140'!D40+'096015'!D40</f>
        <v>0</v>
      </c>
      <c r="E40" s="15">
        <f>'091110'!E40+'091140'!E40+'096015'!E40</f>
        <v>0</v>
      </c>
      <c r="F40" s="15">
        <f>'091110'!F40+'091140'!F40+'096015'!F40</f>
        <v>0</v>
      </c>
      <c r="G40" s="15">
        <f>'091110'!G40+'091140'!G40+'096015'!G40</f>
        <v>0</v>
      </c>
      <c r="H40" s="124" t="e">
        <f t="shared" si="0"/>
        <v>#DIV/0!</v>
      </c>
    </row>
    <row r="41" spans="1:8">
      <c r="A41" s="13" t="s">
        <v>145</v>
      </c>
      <c r="B41" s="14" t="s">
        <v>230</v>
      </c>
      <c r="C41" s="15">
        <f>'091110'!C41+'091140'!C41+'096015'!C41</f>
        <v>4304459</v>
      </c>
      <c r="D41" s="15">
        <f>'091110'!D41+'091140'!D41+'096015'!D41</f>
        <v>5153000</v>
      </c>
      <c r="E41" s="15">
        <f>'091110'!E41+'091140'!E41+'096015'!E41</f>
        <v>0</v>
      </c>
      <c r="F41" s="15">
        <f>'091110'!F41+'091140'!F41+'096015'!F41</f>
        <v>5153000</v>
      </c>
      <c r="G41" s="15">
        <f>'091110'!G41+'091140'!G41+'096015'!G41</f>
        <v>2845773</v>
      </c>
      <c r="H41" s="124">
        <f t="shared" si="0"/>
        <v>0.55225557927420921</v>
      </c>
    </row>
    <row r="42" spans="1:8">
      <c r="A42" s="13" t="s">
        <v>147</v>
      </c>
      <c r="B42" s="14" t="s">
        <v>231</v>
      </c>
      <c r="C42" s="15">
        <f>'091110'!C42+'091140'!C42+'096015'!C42</f>
        <v>1162205</v>
      </c>
      <c r="D42" s="15">
        <f>'091110'!D42+'091140'!D42+'096015'!D42</f>
        <v>1391000</v>
      </c>
      <c r="E42" s="15">
        <f>'091110'!E42+'091140'!E42+'096015'!E42</f>
        <v>0</v>
      </c>
      <c r="F42" s="15">
        <f>'091110'!F42+'091140'!F42+'096015'!F42</f>
        <v>1391000</v>
      </c>
      <c r="G42" s="15">
        <f>'091110'!G42+'091140'!G42+'096015'!G42</f>
        <v>768358</v>
      </c>
      <c r="H42" s="124">
        <f t="shared" si="0"/>
        <v>0.55237814521926676</v>
      </c>
    </row>
    <row r="43" spans="1:8" ht="25.5">
      <c r="A43" s="13" t="s">
        <v>155</v>
      </c>
      <c r="B43" s="14" t="s">
        <v>232</v>
      </c>
      <c r="C43" s="15">
        <f>'091110'!C43+'091140'!C43+'096015'!C43</f>
        <v>6013</v>
      </c>
      <c r="D43" s="15">
        <f>'091110'!D43+'091140'!D43+'096015'!D43</f>
        <v>10000</v>
      </c>
      <c r="E43" s="15">
        <f>'091110'!E43+'091140'!E43+'096015'!E43</f>
        <v>-1290</v>
      </c>
      <c r="F43" s="15">
        <f>'091110'!F43+'091140'!F43+'096015'!F43</f>
        <v>8710</v>
      </c>
      <c r="G43" s="15">
        <f>'091110'!G43+'091140'!G43+'096015'!G43</f>
        <v>400</v>
      </c>
      <c r="H43" s="124">
        <f t="shared" si="0"/>
        <v>4.5924225028702644E-2</v>
      </c>
    </row>
    <row r="44" spans="1:8" ht="25.5">
      <c r="A44" s="13" t="s">
        <v>233</v>
      </c>
      <c r="B44" s="14" t="s">
        <v>234</v>
      </c>
      <c r="C44" s="15">
        <f>'091110'!C44+'091140'!C44+'096015'!C44</f>
        <v>6013</v>
      </c>
      <c r="D44" s="15">
        <f>'091110'!D44+'091140'!D44+'096015'!D44</f>
        <v>10000</v>
      </c>
      <c r="E44" s="15">
        <f>'091110'!E44+'091140'!E44+'096015'!E44</f>
        <v>-1290</v>
      </c>
      <c r="F44" s="15">
        <f>'091110'!F44+'091140'!F44+'096015'!F44</f>
        <v>8710</v>
      </c>
      <c r="G44" s="15">
        <f>'091110'!G44+'091140'!G44+'096015'!G44</f>
        <v>400</v>
      </c>
      <c r="H44" s="124">
        <f t="shared" si="0"/>
        <v>4.5924225028702644E-2</v>
      </c>
    </row>
    <row r="45" spans="1:8">
      <c r="A45" s="13" t="s">
        <v>235</v>
      </c>
      <c r="B45" s="14" t="s">
        <v>236</v>
      </c>
      <c r="C45" s="15">
        <f>'091110'!C45+'091140'!C45+'096015'!C45</f>
        <v>21</v>
      </c>
      <c r="D45" s="15">
        <f>'091110'!D45+'091140'!D45+'096015'!D45</f>
        <v>0</v>
      </c>
      <c r="E45" s="15">
        <f>'091110'!E45+'091140'!E45+'096015'!E45</f>
        <v>1290</v>
      </c>
      <c r="F45" s="15">
        <f>'091110'!F45+'091140'!F45+'096015'!F45</f>
        <v>1290</v>
      </c>
      <c r="G45" s="15">
        <f>'091110'!G45+'091140'!G45+'096015'!G45</f>
        <v>1290</v>
      </c>
      <c r="H45" s="124">
        <f t="shared" si="0"/>
        <v>1</v>
      </c>
    </row>
    <row r="46" spans="1:8" ht="38.25">
      <c r="A46" s="16" t="s">
        <v>237</v>
      </c>
      <c r="B46" s="17" t="s">
        <v>238</v>
      </c>
      <c r="C46" s="119">
        <f>'091110'!C46+'091140'!C46+'096015'!C46</f>
        <v>5472698</v>
      </c>
      <c r="D46" s="119">
        <f>'091110'!D46+'091140'!D46+'096015'!D46</f>
        <v>6554000</v>
      </c>
      <c r="E46" s="119">
        <f>'091110'!E46+'091140'!E46+'096015'!E46</f>
        <v>0</v>
      </c>
      <c r="F46" s="119">
        <f>'091110'!F46+'091140'!F46+'096015'!F46</f>
        <v>6554000</v>
      </c>
      <c r="G46" s="15">
        <f>'091110'!G46+'091140'!G46+'096015'!G46</f>
        <v>3615821</v>
      </c>
      <c r="H46" s="125">
        <f t="shared" si="0"/>
        <v>0.55169682636557826</v>
      </c>
    </row>
    <row r="47" spans="1:8">
      <c r="A47" s="13" t="s">
        <v>239</v>
      </c>
      <c r="B47" s="14" t="s">
        <v>240</v>
      </c>
      <c r="C47" s="15">
        <f>'091110'!C47+'091140'!C47+'096015'!C47</f>
        <v>0</v>
      </c>
      <c r="D47" s="15">
        <f>'091110'!D47+'091140'!D47+'096015'!D47</f>
        <v>0</v>
      </c>
      <c r="E47" s="15">
        <f>'091110'!E47+'091140'!E47+'096015'!E47</f>
        <v>0</v>
      </c>
      <c r="F47" s="15">
        <f>'091110'!F47+'091140'!F47+'096015'!F47</f>
        <v>0</v>
      </c>
      <c r="G47" s="15">
        <f>'091110'!G47+'091140'!G47+'096015'!G47</f>
        <v>0</v>
      </c>
      <c r="H47" s="124" t="e">
        <f t="shared" si="0"/>
        <v>#DIV/0!</v>
      </c>
    </row>
    <row r="48" spans="1:8" ht="25.5">
      <c r="A48" s="16" t="s">
        <v>241</v>
      </c>
      <c r="B48" s="17" t="s">
        <v>242</v>
      </c>
      <c r="C48" s="119">
        <f>'091110'!C48+'091140'!C48+'096015'!C48</f>
        <v>0</v>
      </c>
      <c r="D48" s="119">
        <f>'091110'!D48+'091140'!D48+'096015'!D48</f>
        <v>0</v>
      </c>
      <c r="E48" s="119">
        <f>'091110'!E48+'091140'!E48+'096015'!E48</f>
        <v>0</v>
      </c>
      <c r="F48" s="119">
        <f>'091110'!F48+'091140'!F48+'096015'!F48</f>
        <v>0</v>
      </c>
      <c r="G48" s="15">
        <f>'091110'!G48+'091140'!G48+'096015'!G48</f>
        <v>0</v>
      </c>
      <c r="H48" s="125" t="e">
        <f t="shared" si="0"/>
        <v>#DIV/0!</v>
      </c>
    </row>
    <row r="49" spans="1:8" ht="25.5">
      <c r="A49" s="13" t="s">
        <v>243</v>
      </c>
      <c r="B49" s="14" t="s">
        <v>244</v>
      </c>
      <c r="C49" s="15">
        <f>'091110'!C49+'091140'!C49+'096015'!C49</f>
        <v>0</v>
      </c>
      <c r="D49" s="15">
        <f>'091110'!D49+'091140'!D49+'096015'!D49</f>
        <v>0</v>
      </c>
      <c r="E49" s="15">
        <f>'091110'!E49+'091140'!E49+'096015'!E49</f>
        <v>0</v>
      </c>
      <c r="F49" s="15">
        <f>'091110'!F49+'091140'!F49+'096015'!F49</f>
        <v>0</v>
      </c>
      <c r="G49" s="15">
        <f>'091110'!G49+'091140'!G49+'096015'!G49</f>
        <v>0</v>
      </c>
      <c r="H49" s="124" t="e">
        <f t="shared" si="0"/>
        <v>#DIV/0!</v>
      </c>
    </row>
    <row r="50" spans="1:8">
      <c r="A50" s="13" t="s">
        <v>245</v>
      </c>
      <c r="B50" s="14" t="s">
        <v>246</v>
      </c>
      <c r="C50" s="15">
        <f>'091110'!C50+'091140'!C50+'096015'!C50</f>
        <v>0</v>
      </c>
      <c r="D50" s="15">
        <f>'091110'!D50+'091140'!D50+'096015'!D50</f>
        <v>0</v>
      </c>
      <c r="E50" s="15">
        <f>'091110'!E50+'091140'!E50+'096015'!E50</f>
        <v>0</v>
      </c>
      <c r="F50" s="15">
        <f>'091110'!F50+'091140'!F50+'096015'!F50</f>
        <v>0</v>
      </c>
      <c r="G50" s="15">
        <f>'091110'!G50+'091140'!G50+'096015'!G50</f>
        <v>0</v>
      </c>
      <c r="H50" s="124" t="e">
        <f t="shared" si="0"/>
        <v>#DIV/0!</v>
      </c>
    </row>
    <row r="51" spans="1:8">
      <c r="A51" s="13" t="s">
        <v>247</v>
      </c>
      <c r="B51" s="14" t="s">
        <v>248</v>
      </c>
      <c r="C51" s="15">
        <f>'091110'!C51+'091140'!C51+'096015'!C51</f>
        <v>0</v>
      </c>
      <c r="D51" s="15">
        <f>'091110'!D51+'091140'!D51+'096015'!D51</f>
        <v>0</v>
      </c>
      <c r="E51" s="15">
        <f>'091110'!E51+'091140'!E51+'096015'!E51</f>
        <v>0</v>
      </c>
      <c r="F51" s="15">
        <f>'091110'!F51+'091140'!F51+'096015'!F51</f>
        <v>0</v>
      </c>
      <c r="G51" s="15">
        <f>'091110'!G51+'091140'!G51+'096015'!G51</f>
        <v>0</v>
      </c>
      <c r="H51" s="124" t="e">
        <f t="shared" si="0"/>
        <v>#DIV/0!</v>
      </c>
    </row>
    <row r="52" spans="1:8">
      <c r="A52" s="13" t="s">
        <v>249</v>
      </c>
      <c r="B52" s="14" t="s">
        <v>250</v>
      </c>
      <c r="C52" s="15">
        <f>'091110'!C52+'091140'!C52+'096015'!C52</f>
        <v>0</v>
      </c>
      <c r="D52" s="15">
        <f>'091110'!D52+'091140'!D52+'096015'!D52</f>
        <v>0</v>
      </c>
      <c r="E52" s="15">
        <f>'091110'!E52+'091140'!E52+'096015'!E52</f>
        <v>0</v>
      </c>
      <c r="F52" s="15">
        <f>'091110'!F52+'091140'!F52+'096015'!F52</f>
        <v>0</v>
      </c>
      <c r="G52" s="15">
        <f>'091110'!G52+'091140'!G52+'096015'!G52</f>
        <v>0</v>
      </c>
      <c r="H52" s="124" t="e">
        <f t="shared" si="0"/>
        <v>#DIV/0!</v>
      </c>
    </row>
    <row r="53" spans="1:8" ht="25.5">
      <c r="A53" s="16" t="s">
        <v>251</v>
      </c>
      <c r="B53" s="17" t="s">
        <v>252</v>
      </c>
      <c r="C53" s="119">
        <f>'091110'!C53+'091140'!C53+'096015'!C53</f>
        <v>0</v>
      </c>
      <c r="D53" s="119">
        <f>'091110'!D53+'091140'!D53+'096015'!D53</f>
        <v>0</v>
      </c>
      <c r="E53" s="119">
        <f>'091110'!E53+'091140'!E53+'096015'!E53</f>
        <v>0</v>
      </c>
      <c r="F53" s="119">
        <f>'091110'!F53+'091140'!F53+'096015'!F53</f>
        <v>0</v>
      </c>
      <c r="G53" s="15">
        <f>'091110'!G53+'091140'!G53+'096015'!G53</f>
        <v>0</v>
      </c>
      <c r="H53" s="125" t="e">
        <f t="shared" si="0"/>
        <v>#DIV/0!</v>
      </c>
    </row>
    <row r="54" spans="1:8" ht="25.5">
      <c r="A54" s="16" t="s">
        <v>253</v>
      </c>
      <c r="B54" s="17" t="s">
        <v>254</v>
      </c>
      <c r="C54" s="119">
        <f>'091110'!C54+'091140'!C54+'096015'!C54</f>
        <v>5472698</v>
      </c>
      <c r="D54" s="119">
        <f>'091110'!D54+'091140'!D54+'096015'!D54</f>
        <v>6554000</v>
      </c>
      <c r="E54" s="119">
        <f>'091110'!E54+'091140'!E54+'096015'!E54</f>
        <v>0</v>
      </c>
      <c r="F54" s="119">
        <f>'091110'!F54+'091140'!F54+'096015'!F54</f>
        <v>6554000</v>
      </c>
      <c r="G54" s="15">
        <f>'091110'!G54+'091140'!G54+'096015'!G54</f>
        <v>3615821</v>
      </c>
      <c r="H54" s="125">
        <f t="shared" si="0"/>
        <v>0.55169682636557826</v>
      </c>
    </row>
    <row r="55" spans="1:8" ht="25.5">
      <c r="A55" s="13" t="s">
        <v>255</v>
      </c>
      <c r="B55" s="14" t="s">
        <v>256</v>
      </c>
      <c r="C55" s="15">
        <f>'091110'!C55+'091140'!C55+'096015'!C55</f>
        <v>2983328</v>
      </c>
      <c r="D55" s="15">
        <f>'091110'!D55+'091140'!D55+'096015'!D55</f>
        <v>3060000</v>
      </c>
      <c r="E55" s="15">
        <f>'091110'!E55+'091140'!E55+'096015'!E55</f>
        <v>-64</v>
      </c>
      <c r="F55" s="15">
        <f>'091110'!F55+'091140'!F55+'096015'!F55</f>
        <v>3059936</v>
      </c>
      <c r="G55" s="15">
        <f>'091110'!G55+'091140'!G55+'096015'!G55</f>
        <v>3059936</v>
      </c>
      <c r="H55" s="124">
        <f t="shared" si="0"/>
        <v>1</v>
      </c>
    </row>
    <row r="56" spans="1:8">
      <c r="A56" s="13" t="s">
        <v>163</v>
      </c>
      <c r="B56" s="14" t="s">
        <v>257</v>
      </c>
      <c r="C56" s="15">
        <f>'091110'!C56+'091140'!C56+'096015'!C56</f>
        <v>2983328</v>
      </c>
      <c r="D56" s="15">
        <f>'091110'!D56+'091140'!D56+'096015'!D56</f>
        <v>3060000</v>
      </c>
      <c r="E56" s="15">
        <f>'091110'!E56+'091140'!E56+'096015'!E56</f>
        <v>-64</v>
      </c>
      <c r="F56" s="15">
        <f>'091110'!F56+'091140'!F56+'096015'!F56</f>
        <v>3059936</v>
      </c>
      <c r="G56" s="15">
        <f>'091110'!G56+'091140'!G56+'096015'!G56</f>
        <v>3059936</v>
      </c>
      <c r="H56" s="124">
        <f t="shared" si="0"/>
        <v>1</v>
      </c>
    </row>
    <row r="57" spans="1:8">
      <c r="A57" s="13" t="s">
        <v>258</v>
      </c>
      <c r="B57" s="14" t="s">
        <v>259</v>
      </c>
      <c r="C57" s="15">
        <f>'091110'!C57+'091140'!C57+'096015'!C57</f>
        <v>0</v>
      </c>
      <c r="D57" s="15">
        <f>'091110'!D57+'091140'!D57+'096015'!D57</f>
        <v>0</v>
      </c>
      <c r="E57" s="15">
        <f>'091110'!E57+'091140'!E57+'096015'!E57</f>
        <v>0</v>
      </c>
      <c r="F57" s="15">
        <f>'091110'!F57+'091140'!F57+'096015'!F57</f>
        <v>0</v>
      </c>
      <c r="G57" s="15">
        <f>'091110'!G57+'091140'!G57+'096015'!G57</f>
        <v>0</v>
      </c>
      <c r="H57" s="124" t="e">
        <f t="shared" si="0"/>
        <v>#DIV/0!</v>
      </c>
    </row>
    <row r="58" spans="1:8">
      <c r="A58" s="13">
        <v>300</v>
      </c>
      <c r="B58" s="19" t="s">
        <v>412</v>
      </c>
      <c r="C58" s="15">
        <f>'091110'!C58+'091140'!C58+'096015'!C58</f>
        <v>51335891</v>
      </c>
      <c r="D58" s="15">
        <f>'091110'!D58+'091140'!D58+'096015'!D58</f>
        <v>55424000</v>
      </c>
      <c r="E58" s="15">
        <f>'091110'!E58+'091140'!E58+'096015'!E58</f>
        <v>0</v>
      </c>
      <c r="F58" s="15">
        <f>'091110'!F58+'091140'!F58+'096015'!F58</f>
        <v>55424000</v>
      </c>
      <c r="G58" s="15">
        <f>'091110'!G58+'091140'!G58+'096015'!G58</f>
        <v>24853185</v>
      </c>
      <c r="H58" s="124">
        <f t="shared" si="0"/>
        <v>0.4484191866339492</v>
      </c>
    </row>
    <row r="59" spans="1:8" ht="25.5">
      <c r="A59" s="13" t="s">
        <v>260</v>
      </c>
      <c r="B59" s="14" t="s">
        <v>261</v>
      </c>
      <c r="C59" s="15">
        <f>'091110'!C59+'091140'!C59+'096015'!C59</f>
        <v>54319219</v>
      </c>
      <c r="D59" s="15">
        <f>'091110'!D59+'091140'!D59+'096015'!D59</f>
        <v>58484000</v>
      </c>
      <c r="E59" s="15">
        <f>'091110'!E59+'091140'!E59+'096015'!E59</f>
        <v>-64</v>
      </c>
      <c r="F59" s="15">
        <f>'091110'!F59+'091140'!F59+'096015'!F59</f>
        <v>58483936</v>
      </c>
      <c r="G59" s="15">
        <f>'091110'!G59+'091140'!G59+'096015'!G59</f>
        <v>27913121</v>
      </c>
      <c r="H59" s="124">
        <f t="shared" si="0"/>
        <v>0.47727842736166048</v>
      </c>
    </row>
    <row r="60" spans="1:8" ht="25.5">
      <c r="A60" s="16" t="s">
        <v>262</v>
      </c>
      <c r="B60" s="17" t="s">
        <v>263</v>
      </c>
      <c r="C60" s="119">
        <f>'091110'!C60+'091140'!C60+'096015'!C60</f>
        <v>54319219</v>
      </c>
      <c r="D60" s="119">
        <f>'091110'!D60+'091140'!D60+'096015'!D60</f>
        <v>58484000</v>
      </c>
      <c r="E60" s="119">
        <f>'091110'!E60+'091140'!E60+'096015'!E60</f>
        <v>-64</v>
      </c>
      <c r="F60" s="119">
        <f>'091110'!F60+'091140'!F60+'096015'!F60</f>
        <v>58483936</v>
      </c>
      <c r="G60" s="15">
        <f>'091110'!G60+'091140'!G60+'096015'!G60</f>
        <v>27913121</v>
      </c>
      <c r="H60" s="125">
        <f t="shared" si="0"/>
        <v>0.47727842736166048</v>
      </c>
    </row>
    <row r="61" spans="1:8">
      <c r="A61" s="16" t="s">
        <v>264</v>
      </c>
      <c r="B61" s="17" t="s">
        <v>265</v>
      </c>
      <c r="C61" s="119">
        <f>'091110'!C61+'091140'!C61+'096015'!C61</f>
        <v>59791917</v>
      </c>
      <c r="D61" s="119">
        <f>'091110'!D61+'091140'!D61+'096015'!D61</f>
        <v>65038000</v>
      </c>
      <c r="E61" s="119">
        <f>'091110'!E61+'091140'!E61+'096015'!E61</f>
        <v>-64</v>
      </c>
      <c r="F61" s="119">
        <f>'091110'!F61+'091140'!F61+'096015'!F61</f>
        <v>65037936</v>
      </c>
      <c r="G61" s="15">
        <f>'091110'!G61+'091140'!G61+'096015'!G61</f>
        <v>31528942</v>
      </c>
      <c r="H61" s="125">
        <f t="shared" si="0"/>
        <v>0.48477771496315625</v>
      </c>
    </row>
    <row r="63" spans="1:8" ht="60">
      <c r="A63" s="12" t="s">
        <v>0</v>
      </c>
      <c r="B63" s="12" t="s">
        <v>1</v>
      </c>
      <c r="C63" s="12" t="s">
        <v>269</v>
      </c>
      <c r="D63" s="12" t="s">
        <v>270</v>
      </c>
      <c r="E63" s="12" t="s">
        <v>271</v>
      </c>
      <c r="F63" s="12" t="s">
        <v>457</v>
      </c>
      <c r="G63" s="12" t="s">
        <v>273</v>
      </c>
      <c r="H63" s="123" t="s">
        <v>274</v>
      </c>
    </row>
    <row r="64" spans="1:8" ht="25.5">
      <c r="A64" s="13" t="s">
        <v>31</v>
      </c>
      <c r="B64" s="14" t="s">
        <v>32</v>
      </c>
      <c r="C64" s="15">
        <f>'091110'!C64+'091140'!C64+'096015'!C64</f>
        <v>30977705</v>
      </c>
      <c r="D64" s="15">
        <f>'091110'!D64+'091140'!D64+'096015'!D64</f>
        <v>35178000</v>
      </c>
      <c r="E64" s="15">
        <f>'091110'!E64+'091140'!E64+'096015'!E64</f>
        <v>-360000</v>
      </c>
      <c r="F64" s="15">
        <f>'091110'!F64+'091140'!F64+'096015'!F64</f>
        <v>34818000</v>
      </c>
      <c r="G64" s="15">
        <f>'091110'!G64+'091140'!G64+'096015'!G64</f>
        <v>17496135</v>
      </c>
      <c r="H64" s="124">
        <f t="shared" si="0"/>
        <v>0.50250258486989485</v>
      </c>
    </row>
    <row r="65" spans="1:8" ht="25.5">
      <c r="A65" s="21" t="s">
        <v>178</v>
      </c>
      <c r="B65" s="14" t="s">
        <v>282</v>
      </c>
      <c r="C65" s="15">
        <f>'091110'!C65+'091140'!C65+'096015'!C65</f>
        <v>0</v>
      </c>
      <c r="D65" s="15">
        <f>'091110'!D65+'091140'!D65+'096015'!D65</f>
        <v>0</v>
      </c>
      <c r="E65" s="15">
        <f>'091110'!E65+'091140'!E65+'096015'!E65</f>
        <v>360000</v>
      </c>
      <c r="F65" s="15">
        <f>'091110'!F65+'091140'!F65+'096015'!F65</f>
        <v>360000</v>
      </c>
      <c r="G65" s="15">
        <f>'091110'!G65+'091140'!G65+'096015'!G65</f>
        <v>360000</v>
      </c>
      <c r="H65" s="124"/>
    </row>
    <row r="66" spans="1:8">
      <c r="A66" s="13" t="s">
        <v>33</v>
      </c>
      <c r="B66" s="14" t="s">
        <v>34</v>
      </c>
      <c r="C66" s="15">
        <f>'091110'!C66+'091140'!C66+'096015'!C66</f>
        <v>810900</v>
      </c>
      <c r="D66" s="15">
        <f>'091110'!D66+'091140'!D66+'096015'!D66</f>
        <v>720000</v>
      </c>
      <c r="E66" s="15">
        <f>'091110'!E66+'091140'!E66+'096015'!E66</f>
        <v>0</v>
      </c>
      <c r="F66" s="15">
        <f>'091110'!F66+'091140'!F66+'096015'!F66</f>
        <v>720000</v>
      </c>
      <c r="G66" s="15">
        <f>'091110'!G66+'091140'!G66+'096015'!G66</f>
        <v>420000</v>
      </c>
      <c r="H66" s="124">
        <f t="shared" si="0"/>
        <v>0.58333333333333337</v>
      </c>
    </row>
    <row r="67" spans="1:8">
      <c r="A67" s="13" t="s">
        <v>35</v>
      </c>
      <c r="B67" s="14" t="s">
        <v>36</v>
      </c>
      <c r="C67" s="15">
        <f>'091110'!C67+'091140'!C67+'096015'!C67</f>
        <v>396661</v>
      </c>
      <c r="D67" s="15">
        <f>'091110'!D67+'091140'!D67+'096015'!D67</f>
        <v>501000</v>
      </c>
      <c r="E67" s="15">
        <f>'091110'!E67+'091140'!E67+'096015'!E67</f>
        <v>0</v>
      </c>
      <c r="F67" s="15">
        <f>'091110'!F67+'091140'!F67+'096015'!F67</f>
        <v>501000</v>
      </c>
      <c r="G67" s="15">
        <f>'091110'!G67+'091140'!G67+'096015'!G67</f>
        <v>281856</v>
      </c>
      <c r="H67" s="124">
        <f t="shared" si="0"/>
        <v>0.56258682634730539</v>
      </c>
    </row>
    <row r="68" spans="1:8">
      <c r="A68" s="13" t="s">
        <v>37</v>
      </c>
      <c r="B68" s="14" t="s">
        <v>38</v>
      </c>
      <c r="C68" s="15">
        <f>'091110'!C68+'091140'!C68+'096015'!C68</f>
        <v>151000</v>
      </c>
      <c r="D68" s="15">
        <f>'091110'!D68+'091140'!D68+'096015'!D68</f>
        <v>60000</v>
      </c>
      <c r="E68" s="15">
        <f>'091110'!E68+'091140'!E68+'096015'!E68</f>
        <v>0</v>
      </c>
      <c r="F68" s="15">
        <f>'091110'!F68+'091140'!F68+'096015'!F68</f>
        <v>60000</v>
      </c>
      <c r="G68" s="15">
        <f>'091110'!G68+'091140'!G68+'096015'!G68</f>
        <v>0</v>
      </c>
      <c r="H68" s="124">
        <f t="shared" si="0"/>
        <v>0</v>
      </c>
    </row>
    <row r="69" spans="1:8" ht="25.5">
      <c r="A69" s="13" t="s">
        <v>39</v>
      </c>
      <c r="B69" s="14" t="s">
        <v>40</v>
      </c>
      <c r="C69" s="15">
        <f>'091110'!C69+'091140'!C69+'096015'!C69</f>
        <v>718947</v>
      </c>
      <c r="D69" s="15">
        <f>'091110'!D69+'091140'!D69+'096015'!D69</f>
        <v>132000</v>
      </c>
      <c r="E69" s="15">
        <f>'091110'!E69+'091140'!E69+'096015'!E69</f>
        <v>0</v>
      </c>
      <c r="F69" s="15">
        <f>'091110'!F69+'091140'!F69+'096015'!F69</f>
        <v>132000</v>
      </c>
      <c r="G69" s="15">
        <f>'091110'!G69+'091140'!G69+'096015'!G69</f>
        <v>115790</v>
      </c>
      <c r="H69" s="124">
        <f t="shared" si="0"/>
        <v>0.8771969696969697</v>
      </c>
    </row>
    <row r="70" spans="1:8" ht="25.5">
      <c r="A70" s="13" t="s">
        <v>41</v>
      </c>
      <c r="B70" s="14" t="s">
        <v>42</v>
      </c>
      <c r="C70" s="15">
        <f>'091110'!C70+'091140'!C70+'096015'!C70</f>
        <v>33055213</v>
      </c>
      <c r="D70" s="15">
        <f>'091110'!D70+'091140'!D70+'096015'!D70</f>
        <v>36591000</v>
      </c>
      <c r="E70" s="15">
        <f>'091110'!E70+'091140'!E70+'096015'!E70</f>
        <v>0</v>
      </c>
      <c r="F70" s="15">
        <f>'091110'!F70+'091140'!F70+'096015'!F70</f>
        <v>36591000</v>
      </c>
      <c r="G70" s="15">
        <f>'091110'!G70+'091140'!G70+'096015'!G70</f>
        <v>18673781</v>
      </c>
      <c r="H70" s="124">
        <f t="shared" si="0"/>
        <v>0.51033808860102214</v>
      </c>
    </row>
    <row r="71" spans="1:8">
      <c r="A71" s="13" t="s">
        <v>43</v>
      </c>
      <c r="B71" s="14" t="s">
        <v>44</v>
      </c>
      <c r="C71" s="15">
        <f>'091110'!C71+'091140'!C71+'096015'!C71</f>
        <v>0</v>
      </c>
      <c r="D71" s="15">
        <f>'091110'!D71+'091140'!D71+'096015'!D71</f>
        <v>0</v>
      </c>
      <c r="E71" s="15">
        <f>'091110'!E71+'091140'!E71+'096015'!E71</f>
        <v>0</v>
      </c>
      <c r="F71" s="15">
        <f>'091110'!F71+'091140'!F71+'096015'!F71</f>
        <v>0</v>
      </c>
      <c r="G71" s="15">
        <f>'091110'!G71+'091140'!G71+'096015'!G71</f>
        <v>0</v>
      </c>
      <c r="H71" s="124" t="e">
        <f t="shared" si="0"/>
        <v>#DIV/0!</v>
      </c>
    </row>
    <row r="72" spans="1:8" ht="38.25">
      <c r="A72" s="13" t="s">
        <v>45</v>
      </c>
      <c r="B72" s="14" t="s">
        <v>46</v>
      </c>
      <c r="C72" s="15">
        <f>'091110'!C72+'091140'!C72+'096015'!C72</f>
        <v>0</v>
      </c>
      <c r="D72" s="15">
        <f>'091110'!D72+'091140'!D72+'096015'!D72</f>
        <v>0</v>
      </c>
      <c r="E72" s="15">
        <f>'091110'!E72+'091140'!E72+'096015'!E72</f>
        <v>0</v>
      </c>
      <c r="F72" s="15">
        <f>'091110'!F72+'091140'!F72+'096015'!F72</f>
        <v>0</v>
      </c>
      <c r="G72" s="15">
        <f>'091110'!G72+'091140'!G72+'096015'!G72</f>
        <v>0</v>
      </c>
      <c r="H72" s="124" t="e">
        <f t="shared" si="0"/>
        <v>#DIV/0!</v>
      </c>
    </row>
    <row r="73" spans="1:8">
      <c r="A73" s="13" t="s">
        <v>47</v>
      </c>
      <c r="B73" s="14" t="s">
        <v>48</v>
      </c>
      <c r="C73" s="15">
        <f>'091110'!C73+'091140'!C73+'096015'!C73</f>
        <v>1844</v>
      </c>
      <c r="D73" s="15">
        <f>'091110'!D73+'091140'!D73+'096015'!D73</f>
        <v>10000</v>
      </c>
      <c r="E73" s="15">
        <f>'091110'!E73+'091140'!E73+'096015'!E73</f>
        <v>0</v>
      </c>
      <c r="F73" s="15">
        <f>'091110'!F73+'091140'!F73+'096015'!F73</f>
        <v>10000</v>
      </c>
      <c r="G73" s="15">
        <f>'091110'!G73+'091140'!G73+'096015'!G73</f>
        <v>1634</v>
      </c>
      <c r="H73" s="124">
        <f t="shared" ref="H73:H139" si="1">G73/F73</f>
        <v>0.16339999999999999</v>
      </c>
    </row>
    <row r="74" spans="1:8">
      <c r="A74" s="13" t="s">
        <v>49</v>
      </c>
      <c r="B74" s="14" t="s">
        <v>50</v>
      </c>
      <c r="C74" s="15">
        <f>'091110'!C74+'091140'!C74+'096015'!C74</f>
        <v>1844</v>
      </c>
      <c r="D74" s="15">
        <f>'091110'!D74+'091140'!D74+'096015'!D74</f>
        <v>10000</v>
      </c>
      <c r="E74" s="15">
        <f>'091110'!E74+'091140'!E74+'096015'!E74</f>
        <v>0</v>
      </c>
      <c r="F74" s="15">
        <f>'091110'!F74+'091140'!F74+'096015'!F74</f>
        <v>10000</v>
      </c>
      <c r="G74" s="15">
        <f>'091110'!G74+'091140'!G74+'096015'!G74</f>
        <v>1634</v>
      </c>
      <c r="H74" s="124">
        <f t="shared" si="1"/>
        <v>0.16339999999999999</v>
      </c>
    </row>
    <row r="75" spans="1:8">
      <c r="A75" s="16" t="s">
        <v>51</v>
      </c>
      <c r="B75" s="17" t="s">
        <v>52</v>
      </c>
      <c r="C75" s="119">
        <f>'091110'!C75+'091140'!C75+'096015'!C75</f>
        <v>33057057</v>
      </c>
      <c r="D75" s="119">
        <f>'091110'!D75+'091140'!D75+'096015'!D75</f>
        <v>36601000</v>
      </c>
      <c r="E75" s="119">
        <f>'091110'!E75+'091140'!E75+'096015'!E75</f>
        <v>0</v>
      </c>
      <c r="F75" s="119">
        <f>'091110'!F75+'091140'!F75+'096015'!F75</f>
        <v>36601000</v>
      </c>
      <c r="G75" s="119">
        <f>'091110'!G75+'091140'!G75+'096015'!G75</f>
        <v>18675415</v>
      </c>
      <c r="H75" s="125">
        <f t="shared" si="1"/>
        <v>0.5102432993634054</v>
      </c>
    </row>
    <row r="76" spans="1:8" ht="25.5">
      <c r="A76" s="16" t="s">
        <v>53</v>
      </c>
      <c r="B76" s="17" t="s">
        <v>54</v>
      </c>
      <c r="C76" s="119">
        <f>'091110'!C76+'091140'!C76+'096015'!C76</f>
        <v>8958452</v>
      </c>
      <c r="D76" s="119">
        <f>'091110'!D76+'091140'!D76+'096015'!D76</f>
        <v>7625000</v>
      </c>
      <c r="E76" s="119">
        <f>'091110'!E76+'091140'!E76+'096015'!E76</f>
        <v>0</v>
      </c>
      <c r="F76" s="119">
        <f>'091110'!F76+'091140'!F76+'096015'!F76</f>
        <v>7625000</v>
      </c>
      <c r="G76" s="119">
        <f>'091110'!G76+'091140'!G76+'096015'!G76</f>
        <v>4319402</v>
      </c>
      <c r="H76" s="125">
        <f t="shared" si="1"/>
        <v>0.56647895081967214</v>
      </c>
    </row>
    <row r="77" spans="1:8">
      <c r="A77" s="13" t="s">
        <v>55</v>
      </c>
      <c r="B77" s="14" t="s">
        <v>56</v>
      </c>
      <c r="C77" s="15">
        <f>'091110'!C77+'091140'!C77+'096015'!C77</f>
        <v>8603363</v>
      </c>
      <c r="D77" s="15">
        <f>'091110'!D77+'091140'!D77+'096015'!D77</f>
        <v>7279000</v>
      </c>
      <c r="E77" s="15">
        <f>'091110'!E77+'091140'!E77+'096015'!E77</f>
        <v>0</v>
      </c>
      <c r="F77" s="15">
        <f>'091110'!F77+'091140'!F77+'096015'!F77</f>
        <v>7279000</v>
      </c>
      <c r="G77" s="15">
        <f>'091110'!G77+'091140'!G77+'096015'!G77</f>
        <v>4099162</v>
      </c>
      <c r="H77" s="124">
        <f t="shared" si="1"/>
        <v>0.56314905893666711</v>
      </c>
    </row>
    <row r="78" spans="1:8">
      <c r="A78" s="13" t="s">
        <v>57</v>
      </c>
      <c r="B78" s="14" t="s">
        <v>58</v>
      </c>
      <c r="C78" s="15">
        <f>'091110'!C78+'091140'!C78+'096015'!C78</f>
        <v>186086</v>
      </c>
      <c r="D78" s="15">
        <f>'091110'!D78+'091140'!D78+'096015'!D78</f>
        <v>210000</v>
      </c>
      <c r="E78" s="15">
        <f>'091110'!E78+'091140'!E78+'096015'!E78</f>
        <v>0</v>
      </c>
      <c r="F78" s="15">
        <f>'091110'!F78+'091140'!F78+'096015'!F78</f>
        <v>210000</v>
      </c>
      <c r="G78" s="15">
        <f>'091110'!G78+'091140'!G78+'096015'!G78</f>
        <v>75490</v>
      </c>
      <c r="H78" s="124">
        <f t="shared" si="1"/>
        <v>0.35947619047619045</v>
      </c>
    </row>
    <row r="79" spans="1:8">
      <c r="A79" s="13" t="s">
        <v>59</v>
      </c>
      <c r="B79" s="14" t="s">
        <v>60</v>
      </c>
      <c r="C79" s="15">
        <f>'091110'!C79+'091140'!C79+'096015'!C79</f>
        <v>7399</v>
      </c>
      <c r="D79" s="15">
        <f>'091110'!D79+'091140'!D79+'096015'!D79</f>
        <v>0</v>
      </c>
      <c r="E79" s="15">
        <f>'091110'!E79+'091140'!E79+'096015'!E79</f>
        <v>0</v>
      </c>
      <c r="F79" s="15">
        <f>'091110'!F79+'091140'!F79+'096015'!F79</f>
        <v>0</v>
      </c>
      <c r="G79" s="15">
        <f>'091110'!G79+'091140'!G79+'096015'!G79</f>
        <v>68819</v>
      </c>
      <c r="H79" s="124" t="e">
        <f t="shared" si="1"/>
        <v>#DIV/0!</v>
      </c>
    </row>
    <row r="80" spans="1:8" ht="25.5">
      <c r="A80" s="13" t="s">
        <v>61</v>
      </c>
      <c r="B80" s="14" t="s">
        <v>62</v>
      </c>
      <c r="C80" s="15">
        <f>'091110'!C80+'091140'!C80+'096015'!C80</f>
        <v>161604</v>
      </c>
      <c r="D80" s="15">
        <f>'091110'!D80+'091140'!D80+'096015'!D80</f>
        <v>136000</v>
      </c>
      <c r="E80" s="15">
        <f>'091110'!E80+'091140'!E80+'096015'!E80</f>
        <v>0</v>
      </c>
      <c r="F80" s="15">
        <f>'091110'!F80+'091140'!F80+'096015'!F80</f>
        <v>136000</v>
      </c>
      <c r="G80" s="15">
        <f>'091110'!G80+'091140'!G80+'096015'!G80</f>
        <v>75931</v>
      </c>
      <c r="H80" s="124">
        <f t="shared" si="1"/>
        <v>0.55831617647058829</v>
      </c>
    </row>
    <row r="81" spans="1:8">
      <c r="A81" s="13" t="s">
        <v>63</v>
      </c>
      <c r="B81" s="14" t="s">
        <v>64</v>
      </c>
      <c r="C81" s="15">
        <f>'091110'!C81+'091140'!C81+'096015'!C81</f>
        <v>109925</v>
      </c>
      <c r="D81" s="15">
        <f>'091110'!D81+'091140'!D81+'096015'!D81</f>
        <v>110000</v>
      </c>
      <c r="E81" s="15">
        <f>'091110'!E81+'091140'!E81+'096015'!E81</f>
        <v>0</v>
      </c>
      <c r="F81" s="15">
        <f>'091110'!F81+'091140'!F81+'096015'!F81</f>
        <v>110000</v>
      </c>
      <c r="G81" s="15">
        <f>'091110'!G81+'091140'!G81+'096015'!G81</f>
        <v>85864</v>
      </c>
      <c r="H81" s="124">
        <f t="shared" si="1"/>
        <v>0.78058181818181815</v>
      </c>
    </row>
    <row r="82" spans="1:8">
      <c r="A82" s="13" t="s">
        <v>65</v>
      </c>
      <c r="B82" s="14" t="s">
        <v>66</v>
      </c>
      <c r="C82" s="15">
        <f>'091110'!C82+'091140'!C82+'096015'!C82</f>
        <v>841193</v>
      </c>
      <c r="D82" s="15">
        <f>'091110'!D82+'091140'!D82+'096015'!D82</f>
        <v>1000000</v>
      </c>
      <c r="E82" s="15">
        <f>'091110'!E82+'091140'!E82+'096015'!E82</f>
        <v>-1136</v>
      </c>
      <c r="F82" s="15">
        <f>'091110'!F82+'091140'!F82+'096015'!F82</f>
        <v>998864</v>
      </c>
      <c r="G82" s="15">
        <f>'091110'!G82+'091140'!G82+'096015'!G82</f>
        <v>447921</v>
      </c>
      <c r="H82" s="124">
        <f t="shared" si="1"/>
        <v>0.44843041695365937</v>
      </c>
    </row>
    <row r="83" spans="1:8">
      <c r="A83" s="13" t="s">
        <v>67</v>
      </c>
      <c r="B83" s="14" t="s">
        <v>68</v>
      </c>
      <c r="C83" s="15">
        <f>'091110'!C83+'091140'!C83+'096015'!C83</f>
        <v>951118</v>
      </c>
      <c r="D83" s="15">
        <f>'091110'!D83+'091140'!D83+'096015'!D83</f>
        <v>1110000</v>
      </c>
      <c r="E83" s="15">
        <f>'091110'!E83+'091140'!E83+'096015'!E83</f>
        <v>-1136</v>
      </c>
      <c r="F83" s="15">
        <f>'091110'!F83+'091140'!F83+'096015'!F83</f>
        <v>1108864</v>
      </c>
      <c r="G83" s="15">
        <f>'091110'!G83+'091140'!G83+'096015'!G83</f>
        <v>533785</v>
      </c>
      <c r="H83" s="124">
        <f t="shared" si="1"/>
        <v>0.48138004299896109</v>
      </c>
    </row>
    <row r="84" spans="1:8">
      <c r="A84" s="13" t="s">
        <v>69</v>
      </c>
      <c r="B84" s="14" t="s">
        <v>70</v>
      </c>
      <c r="C84" s="15">
        <f>'091110'!C84+'091140'!C84+'096015'!C84</f>
        <v>95880</v>
      </c>
      <c r="D84" s="15">
        <f>'091110'!D84+'091140'!D84+'096015'!D84</f>
        <v>100000</v>
      </c>
      <c r="E84" s="15">
        <f>'091110'!E84+'091140'!E84+'096015'!E84</f>
        <v>0</v>
      </c>
      <c r="F84" s="15">
        <f>'091110'!F84+'091140'!F84+'096015'!F84</f>
        <v>100000</v>
      </c>
      <c r="G84" s="15">
        <f>'091110'!G84+'091140'!G84+'096015'!G84</f>
        <v>53540</v>
      </c>
      <c r="H84" s="124">
        <f t="shared" si="1"/>
        <v>0.53539999999999999</v>
      </c>
    </row>
    <row r="85" spans="1:8">
      <c r="A85" s="13" t="s">
        <v>71</v>
      </c>
      <c r="B85" s="14" t="s">
        <v>72</v>
      </c>
      <c r="C85" s="15">
        <f>'091110'!C85+'091140'!C85+'096015'!C85</f>
        <v>67841</v>
      </c>
      <c r="D85" s="15">
        <f>'091110'!D85+'091140'!D85+'096015'!D85</f>
        <v>50000</v>
      </c>
      <c r="E85" s="15">
        <f>'091110'!E85+'091140'!E85+'096015'!E85</f>
        <v>0</v>
      </c>
      <c r="F85" s="15">
        <f>'091110'!F85+'091140'!F85+'096015'!F85</f>
        <v>50000</v>
      </c>
      <c r="G85" s="15">
        <f>'091110'!G85+'091140'!G85+'096015'!G85</f>
        <v>12070</v>
      </c>
      <c r="H85" s="124">
        <f t="shared" si="1"/>
        <v>0.2414</v>
      </c>
    </row>
    <row r="86" spans="1:8">
      <c r="A86" s="13" t="s">
        <v>73</v>
      </c>
      <c r="B86" s="14" t="s">
        <v>74</v>
      </c>
      <c r="C86" s="15">
        <f>'091110'!C86+'091140'!C86+'096015'!C86</f>
        <v>163721</v>
      </c>
      <c r="D86" s="15">
        <f>'091110'!D86+'091140'!D86+'096015'!D86</f>
        <v>150000</v>
      </c>
      <c r="E86" s="15">
        <f>'091110'!E86+'091140'!E86+'096015'!E86</f>
        <v>0</v>
      </c>
      <c r="F86" s="15">
        <f>'091110'!F86+'091140'!F86+'096015'!F86</f>
        <v>150000</v>
      </c>
      <c r="G86" s="15">
        <f>'091110'!G86+'091140'!G86+'096015'!G86</f>
        <v>65610</v>
      </c>
      <c r="H86" s="124">
        <f t="shared" si="1"/>
        <v>0.43740000000000001</v>
      </c>
    </row>
    <row r="87" spans="1:8">
      <c r="A87" s="13" t="s">
        <v>75</v>
      </c>
      <c r="B87" s="14" t="s">
        <v>76</v>
      </c>
      <c r="C87" s="15">
        <f>'091110'!C87+'091140'!C87+'096015'!C87</f>
        <v>1721030</v>
      </c>
      <c r="D87" s="15">
        <f>'091110'!D87+'091140'!D87+'096015'!D87</f>
        <v>1600000</v>
      </c>
      <c r="E87" s="15">
        <f>'091110'!E87+'091140'!E87+'096015'!E87</f>
        <v>0</v>
      </c>
      <c r="F87" s="15">
        <f>'091110'!F87+'091140'!F87+'096015'!F87</f>
        <v>1600000</v>
      </c>
      <c r="G87" s="15">
        <f>'091110'!G87+'091140'!G87+'096015'!G87</f>
        <v>752424</v>
      </c>
      <c r="H87" s="124">
        <f t="shared" si="1"/>
        <v>0.47026499999999999</v>
      </c>
    </row>
    <row r="88" spans="1:8">
      <c r="A88" s="13" t="s">
        <v>77</v>
      </c>
      <c r="B88" s="14" t="s">
        <v>78</v>
      </c>
      <c r="C88" s="15">
        <f>'091110'!C88+'091140'!C88+'096015'!C88</f>
        <v>8258455</v>
      </c>
      <c r="D88" s="15">
        <f>'091110'!D88+'091140'!D88+'096015'!D88</f>
        <v>9737000</v>
      </c>
      <c r="E88" s="15">
        <f>'091110'!E88+'091140'!E88+'096015'!E88</f>
        <v>0</v>
      </c>
      <c r="F88" s="15">
        <f>'091110'!F88+'091140'!F88+'096015'!F88</f>
        <v>9737000</v>
      </c>
      <c r="G88" s="15">
        <f>'091110'!G88+'091140'!G88+'096015'!G88</f>
        <v>4245937</v>
      </c>
      <c r="H88" s="124">
        <f t="shared" si="1"/>
        <v>0.43606213412755468</v>
      </c>
    </row>
    <row r="89" spans="1:8">
      <c r="A89" s="20" t="s">
        <v>276</v>
      </c>
      <c r="B89" s="19" t="s">
        <v>277</v>
      </c>
      <c r="C89" s="15">
        <f>'091110'!C89+'091140'!C89+'096015'!C89</f>
        <v>0</v>
      </c>
      <c r="D89" s="15">
        <f>'091110'!D89+'091140'!D89+'096015'!D89</f>
        <v>0</v>
      </c>
      <c r="E89" s="15">
        <f>'091110'!E89+'091140'!E89+'096015'!E89</f>
        <v>0</v>
      </c>
      <c r="F89" s="15">
        <f>'091110'!F89+'091140'!F89+'096015'!F89</f>
        <v>0</v>
      </c>
      <c r="G89" s="15">
        <f>'091110'!G89+'091140'!G89+'096015'!G89</f>
        <v>0</v>
      </c>
      <c r="H89" s="124"/>
    </row>
    <row r="90" spans="1:8">
      <c r="A90" s="13" t="s">
        <v>79</v>
      </c>
      <c r="B90" s="14" t="s">
        <v>80</v>
      </c>
      <c r="C90" s="15">
        <f>'091110'!C90+'091140'!C90+'096015'!C90</f>
        <v>25640</v>
      </c>
      <c r="D90" s="15">
        <f>'091110'!D90+'091140'!D90+'096015'!D90</f>
        <v>500000</v>
      </c>
      <c r="E90" s="15">
        <f>'091110'!E90+'091140'!E90+'096015'!E90</f>
        <v>-194587</v>
      </c>
      <c r="F90" s="15">
        <f>'091110'!F90+'091140'!F90+'096015'!F90</f>
        <v>305413</v>
      </c>
      <c r="G90" s="15">
        <f>'091110'!G90+'091140'!G90+'096015'!G90</f>
        <v>26400</v>
      </c>
      <c r="H90" s="124">
        <f t="shared" si="1"/>
        <v>8.6440328342277509E-2</v>
      </c>
    </row>
    <row r="91" spans="1:8">
      <c r="A91" s="13" t="s">
        <v>81</v>
      </c>
      <c r="B91" s="14" t="s">
        <v>82</v>
      </c>
      <c r="C91" s="15">
        <f>'091110'!C91+'091140'!C91+'096015'!C91</f>
        <v>0</v>
      </c>
      <c r="D91" s="15">
        <f>'091110'!D91+'091140'!D91+'096015'!D91</f>
        <v>0</v>
      </c>
      <c r="E91" s="15">
        <f>'091110'!E91+'091140'!E91+'096015'!E91</f>
        <v>0</v>
      </c>
      <c r="F91" s="15">
        <f>'091110'!F91+'091140'!F91+'096015'!F91</f>
        <v>0</v>
      </c>
      <c r="G91" s="15">
        <f>'091110'!G91+'091140'!G91+'096015'!G91</f>
        <v>0</v>
      </c>
      <c r="H91" s="124" t="e">
        <f t="shared" si="1"/>
        <v>#DIV/0!</v>
      </c>
    </row>
    <row r="92" spans="1:8">
      <c r="A92" s="13" t="s">
        <v>83</v>
      </c>
      <c r="B92" s="14" t="s">
        <v>84</v>
      </c>
      <c r="C92" s="15">
        <f>'091110'!C92+'091140'!C92+'096015'!C92</f>
        <v>0</v>
      </c>
      <c r="D92" s="15">
        <f>'091110'!D92+'091140'!D92+'096015'!D92</f>
        <v>0</v>
      </c>
      <c r="E92" s="15">
        <f>'091110'!E92+'091140'!E92+'096015'!E92</f>
        <v>0</v>
      </c>
      <c r="F92" s="15">
        <f>'091110'!F92+'091140'!F92+'096015'!F92</f>
        <v>0</v>
      </c>
      <c r="G92" s="15">
        <f>'091110'!G92+'091140'!G92+'096015'!G92</f>
        <v>0</v>
      </c>
      <c r="H92" s="124" t="e">
        <f t="shared" si="1"/>
        <v>#DIV/0!</v>
      </c>
    </row>
    <row r="93" spans="1:8" ht="25.5">
      <c r="A93" s="13" t="s">
        <v>85</v>
      </c>
      <c r="B93" s="14" t="s">
        <v>86</v>
      </c>
      <c r="C93" s="15">
        <f>'091110'!C93+'091140'!C93+'096015'!C93</f>
        <v>0</v>
      </c>
      <c r="D93" s="15">
        <f>'091110'!D93+'091140'!D93+'096015'!D93</f>
        <v>150000</v>
      </c>
      <c r="E93" s="15">
        <f>'091110'!E93+'091140'!E93+'096015'!E93</f>
        <v>0</v>
      </c>
      <c r="F93" s="15">
        <f>'091110'!F93+'091140'!F93+'096015'!F93</f>
        <v>150000</v>
      </c>
      <c r="G93" s="15">
        <f>'091110'!G93+'091140'!G93+'096015'!G93</f>
        <v>39586</v>
      </c>
      <c r="H93" s="124">
        <f t="shared" si="1"/>
        <v>0.26390666666666668</v>
      </c>
    </row>
    <row r="94" spans="1:8">
      <c r="A94" s="13" t="s">
        <v>87</v>
      </c>
      <c r="B94" s="14" t="s">
        <v>88</v>
      </c>
      <c r="C94" s="15">
        <f>'091110'!C94+'091140'!C94+'096015'!C94</f>
        <v>488380</v>
      </c>
      <c r="D94" s="15">
        <f>'091110'!D94+'091140'!D94+'096015'!D94</f>
        <v>350000</v>
      </c>
      <c r="E94" s="15">
        <f>'091110'!E94+'091140'!E94+'096015'!E94</f>
        <v>0</v>
      </c>
      <c r="F94" s="15">
        <f>'091110'!F94+'091140'!F94+'096015'!F94</f>
        <v>350000</v>
      </c>
      <c r="G94" s="15">
        <f>'091110'!G94+'091140'!G94+'096015'!G94</f>
        <v>214877</v>
      </c>
      <c r="H94" s="124">
        <f t="shared" si="1"/>
        <v>0.61393428571428577</v>
      </c>
    </row>
    <row r="95" spans="1:8">
      <c r="A95" s="13" t="s">
        <v>89</v>
      </c>
      <c r="B95" s="14" t="s">
        <v>90</v>
      </c>
      <c r="C95" s="15">
        <f>'091110'!C95+'091140'!C95+'096015'!C95</f>
        <v>0</v>
      </c>
      <c r="D95" s="15">
        <f>'091110'!D95+'091140'!D95+'096015'!D95</f>
        <v>0</v>
      </c>
      <c r="E95" s="15">
        <f>'091110'!E95+'091140'!E95+'096015'!E95</f>
        <v>0</v>
      </c>
      <c r="F95" s="15">
        <f>'091110'!F95+'091140'!F95+'096015'!F95</f>
        <v>0</v>
      </c>
      <c r="G95" s="15">
        <f>'091110'!G95+'091140'!G95+'096015'!G95</f>
        <v>0</v>
      </c>
      <c r="H95" s="124" t="e">
        <f t="shared" si="1"/>
        <v>#DIV/0!</v>
      </c>
    </row>
    <row r="96" spans="1:8" ht="25.5">
      <c r="A96" s="13" t="s">
        <v>91</v>
      </c>
      <c r="B96" s="14" t="s">
        <v>92</v>
      </c>
      <c r="C96" s="15">
        <f>'091110'!C96+'091140'!C96+'096015'!C96</f>
        <v>10493505</v>
      </c>
      <c r="D96" s="15">
        <f>'091110'!D96+'091140'!D96+'096015'!D96</f>
        <v>12337000</v>
      </c>
      <c r="E96" s="15">
        <f>'091110'!E96+'091140'!E96+'096015'!E96</f>
        <v>-194587</v>
      </c>
      <c r="F96" s="15">
        <f>'091110'!F96+'091140'!F96+'096015'!F96</f>
        <v>12142413</v>
      </c>
      <c r="G96" s="15">
        <f>'091110'!G96+'091140'!G96+'096015'!G96</f>
        <v>5279224</v>
      </c>
      <c r="H96" s="124">
        <f t="shared" si="1"/>
        <v>0.43477552608365405</v>
      </c>
    </row>
    <row r="97" spans="1:8">
      <c r="A97" s="13" t="s">
        <v>280</v>
      </c>
      <c r="B97" s="14" t="s">
        <v>281</v>
      </c>
      <c r="C97" s="15">
        <f>'091110'!C97+'091140'!C97+'096015'!C97</f>
        <v>0</v>
      </c>
      <c r="D97" s="15">
        <f>'091110'!D97+'091140'!D97+'096015'!D97</f>
        <v>4000</v>
      </c>
      <c r="E97" s="15">
        <f>'091110'!E97+'091140'!E97+'096015'!E97</f>
        <v>500</v>
      </c>
      <c r="F97" s="15">
        <f>'091110'!F97+'091140'!F97+'096015'!F97</f>
        <v>4500</v>
      </c>
      <c r="G97" s="15">
        <f>'091110'!G97+'091140'!G97+'096015'!G97</f>
        <v>4500</v>
      </c>
      <c r="H97" s="124"/>
    </row>
    <row r="98" spans="1:8">
      <c r="A98" s="13" t="s">
        <v>93</v>
      </c>
      <c r="B98" s="14" t="s">
        <v>94</v>
      </c>
      <c r="C98" s="15">
        <f>'091110'!C98+'091140'!C98+'096015'!C98</f>
        <v>0</v>
      </c>
      <c r="D98" s="15">
        <f>'091110'!D98+'091140'!D98+'096015'!D98</f>
        <v>0</v>
      </c>
      <c r="E98" s="15">
        <f>'091110'!E98+'091140'!E98+'096015'!E98</f>
        <v>0</v>
      </c>
      <c r="F98" s="15">
        <f>'091110'!F98+'091140'!F98+'096015'!F98</f>
        <v>0</v>
      </c>
      <c r="G98" s="15">
        <f>'091110'!G98+'091140'!G98+'096015'!G98</f>
        <v>0</v>
      </c>
      <c r="H98" s="124" t="e">
        <f t="shared" si="1"/>
        <v>#DIV/0!</v>
      </c>
    </row>
    <row r="99" spans="1:8" ht="25.5">
      <c r="A99" s="13" t="s">
        <v>95</v>
      </c>
      <c r="B99" s="14" t="s">
        <v>96</v>
      </c>
      <c r="C99" s="15">
        <f>'091110'!C99+'091140'!C99+'096015'!C99</f>
        <v>0</v>
      </c>
      <c r="D99" s="15">
        <f>'091110'!D99+'091140'!D99+'096015'!D99</f>
        <v>4000</v>
      </c>
      <c r="E99" s="15">
        <f>'091110'!E99+'091140'!E99+'096015'!E99</f>
        <v>500</v>
      </c>
      <c r="F99" s="15">
        <f>'091110'!F99+'091140'!F99+'096015'!F99</f>
        <v>4500</v>
      </c>
      <c r="G99" s="15">
        <f>'091110'!G99+'091140'!G99+'096015'!G99</f>
        <v>4500</v>
      </c>
      <c r="H99" s="124">
        <f t="shared" si="1"/>
        <v>1</v>
      </c>
    </row>
    <row r="100" spans="1:8" ht="25.5">
      <c r="A100" s="13" t="s">
        <v>97</v>
      </c>
      <c r="B100" s="14" t="s">
        <v>98</v>
      </c>
      <c r="C100" s="15">
        <f>'091110'!C100+'091140'!C100+'096015'!C100</f>
        <v>3060706</v>
      </c>
      <c r="D100" s="15">
        <f>'091110'!D100+'091140'!D100+'096015'!D100</f>
        <v>3671000</v>
      </c>
      <c r="E100" s="15">
        <f>'091110'!E100+'091140'!E100+'096015'!E100</f>
        <v>0</v>
      </c>
      <c r="F100" s="15">
        <f>'091110'!F100+'091140'!F100+'096015'!F100</f>
        <v>3671000</v>
      </c>
      <c r="G100" s="15">
        <f>'091110'!G100+'091140'!G100+'096015'!G100</f>
        <v>1539650</v>
      </c>
      <c r="H100" s="124">
        <f t="shared" si="1"/>
        <v>0.41940888041405611</v>
      </c>
    </row>
    <row r="101" spans="1:8" s="121" customFormat="1">
      <c r="A101" s="13">
        <v>52</v>
      </c>
      <c r="B101" s="14" t="s">
        <v>458</v>
      </c>
      <c r="C101" s="15"/>
      <c r="D101" s="15"/>
      <c r="E101" s="15"/>
      <c r="F101" s="15">
        <f>'091110'!F101+'091140'!F101+'096015'!F101</f>
        <v>5</v>
      </c>
      <c r="G101" s="15"/>
      <c r="H101" s="124">
        <f t="shared" si="1"/>
        <v>0</v>
      </c>
    </row>
    <row r="102" spans="1:8">
      <c r="A102" s="13" t="s">
        <v>99</v>
      </c>
      <c r="B102" s="14" t="s">
        <v>100</v>
      </c>
      <c r="C102" s="15">
        <f>'091110'!C102+'091140'!C102+'096015'!C102</f>
        <v>14402</v>
      </c>
      <c r="D102" s="15">
        <f>'091110'!D102+'091140'!D102+'096015'!D102</f>
        <v>0</v>
      </c>
      <c r="E102" s="15">
        <f>'091110'!E102+'091140'!E102+'096015'!E102</f>
        <v>3321</v>
      </c>
      <c r="F102" s="15">
        <f>'091110'!F102+'091140'!F102+'096015'!F102</f>
        <v>3321</v>
      </c>
      <c r="G102" s="15">
        <f>'091110'!G102+'091140'!G102+'096015'!G102</f>
        <v>3321</v>
      </c>
      <c r="H102" s="124">
        <f t="shared" si="1"/>
        <v>1</v>
      </c>
    </row>
    <row r="103" spans="1:8" ht="25.5">
      <c r="A103" s="13" t="s">
        <v>101</v>
      </c>
      <c r="B103" s="14" t="s">
        <v>102</v>
      </c>
      <c r="C103" s="15">
        <f>'091110'!C103+'091140'!C103+'096015'!C103</f>
        <v>3075108</v>
      </c>
      <c r="D103" s="15">
        <f>'091110'!D103+'091140'!D103+'096015'!D103</f>
        <v>3671000</v>
      </c>
      <c r="E103" s="15">
        <f>'091110'!E103+'091140'!E103+'096015'!E103</f>
        <v>3326</v>
      </c>
      <c r="F103" s="15">
        <f>'091110'!F103+'091140'!F103+'096015'!F103</f>
        <v>3674326</v>
      </c>
      <c r="G103" s="15">
        <f>'091110'!G103+'091140'!G103+'096015'!G103</f>
        <v>1542976</v>
      </c>
      <c r="H103" s="124">
        <f t="shared" si="1"/>
        <v>0.41993443151206505</v>
      </c>
    </row>
    <row r="104" spans="1:8">
      <c r="A104" s="16" t="s">
        <v>103</v>
      </c>
      <c r="B104" s="17" t="s">
        <v>104</v>
      </c>
      <c r="C104" s="119">
        <f>'091110'!C104+'091140'!C104+'096015'!C104</f>
        <v>14683452</v>
      </c>
      <c r="D104" s="119">
        <f>'091110'!D104+'091140'!D104+'096015'!D104</f>
        <v>17272000</v>
      </c>
      <c r="E104" s="119">
        <f>'091110'!E104+'091140'!E104+'096015'!E104</f>
        <v>-191897</v>
      </c>
      <c r="F104" s="119">
        <f>'091110'!F104+'091140'!F104+'096015'!F104</f>
        <v>17080103</v>
      </c>
      <c r="G104" s="119">
        <f>'091110'!G104+'091140'!G104+'096015'!G104</f>
        <v>7426095</v>
      </c>
      <c r="H104" s="125">
        <f t="shared" si="1"/>
        <v>0.43478045770567075</v>
      </c>
    </row>
    <row r="105" spans="1:8">
      <c r="A105" s="13" t="s">
        <v>105</v>
      </c>
      <c r="B105" s="14" t="s">
        <v>106</v>
      </c>
      <c r="C105" s="15">
        <f>'091110'!C105+'091140'!C105+'096015'!C105</f>
        <v>0</v>
      </c>
      <c r="D105" s="15">
        <f>'091110'!D105+'091140'!D105+'096015'!D105</f>
        <v>0</v>
      </c>
      <c r="E105" s="15">
        <f>'091110'!E105+'091140'!E105+'096015'!E105</f>
        <v>0</v>
      </c>
      <c r="F105" s="15">
        <f>'091110'!F105+'091140'!F105+'096015'!F105</f>
        <v>0</v>
      </c>
      <c r="G105" s="15">
        <f>'091110'!G105+'091140'!G105+'096015'!G105</f>
        <v>0</v>
      </c>
      <c r="H105" s="124" t="e">
        <f t="shared" si="1"/>
        <v>#DIV/0!</v>
      </c>
    </row>
    <row r="106" spans="1:8" ht="25.5">
      <c r="A106" s="13" t="s">
        <v>107</v>
      </c>
      <c r="B106" s="14" t="s">
        <v>108</v>
      </c>
      <c r="C106" s="15">
        <f>'091110'!C106+'091140'!C106+'096015'!C106</f>
        <v>0</v>
      </c>
      <c r="D106" s="15">
        <f>'091110'!D106+'091140'!D106+'096015'!D106</f>
        <v>0</v>
      </c>
      <c r="E106" s="15">
        <f>'091110'!E106+'091140'!E106+'096015'!E106</f>
        <v>0</v>
      </c>
      <c r="F106" s="15">
        <f>'091110'!F106+'091140'!F106+'096015'!F106</f>
        <v>0</v>
      </c>
      <c r="G106" s="15">
        <f>'091110'!G106+'091140'!G106+'096015'!G106</f>
        <v>0</v>
      </c>
      <c r="H106" s="124" t="e">
        <f t="shared" si="1"/>
        <v>#DIV/0!</v>
      </c>
    </row>
    <row r="107" spans="1:8" ht="25.5">
      <c r="A107" s="13">
        <v>93</v>
      </c>
      <c r="B107" s="14" t="s">
        <v>419</v>
      </c>
      <c r="C107" s="15"/>
      <c r="D107" s="15"/>
      <c r="E107" s="15"/>
      <c r="F107" s="15"/>
      <c r="G107" s="15"/>
      <c r="H107" s="124"/>
    </row>
    <row r="108" spans="1:8" ht="25.5">
      <c r="A108" s="13">
        <v>96</v>
      </c>
      <c r="B108" s="14" t="s">
        <v>420</v>
      </c>
      <c r="C108" s="15"/>
      <c r="D108" s="15"/>
      <c r="E108" s="15"/>
      <c r="F108" s="15"/>
      <c r="G108" s="15"/>
      <c r="H108" s="124"/>
    </row>
    <row r="109" spans="1:8" ht="25.5">
      <c r="A109" s="13" t="s">
        <v>109</v>
      </c>
      <c r="B109" s="14" t="s">
        <v>110</v>
      </c>
      <c r="C109" s="15">
        <f>'091110'!C107+'091140'!C107+'096015'!C107</f>
        <v>0</v>
      </c>
      <c r="D109" s="15">
        <f>'091110'!D107+'091140'!D107+'096015'!D107</f>
        <v>0</v>
      </c>
      <c r="E109" s="15">
        <f>'091110'!E107+'091140'!E107+'096015'!E107</f>
        <v>0</v>
      </c>
      <c r="F109" s="15">
        <f>'091110'!F107+'091140'!F107+'096015'!F107</f>
        <v>0</v>
      </c>
      <c r="G109" s="15">
        <f>'091110'!G107+'091140'!G107+'096015'!G107</f>
        <v>0</v>
      </c>
      <c r="H109" s="124" t="e">
        <f t="shared" si="1"/>
        <v>#DIV/0!</v>
      </c>
    </row>
    <row r="110" spans="1:8" ht="25.5">
      <c r="A110" s="13" t="s">
        <v>111</v>
      </c>
      <c r="B110" s="14" t="s">
        <v>112</v>
      </c>
      <c r="C110" s="15">
        <f>'091110'!C108+'091140'!C108+'096015'!C108</f>
        <v>0</v>
      </c>
      <c r="D110" s="15">
        <f>'091110'!D108+'091140'!D108+'096015'!D108</f>
        <v>0</v>
      </c>
      <c r="E110" s="15">
        <f>'091110'!E108+'091140'!E108+'096015'!E108</f>
        <v>0</v>
      </c>
      <c r="F110" s="15">
        <f>'091110'!F108+'091140'!F108+'096015'!F108</f>
        <v>0</v>
      </c>
      <c r="G110" s="15">
        <f>'091110'!G108+'091140'!G108+'096015'!G108</f>
        <v>0</v>
      </c>
      <c r="H110" s="124" t="e">
        <f t="shared" si="1"/>
        <v>#DIV/0!</v>
      </c>
    </row>
    <row r="111" spans="1:8">
      <c r="A111" s="13" t="s">
        <v>113</v>
      </c>
      <c r="B111" s="14" t="s">
        <v>114</v>
      </c>
      <c r="C111" s="15">
        <f>'091110'!C109+'091140'!C109+'096015'!C109</f>
        <v>0</v>
      </c>
      <c r="D111" s="15">
        <f>'091110'!D109+'091140'!D109+'096015'!D109</f>
        <v>0</v>
      </c>
      <c r="E111" s="15">
        <f>'091110'!E109+'091140'!E109+'096015'!E109</f>
        <v>0</v>
      </c>
      <c r="F111" s="15">
        <f>'091110'!F109+'091140'!F109+'096015'!F109</f>
        <v>0</v>
      </c>
      <c r="G111" s="15">
        <f>'091110'!G109+'091140'!G109+'096015'!G109</f>
        <v>0</v>
      </c>
      <c r="H111" s="124" t="e">
        <f t="shared" si="1"/>
        <v>#DIV/0!</v>
      </c>
    </row>
    <row r="112" spans="1:8" ht="38.25">
      <c r="A112" s="13" t="s">
        <v>115</v>
      </c>
      <c r="B112" s="14" t="s">
        <v>116</v>
      </c>
      <c r="C112" s="15">
        <f>'091110'!C110+'091140'!C110+'096015'!C110</f>
        <v>0</v>
      </c>
      <c r="D112" s="15">
        <f>'091110'!D110+'091140'!D110+'096015'!D110</f>
        <v>0</v>
      </c>
      <c r="E112" s="15">
        <f>'091110'!E110+'091140'!E110+'096015'!E110</f>
        <v>0</v>
      </c>
      <c r="F112" s="15">
        <f>'091110'!F110+'091140'!F110+'096015'!F110</f>
        <v>0</v>
      </c>
      <c r="G112" s="15">
        <f>'091110'!G110+'091140'!G110+'096015'!G110</f>
        <v>0</v>
      </c>
      <c r="H112" s="124" t="e">
        <f t="shared" si="1"/>
        <v>#DIV/0!</v>
      </c>
    </row>
    <row r="113" spans="1:8" ht="25.5">
      <c r="A113" s="16" t="s">
        <v>117</v>
      </c>
      <c r="B113" s="17" t="s">
        <v>118</v>
      </c>
      <c r="C113" s="119">
        <f>'091110'!C111+'091140'!C111+'096015'!C111</f>
        <v>0</v>
      </c>
      <c r="D113" s="119">
        <f>'091110'!D111+'091140'!D111+'096015'!D111</f>
        <v>0</v>
      </c>
      <c r="E113" s="119">
        <f>'091110'!E111+'091140'!E111+'096015'!E111</f>
        <v>0</v>
      </c>
      <c r="F113" s="119">
        <f>'091110'!F111+'091140'!F111+'096015'!F111</f>
        <v>0</v>
      </c>
      <c r="G113" s="119">
        <f>'091110'!G111+'091140'!G111+'096015'!G111</f>
        <v>0</v>
      </c>
      <c r="H113" s="125" t="e">
        <f t="shared" si="1"/>
        <v>#DIV/0!</v>
      </c>
    </row>
    <row r="114" spans="1:8" ht="25.5">
      <c r="A114" s="13" t="s">
        <v>119</v>
      </c>
      <c r="B114" s="14" t="s">
        <v>120</v>
      </c>
      <c r="C114" s="15">
        <f>'091110'!C112+'091140'!C112+'096015'!C112</f>
        <v>0</v>
      </c>
      <c r="D114" s="15">
        <f>'091110'!D112+'091140'!D112+'096015'!D112</f>
        <v>0</v>
      </c>
      <c r="E114" s="15">
        <f>'091110'!E112+'091140'!E112+'096015'!E112</f>
        <v>0</v>
      </c>
      <c r="F114" s="15">
        <f>'091110'!F112+'091140'!F112+'096015'!F112</f>
        <v>0</v>
      </c>
      <c r="G114" s="15">
        <f>'091110'!G112+'091140'!G112+'096015'!G112</f>
        <v>0</v>
      </c>
      <c r="H114" s="124" t="e">
        <f t="shared" si="1"/>
        <v>#DIV/0!</v>
      </c>
    </row>
    <row r="115" spans="1:8" ht="25.5">
      <c r="A115" s="13" t="s">
        <v>121</v>
      </c>
      <c r="B115" s="14" t="s">
        <v>122</v>
      </c>
      <c r="C115" s="15">
        <f>'091110'!C113+'091140'!C113+'096015'!C113</f>
        <v>0</v>
      </c>
      <c r="D115" s="15">
        <f>'091110'!D113+'091140'!D113+'096015'!D113</f>
        <v>0</v>
      </c>
      <c r="E115" s="15">
        <f>'091110'!E113+'091140'!E113+'096015'!E113</f>
        <v>0</v>
      </c>
      <c r="F115" s="15">
        <f>'091110'!F113+'091140'!F113+'096015'!F113</f>
        <v>0</v>
      </c>
      <c r="G115" s="15">
        <f>'091110'!G113+'091140'!G113+'096015'!G113</f>
        <v>0</v>
      </c>
      <c r="H115" s="124" t="e">
        <f t="shared" si="1"/>
        <v>#DIV/0!</v>
      </c>
    </row>
    <row r="116" spans="1:8" ht="25.5">
      <c r="A116" s="13" t="s">
        <v>123</v>
      </c>
      <c r="B116" s="14" t="s">
        <v>124</v>
      </c>
      <c r="C116" s="15">
        <f>'091110'!C114+'091140'!C114+'096015'!C114</f>
        <v>0</v>
      </c>
      <c r="D116" s="15">
        <f>'091110'!D114+'091140'!D114+'096015'!D114</f>
        <v>0</v>
      </c>
      <c r="E116" s="15">
        <f>'091110'!E114+'091140'!E114+'096015'!E114</f>
        <v>0</v>
      </c>
      <c r="F116" s="15">
        <f>'091110'!F114+'091140'!F114+'096015'!F114</f>
        <v>0</v>
      </c>
      <c r="G116" s="15">
        <f>'091110'!G114+'091140'!G114+'096015'!G114</f>
        <v>0</v>
      </c>
      <c r="H116" s="124" t="e">
        <f t="shared" si="1"/>
        <v>#DIV/0!</v>
      </c>
    </row>
    <row r="117" spans="1:8" ht="25.5">
      <c r="A117" s="13" t="s">
        <v>125</v>
      </c>
      <c r="B117" s="14" t="s">
        <v>126</v>
      </c>
      <c r="C117" s="15">
        <f>'091110'!C115+'091140'!C115+'096015'!C115</f>
        <v>0</v>
      </c>
      <c r="D117" s="15">
        <f>'091110'!D115+'091140'!D115+'096015'!D115</f>
        <v>0</v>
      </c>
      <c r="E117" s="15">
        <f>'091110'!E115+'091140'!E115+'096015'!E115</f>
        <v>0</v>
      </c>
      <c r="F117" s="15">
        <f>'091110'!F115+'091140'!F115+'096015'!F115</f>
        <v>0</v>
      </c>
      <c r="G117" s="15">
        <f>'091110'!G115+'091140'!G115+'096015'!G115</f>
        <v>0</v>
      </c>
      <c r="H117" s="124" t="e">
        <f t="shared" si="1"/>
        <v>#DIV/0!</v>
      </c>
    </row>
    <row r="118" spans="1:8" ht="25.5">
      <c r="A118" s="13" t="s">
        <v>127</v>
      </c>
      <c r="B118" s="14" t="s">
        <v>128</v>
      </c>
      <c r="C118" s="15">
        <f>'091110'!C116+'091140'!C116+'096015'!C116</f>
        <v>0</v>
      </c>
      <c r="D118" s="15">
        <f>'091110'!D116+'091140'!D116+'096015'!D116</f>
        <v>0</v>
      </c>
      <c r="E118" s="15">
        <f>'091110'!E116+'091140'!E116+'096015'!E116</f>
        <v>0</v>
      </c>
      <c r="F118" s="15">
        <f>'091110'!F116+'091140'!F116+'096015'!F116</f>
        <v>0</v>
      </c>
      <c r="G118" s="15">
        <f>'091110'!G116+'091140'!G116+'096015'!G116</f>
        <v>0</v>
      </c>
      <c r="H118" s="124" t="e">
        <f t="shared" si="1"/>
        <v>#DIV/0!</v>
      </c>
    </row>
    <row r="119" spans="1:8" ht="25.5">
      <c r="A119" s="13" t="s">
        <v>129</v>
      </c>
      <c r="B119" s="14" t="s">
        <v>130</v>
      </c>
      <c r="C119" s="15">
        <f>'091110'!C117+'091140'!C117+'096015'!C117</f>
        <v>0</v>
      </c>
      <c r="D119" s="15">
        <f>'091110'!D117+'091140'!D117+'096015'!D117</f>
        <v>0</v>
      </c>
      <c r="E119" s="15">
        <f>'091110'!E117+'091140'!E117+'096015'!E117</f>
        <v>0</v>
      </c>
      <c r="F119" s="15">
        <f>'091110'!F117+'091140'!F117+'096015'!F117</f>
        <v>0</v>
      </c>
      <c r="G119" s="15">
        <f>'091110'!G117+'091140'!G117+'096015'!G117</f>
        <v>0</v>
      </c>
      <c r="H119" s="124" t="e">
        <f t="shared" si="1"/>
        <v>#DIV/0!</v>
      </c>
    </row>
    <row r="120" spans="1:8">
      <c r="A120" s="13" t="s">
        <v>131</v>
      </c>
      <c r="B120" s="14" t="s">
        <v>132</v>
      </c>
      <c r="C120" s="15">
        <f>'091110'!C118+'091140'!C118+'096015'!C118</f>
        <v>0</v>
      </c>
      <c r="D120" s="15">
        <f>'091110'!D118+'091140'!D118+'096015'!D118</f>
        <v>0</v>
      </c>
      <c r="E120" s="15">
        <f>'091110'!E118+'091140'!E118+'096015'!E118</f>
        <v>0</v>
      </c>
      <c r="F120" s="15">
        <f>'091110'!F118+'091140'!F118+'096015'!F118</f>
        <v>0</v>
      </c>
      <c r="G120" s="15">
        <f>'091110'!G118+'091140'!G118+'096015'!G118</f>
        <v>0</v>
      </c>
      <c r="H120" s="124" t="e">
        <f t="shared" si="1"/>
        <v>#DIV/0!</v>
      </c>
    </row>
    <row r="121" spans="1:8">
      <c r="A121" s="13" t="s">
        <v>133</v>
      </c>
      <c r="B121" s="14" t="s">
        <v>134</v>
      </c>
      <c r="C121" s="15">
        <f>'091110'!C119+'091140'!C119+'096015'!C119</f>
        <v>0</v>
      </c>
      <c r="D121" s="15">
        <f>'091110'!D119+'091140'!D119+'096015'!D119</f>
        <v>0</v>
      </c>
      <c r="E121" s="15">
        <f>'091110'!E119+'091140'!E119+'096015'!E119</f>
        <v>0</v>
      </c>
      <c r="F121" s="15">
        <f>'091110'!F119+'091140'!F119+'096015'!F119</f>
        <v>0</v>
      </c>
      <c r="G121" s="15">
        <f>'091110'!G119+'091140'!G119+'096015'!G119</f>
        <v>0</v>
      </c>
      <c r="H121" s="124" t="e">
        <f t="shared" si="1"/>
        <v>#DIV/0!</v>
      </c>
    </row>
    <row r="122" spans="1:8">
      <c r="A122" s="13" t="s">
        <v>135</v>
      </c>
      <c r="B122" s="14" t="s">
        <v>136</v>
      </c>
      <c r="C122" s="15">
        <f>'091110'!C120+'091140'!C120+'096015'!C120</f>
        <v>0</v>
      </c>
      <c r="D122" s="15">
        <f>'091110'!D120+'091140'!D120+'096015'!D120</f>
        <v>0</v>
      </c>
      <c r="E122" s="15">
        <f>'091110'!E120+'091140'!E120+'096015'!E120</f>
        <v>0</v>
      </c>
      <c r="F122" s="15">
        <f>'091110'!F120+'091140'!F120+'096015'!F120</f>
        <v>0</v>
      </c>
      <c r="G122" s="15">
        <f>'091110'!G120+'091140'!G120+'096015'!G120</f>
        <v>0</v>
      </c>
      <c r="H122" s="124" t="e">
        <f t="shared" si="1"/>
        <v>#DIV/0!</v>
      </c>
    </row>
    <row r="123" spans="1:8">
      <c r="A123" s="13">
        <v>188</v>
      </c>
      <c r="B123" s="14" t="s">
        <v>275</v>
      </c>
      <c r="C123" s="15">
        <f>'091110'!C121+'091140'!C121+'096015'!C121</f>
        <v>0</v>
      </c>
      <c r="D123" s="15">
        <f>'091110'!D121+'091140'!D121+'096015'!D121</f>
        <v>0</v>
      </c>
      <c r="E123" s="15">
        <f>'091110'!E121+'091140'!E121+'096015'!E121</f>
        <v>0</v>
      </c>
      <c r="F123" s="15">
        <f>'091110'!F121+'091140'!F121+'096015'!F121</f>
        <v>0</v>
      </c>
      <c r="G123" s="15">
        <f>'091110'!G121+'091140'!G121+'096015'!G121</f>
        <v>0</v>
      </c>
      <c r="H123" s="124"/>
    </row>
    <row r="124" spans="1:8" ht="38.25">
      <c r="A124" s="16" t="s">
        <v>137</v>
      </c>
      <c r="B124" s="17" t="s">
        <v>138</v>
      </c>
      <c r="C124" s="119">
        <f>'091110'!C122+'091140'!C122+'096015'!C122</f>
        <v>0</v>
      </c>
      <c r="D124" s="119">
        <f>'091110'!D122+'091140'!D122+'096015'!D122</f>
        <v>0</v>
      </c>
      <c r="E124" s="119">
        <f>'091110'!E122+'091140'!E122+'096015'!E122</f>
        <v>0</v>
      </c>
      <c r="F124" s="119">
        <f>'091110'!F122+'091140'!F122+'096015'!F122</f>
        <v>0</v>
      </c>
      <c r="G124" s="119">
        <f>'091110'!G122+'091140'!G122+'096015'!G122</f>
        <v>0</v>
      </c>
      <c r="H124" s="125" t="e">
        <f t="shared" si="1"/>
        <v>#DIV/0!</v>
      </c>
    </row>
    <row r="125" spans="1:8">
      <c r="A125" s="13" t="s">
        <v>139</v>
      </c>
      <c r="B125" s="14" t="s">
        <v>140</v>
      </c>
      <c r="C125" s="15">
        <f>'091110'!C123+'091140'!C123+'096015'!C123</f>
        <v>0</v>
      </c>
      <c r="D125" s="15">
        <f>'091110'!D123+'091140'!D123+'096015'!D123</f>
        <v>1000000</v>
      </c>
      <c r="E125" s="15">
        <f>'091110'!E123+'091140'!E123+'096015'!E123</f>
        <v>0</v>
      </c>
      <c r="F125" s="15">
        <f>'091110'!F123+'091140'!F123+'096015'!F123</f>
        <v>1000000</v>
      </c>
      <c r="G125" s="15">
        <f>'091110'!G123+'091140'!G123+'096015'!G123</f>
        <v>0</v>
      </c>
      <c r="H125" s="124">
        <f t="shared" si="1"/>
        <v>0</v>
      </c>
    </row>
    <row r="126" spans="1:8" ht="25.5">
      <c r="A126" s="13" t="s">
        <v>141</v>
      </c>
      <c r="B126" s="14" t="s">
        <v>142</v>
      </c>
      <c r="C126" s="15">
        <f>'091110'!C124+'091140'!C124+'096015'!C124</f>
        <v>26000</v>
      </c>
      <c r="D126" s="15">
        <f>'091110'!D124+'091140'!D124+'096015'!D124</f>
        <v>0</v>
      </c>
      <c r="E126" s="15">
        <f>'091110'!E124+'091140'!E124+'096015'!E124</f>
        <v>0</v>
      </c>
      <c r="F126" s="15">
        <f>'091110'!F124+'091140'!F124+'096015'!F124</f>
        <v>0</v>
      </c>
      <c r="G126" s="15">
        <f>'091110'!G124+'091140'!G124+'096015'!G124</f>
        <v>0</v>
      </c>
      <c r="H126" s="124" t="e">
        <f t="shared" si="1"/>
        <v>#DIV/0!</v>
      </c>
    </row>
    <row r="127" spans="1:8" ht="25.5">
      <c r="A127" s="13" t="s">
        <v>143</v>
      </c>
      <c r="B127" s="14" t="s">
        <v>144</v>
      </c>
      <c r="C127" s="15">
        <f>'091110'!C125+'091140'!C125+'096015'!C125</f>
        <v>0</v>
      </c>
      <c r="D127" s="15">
        <f>'091110'!D125+'091140'!D125+'096015'!D125</f>
        <v>2000000</v>
      </c>
      <c r="E127" s="15">
        <f>'091110'!E125+'091140'!E125+'096015'!E125</f>
        <v>0</v>
      </c>
      <c r="F127" s="15">
        <f>'091110'!F125+'091140'!F125+'096015'!F125</f>
        <v>2000000</v>
      </c>
      <c r="G127" s="15">
        <f>'091110'!G125+'091140'!G125+'096015'!G125</f>
        <v>0</v>
      </c>
      <c r="H127" s="124">
        <f t="shared" si="1"/>
        <v>0</v>
      </c>
    </row>
    <row r="128" spans="1:8" ht="25.5">
      <c r="A128" s="13" t="s">
        <v>145</v>
      </c>
      <c r="B128" s="14" t="s">
        <v>146</v>
      </c>
      <c r="C128" s="15">
        <f>'091110'!C126+'091140'!C126+'096015'!C126</f>
        <v>7020</v>
      </c>
      <c r="D128" s="15">
        <f>'091110'!D126+'091140'!D126+'096015'!D126</f>
        <v>540000</v>
      </c>
      <c r="E128" s="15">
        <f>'091110'!E126+'091140'!E126+'096015'!E126</f>
        <v>0</v>
      </c>
      <c r="F128" s="15">
        <f>'091110'!F126+'091140'!F126+'096015'!F126</f>
        <v>540000</v>
      </c>
      <c r="G128" s="15">
        <f>'091110'!G126+'091140'!G126+'096015'!G126</f>
        <v>0</v>
      </c>
      <c r="H128" s="124">
        <f t="shared" si="1"/>
        <v>0</v>
      </c>
    </row>
    <row r="129" spans="1:8">
      <c r="A129" s="16" t="s">
        <v>147</v>
      </c>
      <c r="B129" s="17" t="s">
        <v>148</v>
      </c>
      <c r="C129" s="119">
        <f>'091110'!C127+'091140'!C127+'096015'!C127</f>
        <v>33020</v>
      </c>
      <c r="D129" s="119">
        <f>'091110'!D127+'091140'!D127+'096015'!D127</f>
        <v>3540000</v>
      </c>
      <c r="E129" s="119">
        <f>'091110'!E127+'091140'!E127+'096015'!E127</f>
        <v>0</v>
      </c>
      <c r="F129" s="119">
        <f>'091110'!F127+'091140'!F127+'096015'!F127</f>
        <v>3540000</v>
      </c>
      <c r="G129" s="119">
        <f>'091110'!G127+'091140'!G127+'096015'!G127</f>
        <v>0</v>
      </c>
      <c r="H129" s="125">
        <f t="shared" si="1"/>
        <v>0</v>
      </c>
    </row>
    <row r="130" spans="1:8">
      <c r="A130" s="13" t="s">
        <v>149</v>
      </c>
      <c r="B130" s="14" t="s">
        <v>150</v>
      </c>
      <c r="C130" s="15">
        <f>'091110'!C128+'091140'!C128+'096015'!C128</f>
        <v>0</v>
      </c>
      <c r="D130" s="15">
        <f>'091110'!D128+'091140'!D128+'096015'!D128</f>
        <v>0</v>
      </c>
      <c r="E130" s="15">
        <f>'091110'!E128+'091140'!E128+'096015'!E128</f>
        <v>151050</v>
      </c>
      <c r="F130" s="15">
        <f>'091110'!F128+'091140'!F128+'096015'!F128</f>
        <v>151050</v>
      </c>
      <c r="G130" s="15">
        <f>'091110'!G128+'091140'!G128+'096015'!G128</f>
        <v>151050</v>
      </c>
      <c r="H130" s="124">
        <f t="shared" si="1"/>
        <v>1</v>
      </c>
    </row>
    <row r="131" spans="1:8">
      <c r="A131" s="13" t="s">
        <v>151</v>
      </c>
      <c r="B131" s="14" t="s">
        <v>152</v>
      </c>
      <c r="C131" s="15">
        <f>'091110'!C129+'091140'!C129+'096015'!C129</f>
        <v>0</v>
      </c>
      <c r="D131" s="15">
        <f>'091110'!D129+'091140'!D129+'096015'!D129</f>
        <v>0</v>
      </c>
      <c r="E131" s="15">
        <f>'091110'!E129+'091140'!E129+'096015'!E129</f>
        <v>0</v>
      </c>
      <c r="F131" s="15">
        <f>'091110'!F129+'091140'!F129+'096015'!F129</f>
        <v>0</v>
      </c>
      <c r="G131" s="15">
        <f>'091110'!G129+'091140'!G129+'096015'!G129</f>
        <v>0</v>
      </c>
      <c r="H131" s="124" t="e">
        <f t="shared" si="1"/>
        <v>#DIV/0!</v>
      </c>
    </row>
    <row r="132" spans="1:8" ht="25.5">
      <c r="A132" s="13" t="s">
        <v>153</v>
      </c>
      <c r="B132" s="14" t="s">
        <v>154</v>
      </c>
      <c r="C132" s="15">
        <f>'091110'!C130+'091140'!C130+'096015'!C130</f>
        <v>0</v>
      </c>
      <c r="D132" s="15">
        <f>'091110'!D130+'091140'!D130+'096015'!D130</f>
        <v>0</v>
      </c>
      <c r="E132" s="15">
        <f>'091110'!E130+'091140'!E130+'096015'!E130</f>
        <v>40783</v>
      </c>
      <c r="F132" s="15">
        <f>'091110'!F130+'091140'!F130+'096015'!F130</f>
        <v>40783</v>
      </c>
      <c r="G132" s="15">
        <f>'091110'!G130+'091140'!G130+'096015'!G130</f>
        <v>40783</v>
      </c>
      <c r="H132" s="124">
        <f t="shared" si="1"/>
        <v>1</v>
      </c>
    </row>
    <row r="133" spans="1:8">
      <c r="A133" s="16" t="s">
        <v>155</v>
      </c>
      <c r="B133" s="17" t="s">
        <v>156</v>
      </c>
      <c r="C133" s="119">
        <f>'091110'!C131+'091140'!C131+'096015'!C131</f>
        <v>0</v>
      </c>
      <c r="D133" s="119">
        <f>'091110'!D131+'091140'!D131+'096015'!D131</f>
        <v>0</v>
      </c>
      <c r="E133" s="119">
        <f>'091110'!E131+'091140'!E131+'096015'!E131</f>
        <v>191833</v>
      </c>
      <c r="F133" s="119">
        <f>'091110'!F131+'091140'!F131+'096015'!F131</f>
        <v>191833</v>
      </c>
      <c r="G133" s="119">
        <f>'091110'!G131+'091140'!G131+'096015'!G131</f>
        <v>191833</v>
      </c>
      <c r="H133" s="125">
        <f t="shared" si="1"/>
        <v>1</v>
      </c>
    </row>
    <row r="134" spans="1:8" ht="25.5">
      <c r="A134" s="16" t="s">
        <v>157</v>
      </c>
      <c r="B134" s="17" t="s">
        <v>158</v>
      </c>
      <c r="C134" s="119">
        <f>'091110'!C132+'091140'!C132+'096015'!C132</f>
        <v>56731981</v>
      </c>
      <c r="D134" s="119">
        <f>'091110'!D132+'091140'!D132+'096015'!D132</f>
        <v>65038000</v>
      </c>
      <c r="E134" s="119">
        <f>'091110'!E132+'091140'!E132+'096015'!E132</f>
        <v>-64</v>
      </c>
      <c r="F134" s="119">
        <f>'091110'!F132+'091140'!F132+'096015'!F132</f>
        <v>65037936</v>
      </c>
      <c r="G134" s="119">
        <f>'091110'!G132+'091140'!G132+'096015'!G132</f>
        <v>30612745</v>
      </c>
      <c r="H134" s="125">
        <f t="shared" si="1"/>
        <v>0.47069059817642428</v>
      </c>
    </row>
    <row r="135" spans="1:8" ht="25.5">
      <c r="A135" s="13" t="s">
        <v>159</v>
      </c>
      <c r="B135" s="14" t="s">
        <v>160</v>
      </c>
      <c r="C135" s="15">
        <f>'091110'!C133+'091140'!C133+'096015'!C133</f>
        <v>0</v>
      </c>
      <c r="D135" s="15">
        <f>'091110'!D133+'091140'!D133+'096015'!D133</f>
        <v>0</v>
      </c>
      <c r="E135" s="15">
        <f>'091110'!E133+'091140'!E133+'096015'!E133</f>
        <v>0</v>
      </c>
      <c r="F135" s="15">
        <f>'091110'!F133+'091140'!F133+'096015'!F133</f>
        <v>0</v>
      </c>
      <c r="G135" s="15">
        <f>'091110'!G133+'091140'!G133+'096015'!G133</f>
        <v>0</v>
      </c>
      <c r="H135" s="124" t="e">
        <f t="shared" si="1"/>
        <v>#DIV/0!</v>
      </c>
    </row>
    <row r="136" spans="1:8" ht="25.5">
      <c r="A136" s="13" t="s">
        <v>161</v>
      </c>
      <c r="B136" s="14" t="s">
        <v>162</v>
      </c>
      <c r="C136" s="15">
        <f>'091110'!C134+'091140'!C134+'096015'!C134</f>
        <v>0</v>
      </c>
      <c r="D136" s="15">
        <f>'091110'!D134+'091140'!D134+'096015'!D134</f>
        <v>0</v>
      </c>
      <c r="E136" s="15">
        <f>'091110'!E134+'091140'!E134+'096015'!E134</f>
        <v>0</v>
      </c>
      <c r="F136" s="15">
        <f>'091110'!F134+'091140'!F134+'096015'!F134</f>
        <v>0</v>
      </c>
      <c r="G136" s="15">
        <f>'091110'!G134+'091140'!G134+'096015'!G134</f>
        <v>0</v>
      </c>
      <c r="H136" s="124" t="e">
        <f t="shared" si="1"/>
        <v>#DIV/0!</v>
      </c>
    </row>
    <row r="137" spans="1:8" ht="25.5">
      <c r="A137" s="13" t="s">
        <v>163</v>
      </c>
      <c r="B137" s="14" t="s">
        <v>164</v>
      </c>
      <c r="C137" s="15">
        <f>'091110'!C135+'091140'!C135+'096015'!C135</f>
        <v>0</v>
      </c>
      <c r="D137" s="15">
        <f>'091110'!D135+'091140'!D135+'096015'!D135</f>
        <v>0</v>
      </c>
      <c r="E137" s="15">
        <f>'091110'!E135+'091140'!E135+'096015'!E135</f>
        <v>0</v>
      </c>
      <c r="F137" s="15">
        <f>'091110'!F135+'091140'!F135+'096015'!F135</f>
        <v>0</v>
      </c>
      <c r="G137" s="15">
        <f>'091110'!G135+'091140'!G135+'096015'!G135</f>
        <v>0</v>
      </c>
      <c r="H137" s="124" t="e">
        <f t="shared" si="1"/>
        <v>#DIV/0!</v>
      </c>
    </row>
    <row r="138" spans="1:8" ht="25.5">
      <c r="A138" s="16" t="s">
        <v>165</v>
      </c>
      <c r="B138" s="17" t="s">
        <v>166</v>
      </c>
      <c r="C138" s="119">
        <f>'091110'!C136+'091140'!C136+'096015'!C136</f>
        <v>0</v>
      </c>
      <c r="D138" s="119">
        <f>'091110'!D136+'091140'!D136+'096015'!D136</f>
        <v>0</v>
      </c>
      <c r="E138" s="119">
        <f>'091110'!E136+'091140'!E136+'096015'!E136</f>
        <v>0</v>
      </c>
      <c r="F138" s="119">
        <f>'091110'!F136+'091140'!F136+'096015'!F136</f>
        <v>0</v>
      </c>
      <c r="G138" s="119">
        <f>'091110'!G136+'091140'!G136+'096015'!G136</f>
        <v>0</v>
      </c>
      <c r="H138" s="125" t="e">
        <f t="shared" si="1"/>
        <v>#DIV/0!</v>
      </c>
    </row>
    <row r="139" spans="1:8">
      <c r="A139" s="16" t="s">
        <v>167</v>
      </c>
      <c r="B139" s="17" t="s">
        <v>168</v>
      </c>
      <c r="C139" s="119">
        <f>'091110'!C137+'091140'!C137+'096015'!C137</f>
        <v>56731981</v>
      </c>
      <c r="D139" s="119">
        <f>'091110'!D137+'091140'!D137+'096015'!D137</f>
        <v>65038000</v>
      </c>
      <c r="E139" s="119">
        <f>'091110'!E137+'091140'!E137+'096015'!E137</f>
        <v>-64</v>
      </c>
      <c r="F139" s="119">
        <f>'091110'!F137+'091140'!F137+'096015'!F137</f>
        <v>65037936</v>
      </c>
      <c r="G139" s="119">
        <f>'091110'!G137+'091140'!G137+'096015'!G137</f>
        <v>30612745</v>
      </c>
      <c r="H139" s="125">
        <f t="shared" si="1"/>
        <v>0.47069059817642428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40"/>
  <sheetViews>
    <sheetView view="pageBreakPreview" topLeftCell="A103" zoomScaleNormal="100" zoomScaleSheetLayoutView="100" workbookViewId="0">
      <selection activeCell="M17" sqref="M17"/>
    </sheetView>
  </sheetViews>
  <sheetFormatPr defaultRowHeight="15"/>
  <cols>
    <col min="2" max="2" width="33.21875" customWidth="1"/>
    <col min="3" max="3" width="16.33203125" customWidth="1"/>
    <col min="4" max="4" width="9.88671875" customWidth="1"/>
    <col min="6" max="6" width="10.109375" customWidth="1"/>
    <col min="8" max="8" width="11.5546875" style="126" customWidth="1"/>
  </cols>
  <sheetData>
    <row r="1" spans="1:8">
      <c r="A1" s="140" t="s">
        <v>426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5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100000</v>
      </c>
      <c r="D6" s="15">
        <v>100000</v>
      </c>
      <c r="E6" s="15">
        <v>0</v>
      </c>
      <c r="F6" s="15">
        <f>SUM(D6:E6)</f>
        <v>100000</v>
      </c>
      <c r="G6" s="15">
        <v>52000</v>
      </c>
      <c r="H6" s="124">
        <f>G6/F6</f>
        <v>0.52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8.25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5.5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 t="shared" ref="C12:E12" si="2">SUM(C6:C11)</f>
        <v>100000</v>
      </c>
      <c r="D12" s="15">
        <f t="shared" si="2"/>
        <v>100000</v>
      </c>
      <c r="E12" s="15">
        <f t="shared" si="2"/>
        <v>0</v>
      </c>
      <c r="F12" s="15">
        <f t="shared" si="0"/>
        <v>100000</v>
      </c>
      <c r="G12" s="15">
        <f t="shared" ref="G12" si="3">SUM(G6:G11)</f>
        <v>52000</v>
      </c>
      <c r="H12" s="124">
        <f t="shared" si="1"/>
        <v>0.52</v>
      </c>
    </row>
    <row r="13" spans="1:8" ht="25.5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46350720</v>
      </c>
      <c r="F13" s="15">
        <f t="shared" si="0"/>
        <v>46350720</v>
      </c>
      <c r="G13" s="15">
        <f t="shared" ref="G13" si="5">SUM(G14:G19)</f>
        <v>46350720</v>
      </c>
      <c r="H13" s="124">
        <f t="shared" si="1"/>
        <v>1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46350720</v>
      </c>
      <c r="F14" s="15">
        <f t="shared" si="0"/>
        <v>46350720</v>
      </c>
      <c r="G14" s="15">
        <v>46350720</v>
      </c>
      <c r="H14" s="124">
        <f t="shared" si="1"/>
        <v>1</v>
      </c>
    </row>
    <row r="15" spans="1:8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 t="shared" ref="C20" si="6">C12+C13</f>
        <v>100000</v>
      </c>
      <c r="D20" s="18">
        <f t="shared" ref="D20:G20" si="7">D12+D13</f>
        <v>100000</v>
      </c>
      <c r="E20" s="18">
        <f t="shared" si="7"/>
        <v>46350720</v>
      </c>
      <c r="F20" s="18">
        <f t="shared" si="0"/>
        <v>46450720</v>
      </c>
      <c r="G20" s="18">
        <f t="shared" si="7"/>
        <v>46402720</v>
      </c>
      <c r="H20" s="125">
        <f t="shared" si="1"/>
        <v>0.99896664680332192</v>
      </c>
    </row>
    <row r="21" spans="1:8" ht="25.5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 t="shared" ref="C22:E22" si="8">SUM(C21)</f>
        <v>0</v>
      </c>
      <c r="D22" s="18">
        <f t="shared" si="8"/>
        <v>0</v>
      </c>
      <c r="E22" s="18">
        <f t="shared" si="8"/>
        <v>0</v>
      </c>
      <c r="F22" s="18">
        <f t="shared" si="0"/>
        <v>0</v>
      </c>
      <c r="G22" s="18">
        <f t="shared" ref="G22" si="9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" si="10">SUM(C23)</f>
        <v>0</v>
      </c>
      <c r="D25" s="15">
        <f t="shared" ref="D25:G25" si="11">SUM(D23)</f>
        <v>0</v>
      </c>
      <c r="E25" s="15">
        <f t="shared" si="11"/>
        <v>0</v>
      </c>
      <c r="F25" s="15">
        <f t="shared" si="0"/>
        <v>0</v>
      </c>
      <c r="G25" s="15">
        <f t="shared" si="11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2">SUM(C27)</f>
        <v>0</v>
      </c>
      <c r="D26" s="15">
        <f t="shared" si="12"/>
        <v>0</v>
      </c>
      <c r="E26" s="15">
        <f t="shared" si="12"/>
        <v>0</v>
      </c>
      <c r="F26" s="15">
        <f t="shared" si="0"/>
        <v>0</v>
      </c>
      <c r="G26" s="15">
        <f t="shared" ref="G26" si="13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 t="shared" ref="C28:E28" si="14">SUM(C29)</f>
        <v>0</v>
      </c>
      <c r="D28" s="15">
        <f t="shared" si="14"/>
        <v>0</v>
      </c>
      <c r="E28" s="15">
        <f t="shared" si="14"/>
        <v>0</v>
      </c>
      <c r="F28" s="15">
        <f t="shared" si="0"/>
        <v>0</v>
      </c>
      <c r="G28" s="15">
        <f t="shared" ref="G28" si="15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6">SUM(C31)</f>
        <v>0</v>
      </c>
      <c r="D30" s="15">
        <f t="shared" si="16"/>
        <v>0</v>
      </c>
      <c r="E30" s="15">
        <f t="shared" si="16"/>
        <v>0</v>
      </c>
      <c r="F30" s="15">
        <f t="shared" si="0"/>
        <v>0</v>
      </c>
      <c r="G30" s="15">
        <f t="shared" ref="G30" si="17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 t="shared" ref="C32" si="18">C28+C30</f>
        <v>0</v>
      </c>
      <c r="D32" s="15">
        <f t="shared" ref="D32:G32" si="19">D28+D30</f>
        <v>0</v>
      </c>
      <c r="E32" s="15">
        <f t="shared" si="19"/>
        <v>0</v>
      </c>
      <c r="F32" s="15">
        <f t="shared" si="0"/>
        <v>0</v>
      </c>
      <c r="G32" s="15">
        <f t="shared" si="19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 t="shared" ref="C33:E33" si="20">SUM(C34:C35)</f>
        <v>0</v>
      </c>
      <c r="D33" s="15">
        <f t="shared" si="20"/>
        <v>0</v>
      </c>
      <c r="E33" s="15">
        <f t="shared" si="20"/>
        <v>0</v>
      </c>
      <c r="F33" s="15">
        <f t="shared" si="0"/>
        <v>0</v>
      </c>
      <c r="G33" s="15">
        <f t="shared" ref="G33" si="21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 t="shared" ref="C36" si="22">C25+C26+C32+C33</f>
        <v>0</v>
      </c>
      <c r="D36" s="18">
        <f t="shared" ref="D36:G36" si="23">D25+D26+D32+D33</f>
        <v>0</v>
      </c>
      <c r="E36" s="18">
        <f t="shared" si="23"/>
        <v>0</v>
      </c>
      <c r="F36" s="18">
        <f t="shared" si="0"/>
        <v>0</v>
      </c>
      <c r="G36" s="18">
        <f t="shared" si="23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>
        <v>280909</v>
      </c>
      <c r="D38" s="15">
        <v>300000</v>
      </c>
      <c r="E38" s="15"/>
      <c r="F38" s="15">
        <f t="shared" si="0"/>
        <v>300000</v>
      </c>
      <c r="G38" s="15">
        <v>121602</v>
      </c>
      <c r="H38" s="124">
        <f t="shared" si="1"/>
        <v>0.40533999999999998</v>
      </c>
    </row>
    <row r="39" spans="1:8" ht="25.5">
      <c r="A39" s="13" t="s">
        <v>226</v>
      </c>
      <c r="B39" s="14" t="s">
        <v>227</v>
      </c>
      <c r="C39" s="15">
        <v>7087</v>
      </c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>
        <v>0</v>
      </c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>
        <v>0</v>
      </c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>
        <v>77759</v>
      </c>
      <c r="D42" s="15">
        <v>81000</v>
      </c>
      <c r="E42" s="15"/>
      <c r="F42" s="15">
        <f t="shared" si="0"/>
        <v>81000</v>
      </c>
      <c r="G42" s="15">
        <v>32833</v>
      </c>
      <c r="H42" s="124">
        <f t="shared" si="1"/>
        <v>0.40534567901234569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>
        <f t="shared" ref="C44:E44" si="24">SUM(C43)</f>
        <v>0</v>
      </c>
      <c r="D44" s="15">
        <f t="shared" si="24"/>
        <v>0</v>
      </c>
      <c r="E44" s="15">
        <f t="shared" si="24"/>
        <v>0</v>
      </c>
      <c r="F44" s="15">
        <f t="shared" si="0"/>
        <v>0</v>
      </c>
      <c r="G44" s="15">
        <f t="shared" ref="G44" si="25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>
        <v>2</v>
      </c>
      <c r="F45" s="15">
        <f t="shared" si="0"/>
        <v>2</v>
      </c>
      <c r="G45" s="15">
        <v>2</v>
      </c>
      <c r="H45" s="124">
        <f t="shared" si="1"/>
        <v>1</v>
      </c>
    </row>
    <row r="46" spans="1:8" ht="38.25">
      <c r="A46" s="16" t="s">
        <v>237</v>
      </c>
      <c r="B46" s="17" t="s">
        <v>238</v>
      </c>
      <c r="C46" s="18">
        <f t="shared" ref="C46:E46" si="26">C37+C38+C39+C40+C41+C42+C44+C45</f>
        <v>365755</v>
      </c>
      <c r="D46" s="18">
        <f t="shared" si="26"/>
        <v>381000</v>
      </c>
      <c r="E46" s="18">
        <f t="shared" si="26"/>
        <v>2</v>
      </c>
      <c r="F46" s="18">
        <f t="shared" si="0"/>
        <v>381002</v>
      </c>
      <c r="G46" s="18">
        <f t="shared" ref="G46" si="27">G37+G38+G39+G40+G41+G42+G44+G45</f>
        <v>154437</v>
      </c>
      <c r="H46" s="125">
        <f t="shared" si="1"/>
        <v>0.40534432890116062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8">
        <f t="shared" ref="C48:E48" si="28">SUM(C47)</f>
        <v>0</v>
      </c>
      <c r="D48" s="18">
        <f t="shared" si="28"/>
        <v>0</v>
      </c>
      <c r="E48" s="18">
        <f t="shared" si="28"/>
        <v>0</v>
      </c>
      <c r="F48" s="18">
        <f t="shared" si="0"/>
        <v>0</v>
      </c>
      <c r="G48" s="18">
        <f t="shared" ref="G48" si="29">SUM(G47)</f>
        <v>0</v>
      </c>
      <c r="H48" s="125" t="e">
        <f t="shared" si="1"/>
        <v>#DIV/0!</v>
      </c>
    </row>
    <row r="49" spans="1:8" s="122" customFormat="1" ht="25.5">
      <c r="A49" s="16">
        <v>231</v>
      </c>
      <c r="B49" s="17" t="s">
        <v>460</v>
      </c>
      <c r="C49" s="18">
        <f>SUM(C50)</f>
        <v>0</v>
      </c>
      <c r="D49" s="18">
        <f t="shared" ref="D49:G49" si="30">SUM(D50)</f>
        <v>0</v>
      </c>
      <c r="E49" s="18">
        <f t="shared" si="30"/>
        <v>0</v>
      </c>
      <c r="F49" s="18">
        <f t="shared" si="30"/>
        <v>0</v>
      </c>
      <c r="G49" s="18">
        <f t="shared" si="30"/>
        <v>0</v>
      </c>
      <c r="H49" s="125" t="e">
        <f t="shared" si="1"/>
        <v>#DIV/0!</v>
      </c>
    </row>
    <row r="50" spans="1:8" s="130" customFormat="1" ht="38.25">
      <c r="A50" s="20">
        <v>232</v>
      </c>
      <c r="B50" s="19" t="s">
        <v>459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5.5">
      <c r="A51" s="13" t="s">
        <v>243</v>
      </c>
      <c r="B51" s="14" t="s">
        <v>244</v>
      </c>
      <c r="C51" s="15">
        <f t="shared" ref="C51:E51" si="31">SUM(C52:C54)</f>
        <v>0</v>
      </c>
      <c r="D51" s="15">
        <f t="shared" si="31"/>
        <v>0</v>
      </c>
      <c r="E51" s="15">
        <f t="shared" si="31"/>
        <v>0</v>
      </c>
      <c r="F51" s="15">
        <f t="shared" si="0"/>
        <v>0</v>
      </c>
      <c r="G51" s="15">
        <f t="shared" ref="G51" si="32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5.5">
      <c r="A55" s="16" t="s">
        <v>251</v>
      </c>
      <c r="B55" s="17" t="s">
        <v>252</v>
      </c>
      <c r="C55" s="18">
        <f>C51+C49</f>
        <v>0</v>
      </c>
      <c r="D55" s="18">
        <f t="shared" ref="D55:G55" si="33">D51+D49</f>
        <v>0</v>
      </c>
      <c r="E55" s="18">
        <f t="shared" si="33"/>
        <v>0</v>
      </c>
      <c r="F55" s="18">
        <f t="shared" si="33"/>
        <v>0</v>
      </c>
      <c r="G55" s="18">
        <f t="shared" si="33"/>
        <v>0</v>
      </c>
      <c r="H55" s="125" t="e">
        <f t="shared" si="1"/>
        <v>#DIV/0!</v>
      </c>
    </row>
    <row r="56" spans="1:8" ht="25.5">
      <c r="A56" s="16" t="s">
        <v>253</v>
      </c>
      <c r="B56" s="17" t="s">
        <v>254</v>
      </c>
      <c r="C56" s="18">
        <f t="shared" ref="C56:E56" si="34">C55+C46+C48+C36+C20+C22</f>
        <v>465755</v>
      </c>
      <c r="D56" s="18">
        <f t="shared" si="34"/>
        <v>481000</v>
      </c>
      <c r="E56" s="18">
        <f t="shared" si="34"/>
        <v>46350722</v>
      </c>
      <c r="F56" s="18">
        <f t="shared" si="0"/>
        <v>46831722</v>
      </c>
      <c r="G56" s="18">
        <f t="shared" ref="G56" si="35">G55+G46+G48+G36+G20+G22</f>
        <v>46557157</v>
      </c>
      <c r="H56" s="125">
        <f t="shared" si="1"/>
        <v>0.9941372004215433</v>
      </c>
    </row>
    <row r="57" spans="1:8" ht="25.5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6">SUM(C57)</f>
        <v>0</v>
      </c>
      <c r="D58" s="15">
        <f t="shared" si="36"/>
        <v>0</v>
      </c>
      <c r="E58" s="15">
        <f t="shared" si="36"/>
        <v>0</v>
      </c>
      <c r="F58" s="15">
        <f t="shared" si="0"/>
        <v>0</v>
      </c>
      <c r="G58" s="15">
        <f t="shared" ref="G58" si="37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412</v>
      </c>
      <c r="C60" s="15"/>
      <c r="D60" s="15"/>
      <c r="E60" s="15"/>
      <c r="F60" s="15"/>
      <c r="G60" s="15"/>
      <c r="H60" s="124"/>
    </row>
    <row r="61" spans="1:8" ht="25.5">
      <c r="A61" s="13" t="s">
        <v>260</v>
      </c>
      <c r="B61" s="14" t="s">
        <v>261</v>
      </c>
      <c r="C61" s="15">
        <f>SUM(C58:C60)</f>
        <v>0</v>
      </c>
      <c r="D61" s="15">
        <f t="shared" ref="D61:E61" si="38">SUM(D58:D60)</f>
        <v>0</v>
      </c>
      <c r="E61" s="15">
        <f t="shared" si="38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5.5">
      <c r="A62" s="16" t="s">
        <v>262</v>
      </c>
      <c r="B62" s="17" t="s">
        <v>263</v>
      </c>
      <c r="C62" s="18">
        <f t="shared" ref="C62:E62" si="39">SUM(C61)</f>
        <v>0</v>
      </c>
      <c r="D62" s="18">
        <f t="shared" si="39"/>
        <v>0</v>
      </c>
      <c r="E62" s="18">
        <f t="shared" si="39"/>
        <v>0</v>
      </c>
      <c r="F62" s="18">
        <f t="shared" si="0"/>
        <v>0</v>
      </c>
      <c r="G62" s="18">
        <f t="shared" ref="G62" si="40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41">C56+C62</f>
        <v>465755</v>
      </c>
      <c r="D63" s="18">
        <f t="shared" si="41"/>
        <v>481000</v>
      </c>
      <c r="E63" s="18">
        <f t="shared" si="41"/>
        <v>46350722</v>
      </c>
      <c r="F63" s="18">
        <f t="shared" si="0"/>
        <v>46831722</v>
      </c>
      <c r="G63" s="18">
        <f t="shared" ref="G63" si="42">G56+G62</f>
        <v>46557157</v>
      </c>
      <c r="H63" s="125">
        <f t="shared" si="1"/>
        <v>0.9941372004215433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457</v>
      </c>
      <c r="G65" s="12" t="s">
        <v>273</v>
      </c>
      <c r="H65" s="123" t="s">
        <v>274</v>
      </c>
    </row>
    <row r="66" spans="1:8" ht="25.5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5.5">
      <c r="A67" s="21" t="s">
        <v>178</v>
      </c>
      <c r="B67" s="14" t="s">
        <v>282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5.5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5.5">
      <c r="A72" s="13" t="s">
        <v>41</v>
      </c>
      <c r="B72" s="14" t="s">
        <v>42</v>
      </c>
      <c r="C72" s="15">
        <f t="shared" ref="C72:E72" si="43">SUM(C66:C71)</f>
        <v>0</v>
      </c>
      <c r="D72" s="15">
        <f t="shared" si="43"/>
        <v>0</v>
      </c>
      <c r="E72" s="15">
        <f t="shared" si="43"/>
        <v>0</v>
      </c>
      <c r="F72" s="15">
        <f t="shared" si="0"/>
        <v>0</v>
      </c>
      <c r="G72" s="15">
        <f t="shared" ref="G72" si="44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8.25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5">SUM(D75:E75)</f>
        <v>0</v>
      </c>
      <c r="G75" s="15"/>
      <c r="H75" s="124" t="e">
        <f t="shared" ref="H75:H140" si="46">G75/F75</f>
        <v>#DIV/0!</v>
      </c>
    </row>
    <row r="76" spans="1:8">
      <c r="A76" s="13" t="s">
        <v>49</v>
      </c>
      <c r="B76" s="14" t="s">
        <v>50</v>
      </c>
      <c r="C76" s="15">
        <f t="shared" ref="C76:E76" si="47">SUM(C73:C75)</f>
        <v>0</v>
      </c>
      <c r="D76" s="15">
        <f t="shared" si="47"/>
        <v>0</v>
      </c>
      <c r="E76" s="15">
        <f t="shared" si="47"/>
        <v>0</v>
      </c>
      <c r="F76" s="15">
        <f t="shared" si="45"/>
        <v>0</v>
      </c>
      <c r="G76" s="15">
        <f t="shared" ref="G76" si="48">SUM(G73:G75)</f>
        <v>0</v>
      </c>
      <c r="H76" s="124" t="e">
        <f t="shared" si="46"/>
        <v>#DIV/0!</v>
      </c>
    </row>
    <row r="77" spans="1:8">
      <c r="A77" s="16" t="s">
        <v>51</v>
      </c>
      <c r="B77" s="17" t="s">
        <v>52</v>
      </c>
      <c r="C77" s="18">
        <f t="shared" ref="C77:E77" si="49">C72+C76</f>
        <v>0</v>
      </c>
      <c r="D77" s="18">
        <f t="shared" si="49"/>
        <v>0</v>
      </c>
      <c r="E77" s="18">
        <f t="shared" si="49"/>
        <v>0</v>
      </c>
      <c r="F77" s="18">
        <f t="shared" si="45"/>
        <v>0</v>
      </c>
      <c r="G77" s="18">
        <f t="shared" ref="G77" si="50">G72+G76</f>
        <v>0</v>
      </c>
      <c r="H77" s="125" t="e">
        <f t="shared" si="46"/>
        <v>#DIV/0!</v>
      </c>
    </row>
    <row r="78" spans="1:8" ht="25.5">
      <c r="A78" s="16" t="s">
        <v>53</v>
      </c>
      <c r="B78" s="17" t="s">
        <v>54</v>
      </c>
      <c r="C78" s="18">
        <f t="shared" ref="C78:E78" si="51">SUM(C79:C82)</f>
        <v>0</v>
      </c>
      <c r="D78" s="18">
        <f t="shared" si="51"/>
        <v>0</v>
      </c>
      <c r="E78" s="18">
        <f t="shared" si="51"/>
        <v>0</v>
      </c>
      <c r="F78" s="18">
        <f t="shared" si="45"/>
        <v>0</v>
      </c>
      <c r="G78" s="18">
        <f t="shared" ref="G78" si="52">SUM(G79:G82)</f>
        <v>0</v>
      </c>
      <c r="H78" s="125" t="e">
        <f t="shared" si="46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5"/>
        <v>0</v>
      </c>
      <c r="G79" s="15"/>
      <c r="H79" s="124" t="e">
        <f t="shared" si="46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5"/>
        <v>0</v>
      </c>
      <c r="G80" s="15"/>
      <c r="H80" s="124" t="e">
        <f t="shared" si="46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5"/>
        <v>0</v>
      </c>
      <c r="G81" s="15"/>
      <c r="H81" s="124" t="e">
        <f t="shared" si="46"/>
        <v>#DIV/0!</v>
      </c>
    </row>
    <row r="82" spans="1:8" ht="25.5">
      <c r="A82" s="13" t="s">
        <v>61</v>
      </c>
      <c r="B82" s="14" t="s">
        <v>62</v>
      </c>
      <c r="C82" s="15"/>
      <c r="D82" s="15"/>
      <c r="E82" s="15"/>
      <c r="F82" s="15">
        <f t="shared" si="45"/>
        <v>0</v>
      </c>
      <c r="G82" s="15"/>
      <c r="H82" s="124" t="e">
        <f t="shared" si="46"/>
        <v>#DIV/0!</v>
      </c>
    </row>
    <row r="83" spans="1:8">
      <c r="A83" s="13" t="s">
        <v>63</v>
      </c>
      <c r="B83" s="14" t="s">
        <v>64</v>
      </c>
      <c r="C83" s="15"/>
      <c r="D83" s="15"/>
      <c r="E83" s="15">
        <v>30402</v>
      </c>
      <c r="F83" s="15">
        <f t="shared" si="45"/>
        <v>30402</v>
      </c>
      <c r="G83" s="15">
        <v>30402</v>
      </c>
      <c r="H83" s="124">
        <f t="shared" si="46"/>
        <v>1</v>
      </c>
    </row>
    <row r="84" spans="1:8">
      <c r="A84" s="13" t="s">
        <v>65</v>
      </c>
      <c r="B84" s="14" t="s">
        <v>66</v>
      </c>
      <c r="C84" s="15">
        <v>75665</v>
      </c>
      <c r="D84" s="15">
        <v>50000</v>
      </c>
      <c r="E84" s="15"/>
      <c r="F84" s="15">
        <f t="shared" si="45"/>
        <v>50000</v>
      </c>
      <c r="G84" s="15">
        <v>4956</v>
      </c>
      <c r="H84" s="124">
        <f t="shared" si="46"/>
        <v>9.912E-2</v>
      </c>
    </row>
    <row r="85" spans="1:8">
      <c r="A85" s="13" t="s">
        <v>67</v>
      </c>
      <c r="B85" s="14" t="s">
        <v>68</v>
      </c>
      <c r="C85" s="15">
        <f t="shared" ref="C85:E85" si="53">SUM(C83:C84)</f>
        <v>75665</v>
      </c>
      <c r="D85" s="15">
        <f t="shared" si="53"/>
        <v>50000</v>
      </c>
      <c r="E85" s="15">
        <f t="shared" si="53"/>
        <v>30402</v>
      </c>
      <c r="F85" s="15">
        <f t="shared" si="45"/>
        <v>80402</v>
      </c>
      <c r="G85" s="15">
        <f t="shared" ref="G85" si="54">SUM(G83:G84)</f>
        <v>35358</v>
      </c>
      <c r="H85" s="124">
        <f t="shared" si="46"/>
        <v>0.43976517997064751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5"/>
        <v>0</v>
      </c>
      <c r="G86" s="15"/>
      <c r="H86" s="124" t="e">
        <f t="shared" si="46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5"/>
        <v>0</v>
      </c>
      <c r="G87" s="15"/>
      <c r="H87" s="124" t="e">
        <f t="shared" si="46"/>
        <v>#DIV/0!</v>
      </c>
    </row>
    <row r="88" spans="1:8">
      <c r="A88" s="13" t="s">
        <v>73</v>
      </c>
      <c r="B88" s="14" t="s">
        <v>74</v>
      </c>
      <c r="C88" s="15">
        <f t="shared" ref="C88:E88" si="55">SUM(C86:C87)</f>
        <v>0</v>
      </c>
      <c r="D88" s="15">
        <f t="shared" si="55"/>
        <v>0</v>
      </c>
      <c r="E88" s="15">
        <f t="shared" si="55"/>
        <v>0</v>
      </c>
      <c r="F88" s="15">
        <f t="shared" si="45"/>
        <v>0</v>
      </c>
      <c r="G88" s="15">
        <f t="shared" ref="G88" si="56">SUM(G86:G87)</f>
        <v>0</v>
      </c>
      <c r="H88" s="124" t="e">
        <f t="shared" si="46"/>
        <v>#DIV/0!</v>
      </c>
    </row>
    <row r="89" spans="1:8">
      <c r="A89" s="13" t="s">
        <v>75</v>
      </c>
      <c r="B89" s="14" t="s">
        <v>76</v>
      </c>
      <c r="C89" s="15">
        <v>36417</v>
      </c>
      <c r="D89" s="15">
        <v>50000</v>
      </c>
      <c r="E89" s="15"/>
      <c r="F89" s="15">
        <f t="shared" si="45"/>
        <v>50000</v>
      </c>
      <c r="G89" s="15">
        <v>9062</v>
      </c>
      <c r="H89" s="124">
        <f t="shared" si="46"/>
        <v>0.18124000000000001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5"/>
        <v>0</v>
      </c>
      <c r="G90" s="15">
        <v>0</v>
      </c>
      <c r="H90" s="124" t="e">
        <f t="shared" si="46"/>
        <v>#DIV/0!</v>
      </c>
    </row>
    <row r="91" spans="1:8">
      <c r="A91" s="20" t="s">
        <v>276</v>
      </c>
      <c r="B91" s="19" t="s">
        <v>277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5"/>
        <v>0</v>
      </c>
      <c r="G92" s="15">
        <v>0</v>
      </c>
      <c r="H92" s="124" t="e">
        <f t="shared" si="46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5"/>
        <v>0</v>
      </c>
      <c r="G93" s="15"/>
      <c r="H93" s="124" t="e">
        <f t="shared" si="46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5"/>
        <v>0</v>
      </c>
      <c r="G94" s="15"/>
      <c r="H94" s="124" t="e">
        <f t="shared" si="46"/>
        <v>#DIV/0!</v>
      </c>
    </row>
    <row r="95" spans="1:8" ht="25.5">
      <c r="A95" s="13" t="s">
        <v>85</v>
      </c>
      <c r="B95" s="14" t="s">
        <v>86</v>
      </c>
      <c r="C95" s="15"/>
      <c r="D95" s="15"/>
      <c r="E95" s="15">
        <v>36496630</v>
      </c>
      <c r="F95" s="15">
        <f t="shared" si="45"/>
        <v>36496630</v>
      </c>
      <c r="G95" s="15"/>
      <c r="H95" s="124">
        <f t="shared" si="46"/>
        <v>0</v>
      </c>
    </row>
    <row r="96" spans="1:8">
      <c r="A96" s="13" t="s">
        <v>87</v>
      </c>
      <c r="B96" s="14" t="s">
        <v>88</v>
      </c>
      <c r="C96" s="15">
        <v>17824</v>
      </c>
      <c r="D96" s="15">
        <v>30000</v>
      </c>
      <c r="E96" s="15"/>
      <c r="F96" s="15">
        <f t="shared" si="45"/>
        <v>30000</v>
      </c>
      <c r="G96" s="15"/>
      <c r="H96" s="124">
        <f t="shared" si="46"/>
        <v>0</v>
      </c>
    </row>
    <row r="97" spans="1:8">
      <c r="A97" s="13" t="s">
        <v>89</v>
      </c>
      <c r="B97" s="14" t="s">
        <v>90</v>
      </c>
      <c r="C97" s="15">
        <v>5638</v>
      </c>
      <c r="D97" s="15"/>
      <c r="E97" s="15"/>
      <c r="F97" s="15">
        <f t="shared" si="45"/>
        <v>0</v>
      </c>
      <c r="G97" s="15"/>
      <c r="H97" s="124" t="e">
        <f t="shared" si="46"/>
        <v>#DIV/0!</v>
      </c>
    </row>
    <row r="98" spans="1:8" ht="25.5">
      <c r="A98" s="13" t="s">
        <v>91</v>
      </c>
      <c r="B98" s="14" t="s">
        <v>92</v>
      </c>
      <c r="C98" s="15">
        <f>C89+C90+C92+C93+C95+C96+C91</f>
        <v>54241</v>
      </c>
      <c r="D98" s="15">
        <f t="shared" ref="D98:G98" si="57">D89+D90+D92+D93+D95+D96+D91</f>
        <v>80000</v>
      </c>
      <c r="E98" s="15">
        <f t="shared" si="57"/>
        <v>36496630</v>
      </c>
      <c r="F98" s="15">
        <f t="shared" si="57"/>
        <v>36576630</v>
      </c>
      <c r="G98" s="15">
        <f t="shared" si="57"/>
        <v>9062</v>
      </c>
      <c r="H98" s="124">
        <f t="shared" si="46"/>
        <v>2.4775382532507778E-4</v>
      </c>
    </row>
    <row r="99" spans="1:8">
      <c r="A99" s="13" t="s">
        <v>280</v>
      </c>
      <c r="B99" s="14" t="s">
        <v>281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5"/>
        <v>0</v>
      </c>
      <c r="G100" s="15"/>
      <c r="H100" s="124" t="e">
        <f t="shared" si="46"/>
        <v>#DIV/0!</v>
      </c>
    </row>
    <row r="101" spans="1:8" ht="25.5">
      <c r="A101" s="13" t="s">
        <v>95</v>
      </c>
      <c r="B101" s="14" t="s">
        <v>96</v>
      </c>
      <c r="C101" s="15">
        <f>SUM(C99:C100)</f>
        <v>0</v>
      </c>
      <c r="D101" s="15">
        <f t="shared" ref="D101:G101" si="58">SUM(D99:D100)</f>
        <v>0</v>
      </c>
      <c r="E101" s="15">
        <f t="shared" si="58"/>
        <v>0</v>
      </c>
      <c r="F101" s="15">
        <f t="shared" si="58"/>
        <v>0</v>
      </c>
      <c r="G101" s="15">
        <f t="shared" si="58"/>
        <v>0</v>
      </c>
      <c r="H101" s="124" t="e">
        <f t="shared" si="46"/>
        <v>#DIV/0!</v>
      </c>
    </row>
    <row r="102" spans="1:8" ht="25.5">
      <c r="A102" s="13" t="s">
        <v>97</v>
      </c>
      <c r="B102" s="14" t="s">
        <v>98</v>
      </c>
      <c r="C102" s="15">
        <v>30546</v>
      </c>
      <c r="D102" s="15">
        <v>35000</v>
      </c>
      <c r="E102" s="15">
        <v>9854090</v>
      </c>
      <c r="F102" s="15">
        <f t="shared" si="45"/>
        <v>9889090</v>
      </c>
      <c r="G102" s="15">
        <v>11946</v>
      </c>
      <c r="H102" s="124">
        <f t="shared" si="46"/>
        <v>1.2079979047617121E-3</v>
      </c>
    </row>
    <row r="103" spans="1:8" s="122" customFormat="1">
      <c r="A103" s="13">
        <v>52</v>
      </c>
      <c r="B103" s="14" t="s">
        <v>458</v>
      </c>
      <c r="C103" s="15"/>
      <c r="D103" s="15"/>
      <c r="E103" s="15"/>
      <c r="F103" s="15">
        <f t="shared" si="45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5"/>
        <v>0</v>
      </c>
      <c r="G104" s="15"/>
      <c r="H104" s="124" t="e">
        <f t="shared" si="46"/>
        <v>#DIV/0!</v>
      </c>
    </row>
    <row r="105" spans="1:8" ht="25.5">
      <c r="A105" s="13" t="s">
        <v>101</v>
      </c>
      <c r="B105" s="14" t="s">
        <v>102</v>
      </c>
      <c r="C105" s="15">
        <f t="shared" ref="C105:E105" si="59">SUM(C102:C104)</f>
        <v>30546</v>
      </c>
      <c r="D105" s="15">
        <f t="shared" si="59"/>
        <v>35000</v>
      </c>
      <c r="E105" s="15">
        <f t="shared" si="59"/>
        <v>9854090</v>
      </c>
      <c r="F105" s="15">
        <f t="shared" si="45"/>
        <v>9889090</v>
      </c>
      <c r="G105" s="15">
        <f t="shared" ref="G105" si="60">SUM(G102:G104)</f>
        <v>11946</v>
      </c>
      <c r="H105" s="124">
        <f t="shared" si="46"/>
        <v>1.2079979047617121E-3</v>
      </c>
    </row>
    <row r="106" spans="1:8">
      <c r="A106" s="16" t="s">
        <v>103</v>
      </c>
      <c r="B106" s="17" t="s">
        <v>104</v>
      </c>
      <c r="C106" s="18">
        <f t="shared" ref="C106:E106" si="61">C85+C88+C98+C101+C105</f>
        <v>160452</v>
      </c>
      <c r="D106" s="18">
        <f t="shared" si="61"/>
        <v>165000</v>
      </c>
      <c r="E106" s="18">
        <f t="shared" si="61"/>
        <v>46381122</v>
      </c>
      <c r="F106" s="18">
        <f t="shared" si="45"/>
        <v>46546122</v>
      </c>
      <c r="G106" s="18">
        <f t="shared" ref="G106" si="62">G85+G88+G98+G101+G105</f>
        <v>56366</v>
      </c>
      <c r="H106" s="125">
        <f t="shared" si="46"/>
        <v>1.210970916116277E-3</v>
      </c>
    </row>
    <row r="107" spans="1:8">
      <c r="A107" s="13" t="s">
        <v>105</v>
      </c>
      <c r="B107" s="14" t="s">
        <v>106</v>
      </c>
      <c r="C107" s="15">
        <f t="shared" ref="C107:E107" si="63">SUM(C108)</f>
        <v>0</v>
      </c>
      <c r="D107" s="15">
        <f t="shared" si="63"/>
        <v>0</v>
      </c>
      <c r="E107" s="15">
        <f t="shared" si="63"/>
        <v>0</v>
      </c>
      <c r="F107" s="15">
        <f t="shared" si="45"/>
        <v>0</v>
      </c>
      <c r="G107" s="15">
        <f t="shared" ref="G107" si="64">SUM(G108)</f>
        <v>0</v>
      </c>
      <c r="H107" s="124" t="e">
        <f t="shared" si="46"/>
        <v>#DIV/0!</v>
      </c>
    </row>
    <row r="108" spans="1:8" ht="25.5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5"/>
        <v>0</v>
      </c>
      <c r="G108" s="15">
        <v>0</v>
      </c>
      <c r="H108" s="124" t="e">
        <f t="shared" si="46"/>
        <v>#DIV/0!</v>
      </c>
    </row>
    <row r="109" spans="1:8" ht="25.5">
      <c r="A109" s="13" t="s">
        <v>109</v>
      </c>
      <c r="B109" s="14" t="s">
        <v>110</v>
      </c>
      <c r="C109" s="15">
        <f t="shared" ref="C109:E109" si="65">SUM(C110:C112)</f>
        <v>0</v>
      </c>
      <c r="D109" s="15">
        <f t="shared" si="65"/>
        <v>0</v>
      </c>
      <c r="E109" s="15">
        <f t="shared" si="65"/>
        <v>0</v>
      </c>
      <c r="F109" s="15">
        <f t="shared" si="45"/>
        <v>0</v>
      </c>
      <c r="G109" s="15">
        <f t="shared" ref="G109" si="66">SUM(G110:G112)</f>
        <v>0</v>
      </c>
      <c r="H109" s="124" t="e">
        <f t="shared" si="46"/>
        <v>#DIV/0!</v>
      </c>
    </row>
    <row r="110" spans="1:8" ht="25.5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5"/>
        <v>0</v>
      </c>
      <c r="G110" s="15">
        <v>0</v>
      </c>
      <c r="H110" s="124" t="e">
        <f t="shared" si="46"/>
        <v>#DIV/0!</v>
      </c>
    </row>
    <row r="111" spans="1:8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5"/>
        <v>0</v>
      </c>
      <c r="G111" s="15">
        <v>0</v>
      </c>
      <c r="H111" s="124" t="e">
        <f t="shared" si="46"/>
        <v>#DIV/0!</v>
      </c>
    </row>
    <row r="112" spans="1:8" ht="38.25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5"/>
        <v>0</v>
      </c>
      <c r="G112" s="15">
        <v>0</v>
      </c>
      <c r="H112" s="124" t="e">
        <f t="shared" si="46"/>
        <v>#DIV/0!</v>
      </c>
    </row>
    <row r="113" spans="1:8" ht="25.5">
      <c r="A113" s="16" t="s">
        <v>117</v>
      </c>
      <c r="B113" s="17" t="s">
        <v>118</v>
      </c>
      <c r="C113" s="18">
        <f t="shared" ref="C113" si="67">C107+C109</f>
        <v>0</v>
      </c>
      <c r="D113" s="18">
        <f t="shared" ref="D113:G113" si="68">D107+D109</f>
        <v>0</v>
      </c>
      <c r="E113" s="18">
        <f t="shared" si="68"/>
        <v>0</v>
      </c>
      <c r="F113" s="18">
        <f t="shared" si="45"/>
        <v>0</v>
      </c>
      <c r="G113" s="18">
        <f t="shared" si="68"/>
        <v>0</v>
      </c>
      <c r="H113" s="125" t="e">
        <f t="shared" si="46"/>
        <v>#DIV/0!</v>
      </c>
    </row>
    <row r="114" spans="1:8" ht="25.5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5"/>
        <v>0</v>
      </c>
      <c r="G114" s="15">
        <v>0</v>
      </c>
      <c r="H114" s="124" t="e">
        <f t="shared" si="46"/>
        <v>#DIV/0!</v>
      </c>
    </row>
    <row r="115" spans="1:8" ht="25.5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5"/>
        <v>0</v>
      </c>
      <c r="G115" s="15">
        <v>0</v>
      </c>
      <c r="H115" s="124" t="e">
        <f t="shared" si="46"/>
        <v>#DIV/0!</v>
      </c>
    </row>
    <row r="116" spans="1:8" ht="25.5">
      <c r="A116" s="13" t="s">
        <v>123</v>
      </c>
      <c r="B116" s="14" t="s">
        <v>124</v>
      </c>
      <c r="C116" s="15">
        <f t="shared" ref="C116:E116" si="69">SUM(C114:C115)</f>
        <v>0</v>
      </c>
      <c r="D116" s="15">
        <f t="shared" si="69"/>
        <v>0</v>
      </c>
      <c r="E116" s="15">
        <f t="shared" si="69"/>
        <v>0</v>
      </c>
      <c r="F116" s="15">
        <f t="shared" si="45"/>
        <v>0</v>
      </c>
      <c r="G116" s="15">
        <f t="shared" ref="G116" si="70">SUM(G114:G115)</f>
        <v>0</v>
      </c>
      <c r="H116" s="124" t="e">
        <f t="shared" si="46"/>
        <v>#DIV/0!</v>
      </c>
    </row>
    <row r="117" spans="1:8" ht="25.5">
      <c r="A117" s="13" t="s">
        <v>125</v>
      </c>
      <c r="B117" s="14" t="s">
        <v>126</v>
      </c>
      <c r="C117" s="15">
        <f t="shared" ref="C117:E117" si="71">SUM(C118)</f>
        <v>0</v>
      </c>
      <c r="D117" s="15">
        <f t="shared" si="71"/>
        <v>0</v>
      </c>
      <c r="E117" s="15">
        <f t="shared" si="71"/>
        <v>0</v>
      </c>
      <c r="F117" s="15">
        <f t="shared" si="45"/>
        <v>0</v>
      </c>
      <c r="G117" s="15">
        <f t="shared" ref="G117" si="72">SUM(G118)</f>
        <v>0</v>
      </c>
      <c r="H117" s="124" t="e">
        <f t="shared" si="46"/>
        <v>#DIV/0!</v>
      </c>
    </row>
    <row r="118" spans="1:8" ht="25.5">
      <c r="A118" s="13" t="s">
        <v>127</v>
      </c>
      <c r="B118" s="14" t="s">
        <v>128</v>
      </c>
      <c r="C118" s="15"/>
      <c r="D118" s="15"/>
      <c r="E118" s="15"/>
      <c r="F118" s="15">
        <f t="shared" si="45"/>
        <v>0</v>
      </c>
      <c r="G118" s="15"/>
      <c r="H118" s="124" t="e">
        <f t="shared" si="46"/>
        <v>#DIV/0!</v>
      </c>
    </row>
    <row r="119" spans="1:8" ht="25.5">
      <c r="A119" s="13" t="s">
        <v>129</v>
      </c>
      <c r="B119" s="14" t="s">
        <v>130</v>
      </c>
      <c r="C119" s="15">
        <f t="shared" ref="C119:E119" si="73">SUM(C120:C122)</f>
        <v>0</v>
      </c>
      <c r="D119" s="15">
        <f t="shared" si="73"/>
        <v>0</v>
      </c>
      <c r="E119" s="15">
        <f t="shared" si="73"/>
        <v>0</v>
      </c>
      <c r="F119" s="15">
        <f t="shared" si="45"/>
        <v>0</v>
      </c>
      <c r="G119" s="15">
        <f t="shared" ref="G119" si="74">SUM(G120:G122)</f>
        <v>0</v>
      </c>
      <c r="H119" s="124" t="e">
        <f t="shared" si="46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5"/>
        <v>0</v>
      </c>
      <c r="G120" s="15"/>
      <c r="H120" s="124" t="e">
        <f t="shared" si="46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5"/>
        <v>0</v>
      </c>
      <c r="G121" s="15"/>
      <c r="H121" s="124" t="e">
        <f t="shared" si="46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5"/>
        <v>0</v>
      </c>
      <c r="G122" s="15"/>
      <c r="H122" s="124" t="e">
        <f t="shared" si="46"/>
        <v>#DIV/0!</v>
      </c>
    </row>
    <row r="123" spans="1:8">
      <c r="A123" s="13">
        <v>188</v>
      </c>
      <c r="B123" s="19" t="s">
        <v>275</v>
      </c>
      <c r="C123" s="15"/>
      <c r="D123" s="15">
        <v>316000</v>
      </c>
      <c r="E123" s="15">
        <f>-30402+2</f>
        <v>-30400</v>
      </c>
      <c r="F123" s="15">
        <f t="shared" si="45"/>
        <v>285600</v>
      </c>
      <c r="G123" s="15"/>
      <c r="H123" s="124"/>
    </row>
    <row r="124" spans="1:8" ht="38.25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5">D116+D118+D119+D123</f>
        <v>316000</v>
      </c>
      <c r="E124" s="18">
        <f t="shared" si="75"/>
        <v>-30400</v>
      </c>
      <c r="F124" s="18">
        <f t="shared" si="75"/>
        <v>285600</v>
      </c>
      <c r="G124" s="18">
        <f t="shared" si="75"/>
        <v>0</v>
      </c>
      <c r="H124" s="125">
        <f t="shared" si="46"/>
        <v>0</v>
      </c>
    </row>
    <row r="125" spans="1:8" s="128" customFormat="1">
      <c r="A125" s="20">
        <v>192</v>
      </c>
      <c r="B125" s="19" t="s">
        <v>466</v>
      </c>
      <c r="C125" s="18"/>
      <c r="D125" s="18"/>
      <c r="E125" s="18"/>
      <c r="F125" s="15">
        <f t="shared" si="45"/>
        <v>0</v>
      </c>
      <c r="G125" s="18"/>
      <c r="H125" s="124" t="e">
        <f t="shared" si="46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5"/>
        <v>0</v>
      </c>
      <c r="G126" s="15">
        <v>0</v>
      </c>
      <c r="H126" s="124" t="e">
        <f t="shared" si="46"/>
        <v>#DIV/0!</v>
      </c>
    </row>
    <row r="127" spans="1:8" ht="25.5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5"/>
        <v>0</v>
      </c>
      <c r="G127" s="15">
        <v>0</v>
      </c>
      <c r="H127" s="124" t="e">
        <f t="shared" si="46"/>
        <v>#DIV/0!</v>
      </c>
    </row>
    <row r="128" spans="1:8" ht="25.5">
      <c r="A128" s="13" t="s">
        <v>143</v>
      </c>
      <c r="B128" s="14" t="s">
        <v>144</v>
      </c>
      <c r="C128" s="15"/>
      <c r="D128" s="15"/>
      <c r="E128" s="15"/>
      <c r="F128" s="15">
        <f t="shared" si="45"/>
        <v>0</v>
      </c>
      <c r="G128" s="15"/>
      <c r="H128" s="124" t="e">
        <f t="shared" si="46"/>
        <v>#DIV/0!</v>
      </c>
    </row>
    <row r="129" spans="1:8" ht="25.5">
      <c r="A129" s="13" t="s">
        <v>145</v>
      </c>
      <c r="B129" s="14" t="s">
        <v>146</v>
      </c>
      <c r="C129" s="15"/>
      <c r="D129" s="15"/>
      <c r="E129" s="15"/>
      <c r="F129" s="15">
        <f t="shared" si="45"/>
        <v>0</v>
      </c>
      <c r="G129" s="15"/>
      <c r="H129" s="124" t="e">
        <f t="shared" si="46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6">SUM(D125:D129)</f>
        <v>0</v>
      </c>
      <c r="E130" s="18">
        <f t="shared" si="76"/>
        <v>0</v>
      </c>
      <c r="F130" s="18">
        <f t="shared" si="76"/>
        <v>0</v>
      </c>
      <c r="G130" s="18">
        <f t="shared" si="76"/>
        <v>0</v>
      </c>
      <c r="H130" s="125" t="e">
        <f t="shared" si="46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5"/>
        <v>0</v>
      </c>
      <c r="G131" s="15"/>
      <c r="H131" s="124" t="e">
        <f t="shared" si="46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5"/>
        <v>0</v>
      </c>
      <c r="G132" s="15"/>
      <c r="H132" s="124" t="e">
        <f t="shared" si="46"/>
        <v>#DIV/0!</v>
      </c>
    </row>
    <row r="133" spans="1:8" ht="25.5">
      <c r="A133" s="13" t="s">
        <v>153</v>
      </c>
      <c r="B133" s="14" t="s">
        <v>154</v>
      </c>
      <c r="C133" s="15"/>
      <c r="D133" s="15"/>
      <c r="E133" s="15"/>
      <c r="F133" s="15">
        <f t="shared" si="45"/>
        <v>0</v>
      </c>
      <c r="G133" s="15"/>
      <c r="H133" s="124" t="e">
        <f t="shared" si="46"/>
        <v>#DIV/0!</v>
      </c>
    </row>
    <row r="134" spans="1:8">
      <c r="A134" s="16" t="s">
        <v>155</v>
      </c>
      <c r="B134" s="17" t="s">
        <v>156</v>
      </c>
      <c r="C134" s="18">
        <f t="shared" ref="C134:E134" si="77">SUM(C131:C133)</f>
        <v>0</v>
      </c>
      <c r="D134" s="18">
        <f t="shared" si="77"/>
        <v>0</v>
      </c>
      <c r="E134" s="18">
        <f t="shared" si="77"/>
        <v>0</v>
      </c>
      <c r="F134" s="18">
        <f t="shared" si="45"/>
        <v>0</v>
      </c>
      <c r="G134" s="18">
        <f t="shared" ref="G134" si="78">SUM(G131:G133)</f>
        <v>0</v>
      </c>
      <c r="H134" s="125" t="e">
        <f t="shared" si="46"/>
        <v>#DIV/0!</v>
      </c>
    </row>
    <row r="135" spans="1:8" ht="25.5">
      <c r="A135" s="16" t="s">
        <v>157</v>
      </c>
      <c r="B135" s="17" t="s">
        <v>158</v>
      </c>
      <c r="C135" s="18">
        <f t="shared" ref="C135:E135" si="79">C77+C78+C106+C113+C124+C130+C134</f>
        <v>160452</v>
      </c>
      <c r="D135" s="18">
        <f t="shared" si="79"/>
        <v>481000</v>
      </c>
      <c r="E135" s="18">
        <f t="shared" si="79"/>
        <v>46350722</v>
      </c>
      <c r="F135" s="18">
        <f t="shared" si="45"/>
        <v>46831722</v>
      </c>
      <c r="G135" s="18">
        <f t="shared" ref="G135" si="80">G77+G78+G106+G113+G124+G130+G134</f>
        <v>56366</v>
      </c>
      <c r="H135" s="125">
        <f t="shared" si="46"/>
        <v>1.2035858941936836E-3</v>
      </c>
    </row>
    <row r="136" spans="1:8" ht="25.5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5"/>
        <v>0</v>
      </c>
      <c r="G136" s="15">
        <v>0</v>
      </c>
      <c r="H136" s="124" t="e">
        <f t="shared" si="46"/>
        <v>#DIV/0!</v>
      </c>
    </row>
    <row r="137" spans="1:8" ht="25.5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5"/>
        <v>0</v>
      </c>
      <c r="G137" s="15">
        <v>0</v>
      </c>
      <c r="H137" s="124" t="e">
        <f t="shared" si="46"/>
        <v>#DIV/0!</v>
      </c>
    </row>
    <row r="138" spans="1:8" ht="25.5">
      <c r="A138" s="13" t="s">
        <v>163</v>
      </c>
      <c r="B138" s="14" t="s">
        <v>164</v>
      </c>
      <c r="C138" s="15">
        <f t="shared" ref="C138:E138" si="81">SUM(C136:C137)</f>
        <v>0</v>
      </c>
      <c r="D138" s="15">
        <f t="shared" si="81"/>
        <v>0</v>
      </c>
      <c r="E138" s="15">
        <f t="shared" si="81"/>
        <v>0</v>
      </c>
      <c r="F138" s="15">
        <f t="shared" si="45"/>
        <v>0</v>
      </c>
      <c r="G138" s="15">
        <f t="shared" ref="G138" si="82">SUM(G136:G137)</f>
        <v>0</v>
      </c>
      <c r="H138" s="124" t="e">
        <f t="shared" si="46"/>
        <v>#DIV/0!</v>
      </c>
    </row>
    <row r="139" spans="1:8" ht="25.5">
      <c r="A139" s="16" t="s">
        <v>165</v>
      </c>
      <c r="B139" s="17" t="s">
        <v>166</v>
      </c>
      <c r="C139" s="18">
        <f t="shared" ref="C139:E139" si="83">SUM(C138)</f>
        <v>0</v>
      </c>
      <c r="D139" s="18">
        <f t="shared" si="83"/>
        <v>0</v>
      </c>
      <c r="E139" s="18">
        <f t="shared" si="83"/>
        <v>0</v>
      </c>
      <c r="F139" s="18">
        <f t="shared" si="45"/>
        <v>0</v>
      </c>
      <c r="G139" s="18">
        <f t="shared" ref="G139" si="84">SUM(G138)</f>
        <v>0</v>
      </c>
      <c r="H139" s="125" t="e">
        <f t="shared" si="46"/>
        <v>#DIV/0!</v>
      </c>
    </row>
    <row r="140" spans="1:8">
      <c r="A140" s="16" t="s">
        <v>167</v>
      </c>
      <c r="B140" s="17" t="s">
        <v>168</v>
      </c>
      <c r="C140" s="18">
        <f t="shared" ref="C140:E140" si="85">C135+C139</f>
        <v>160452</v>
      </c>
      <c r="D140" s="18">
        <f t="shared" si="85"/>
        <v>481000</v>
      </c>
      <c r="E140" s="18">
        <f t="shared" si="85"/>
        <v>46350722</v>
      </c>
      <c r="F140" s="18">
        <f t="shared" si="45"/>
        <v>46831722</v>
      </c>
      <c r="G140" s="18">
        <f t="shared" ref="G140" si="86">G135+G139</f>
        <v>56366</v>
      </c>
      <c r="H140" s="125">
        <f t="shared" si="46"/>
        <v>1.2035858941936836E-3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H146"/>
  <sheetViews>
    <sheetView tabSelected="1" view="pageBreakPreview" topLeftCell="A124" zoomScale="70" zoomScaleNormal="100" zoomScaleSheetLayoutView="70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9.33203125" customWidth="1"/>
    <col min="5" max="5" width="9.88671875" customWidth="1"/>
    <col min="6" max="6" width="10.44140625" customWidth="1"/>
    <col min="8" max="8" width="13.44140625" style="126" customWidth="1"/>
  </cols>
  <sheetData>
    <row r="1" spans="1:8">
      <c r="A1" s="140" t="s">
        <v>453</v>
      </c>
      <c r="B1" s="140"/>
      <c r="C1" s="140"/>
      <c r="D1" s="140"/>
      <c r="E1" s="140"/>
      <c r="F1" s="140"/>
      <c r="G1" s="140"/>
      <c r="H1" s="140"/>
    </row>
    <row r="2" spans="1:8">
      <c r="A2" s="141" t="s">
        <v>415</v>
      </c>
      <c r="B2" s="141"/>
      <c r="C2" s="141"/>
      <c r="D2" s="141"/>
      <c r="E2" s="141"/>
      <c r="F2" s="141"/>
      <c r="G2" s="141"/>
      <c r="H2" s="141"/>
    </row>
    <row r="3" spans="1:8">
      <c r="A3" s="141" t="s">
        <v>416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f>Önk.összesen!C6+'Ovi összesen'!C6+'Hivatal összesen'!C6</f>
        <v>73674509</v>
      </c>
      <c r="D6" s="15">
        <f>Önk.összesen!D6+'Ovi összesen'!D6+'Hivatal összesen'!D6</f>
        <v>76527024</v>
      </c>
      <c r="E6" s="15">
        <f>Önk.összesen!E6+'Ovi összesen'!E6+'Hivatal összesen'!E6</f>
        <v>0</v>
      </c>
      <c r="F6" s="15">
        <f>Önk.összesen!F6+'Ovi összesen'!F6+'Hivatal összesen'!F6</f>
        <v>76527024</v>
      </c>
      <c r="G6" s="15">
        <f>Önk.összesen!G6+'Ovi összesen'!G6+'Hivatal összesen'!G6</f>
        <v>39871650</v>
      </c>
      <c r="H6" s="124">
        <f>G6/F6</f>
        <v>0.52101398847026903</v>
      </c>
    </row>
    <row r="7" spans="1:8" ht="25.5">
      <c r="A7" s="13" t="s">
        <v>174</v>
      </c>
      <c r="B7" s="14" t="s">
        <v>175</v>
      </c>
      <c r="C7" s="15">
        <f>Önk.összesen!C7+'Ovi összesen'!C7+'Hivatal összesen'!C7</f>
        <v>46209110</v>
      </c>
      <c r="D7" s="15">
        <f>Önk.összesen!D7+'Ovi összesen'!D7+'Hivatal összesen'!D7</f>
        <v>47057290</v>
      </c>
      <c r="E7" s="15">
        <f>Önk.összesen!E7+'Ovi összesen'!E7+'Hivatal összesen'!E7</f>
        <v>0</v>
      </c>
      <c r="F7" s="15">
        <f>Önk.összesen!F7+'Ovi összesen'!F7+'Hivatal összesen'!F7</f>
        <v>47057290</v>
      </c>
      <c r="G7" s="15">
        <f>Önk.összesen!G7+'Ovi összesen'!G7+'Hivatal összesen'!G7</f>
        <v>24883136</v>
      </c>
      <c r="H7" s="124">
        <f t="shared" ref="H7:H77" si="0">G7/F7</f>
        <v>0.52878387174442043</v>
      </c>
    </row>
    <row r="8" spans="1:8" ht="38.25">
      <c r="A8" s="13" t="s">
        <v>176</v>
      </c>
      <c r="B8" s="14" t="s">
        <v>177</v>
      </c>
      <c r="C8" s="15">
        <f>Önk.összesen!C8+'Ovi összesen'!C8+'Hivatal összesen'!C8</f>
        <v>43417014</v>
      </c>
      <c r="D8" s="15">
        <f>Önk.összesen!D8+'Ovi összesen'!D8+'Hivatal összesen'!D8</f>
        <v>40760200</v>
      </c>
      <c r="E8" s="15">
        <f>Önk.összesen!E8+'Ovi összesen'!E8+'Hivatal összesen'!E8</f>
        <v>0</v>
      </c>
      <c r="F8" s="15">
        <f>Önk.összesen!F8+'Ovi összesen'!F8+'Hivatal összesen'!F8</f>
        <v>40760200</v>
      </c>
      <c r="G8" s="15">
        <f>Önk.összesen!G8+'Ovi összesen'!G8+'Hivatal összesen'!G8</f>
        <v>21195304</v>
      </c>
      <c r="H8" s="124">
        <f t="shared" si="0"/>
        <v>0.52</v>
      </c>
    </row>
    <row r="9" spans="1:8" ht="25.5">
      <c r="A9" s="13" t="s">
        <v>178</v>
      </c>
      <c r="B9" s="14" t="s">
        <v>179</v>
      </c>
      <c r="C9" s="15">
        <f>Önk.összesen!C9+'Ovi összesen'!C9+'Hivatal összesen'!C9</f>
        <v>3527160</v>
      </c>
      <c r="D9" s="15">
        <f>Önk.összesen!D9+'Ovi összesen'!D9+'Hivatal összesen'!D9</f>
        <v>3518040</v>
      </c>
      <c r="E9" s="15">
        <f>Önk.összesen!E9+'Ovi összesen'!E9+'Hivatal összesen'!E9</f>
        <v>0</v>
      </c>
      <c r="F9" s="15">
        <f>Önk.összesen!F9+'Ovi összesen'!F9+'Hivatal összesen'!F9</f>
        <v>3518040</v>
      </c>
      <c r="G9" s="15">
        <f>Önk.összesen!G9+'Ovi összesen'!G9+'Hivatal összesen'!G9</f>
        <v>1829380</v>
      </c>
      <c r="H9" s="124">
        <f t="shared" si="0"/>
        <v>0.51999977260065267</v>
      </c>
    </row>
    <row r="10" spans="1:8" ht="25.5">
      <c r="A10" s="13" t="s">
        <v>180</v>
      </c>
      <c r="B10" s="14" t="s">
        <v>181</v>
      </c>
      <c r="C10" s="15">
        <f>Önk.összesen!C10+'Ovi összesen'!C10+'Hivatal összesen'!C10</f>
        <v>946785</v>
      </c>
      <c r="D10" s="15">
        <f>Önk.összesen!D10+'Ovi összesen'!D10+'Hivatal összesen'!D10</f>
        <v>0</v>
      </c>
      <c r="E10" s="15">
        <f>Önk.összesen!E10+'Ovi összesen'!E10+'Hivatal összesen'!E10</f>
        <v>216366</v>
      </c>
      <c r="F10" s="15">
        <f>Önk.összesen!F10+'Ovi összesen'!F10+'Hivatal összesen'!F10</f>
        <v>216366</v>
      </c>
      <c r="G10" s="15">
        <f>Önk.összesen!G10+'Ovi összesen'!G10+'Hivatal összesen'!G10</f>
        <v>760914</v>
      </c>
      <c r="H10" s="124">
        <f t="shared" si="0"/>
        <v>3.5167909930395718</v>
      </c>
    </row>
    <row r="11" spans="1:8">
      <c r="A11" s="13" t="s">
        <v>182</v>
      </c>
      <c r="B11" s="14" t="s">
        <v>183</v>
      </c>
      <c r="C11" s="15">
        <f>Önk.összesen!C11+'Ovi összesen'!C11+'Hivatal összesen'!C11</f>
        <v>230069</v>
      </c>
      <c r="D11" s="15">
        <f>Önk.összesen!D11+'Ovi összesen'!D11+'Hivatal összesen'!D11</f>
        <v>0</v>
      </c>
      <c r="E11" s="15">
        <f>Önk.összesen!E11+'Ovi összesen'!E11+'Hivatal összesen'!E11</f>
        <v>1224447</v>
      </c>
      <c r="F11" s="15">
        <f>Önk.összesen!F11+'Ovi összesen'!F11+'Hivatal összesen'!F11</f>
        <v>1224447</v>
      </c>
      <c r="G11" s="15">
        <f>Önk.összesen!G11+'Ovi összesen'!G11+'Hivatal összesen'!G11</f>
        <v>1224447</v>
      </c>
      <c r="H11" s="124">
        <f t="shared" si="0"/>
        <v>1</v>
      </c>
    </row>
    <row r="12" spans="1:8" ht="25.5">
      <c r="A12" s="13" t="s">
        <v>33</v>
      </c>
      <c r="B12" s="14" t="s">
        <v>184</v>
      </c>
      <c r="C12" s="15">
        <f>Önk.összesen!C12+'Ovi összesen'!C12+'Hivatal összesen'!C12</f>
        <v>168004647</v>
      </c>
      <c r="D12" s="15">
        <f>Önk.összesen!D12+'Ovi összesen'!D12+'Hivatal összesen'!D12</f>
        <v>167862554</v>
      </c>
      <c r="E12" s="15">
        <f>Önk.összesen!E12+'Ovi összesen'!E12+'Hivatal összesen'!E12</f>
        <v>1440813</v>
      </c>
      <c r="F12" s="15">
        <f>Önk.összesen!F12+'Ovi összesen'!F12+'Hivatal összesen'!F12</f>
        <v>169303367</v>
      </c>
      <c r="G12" s="15">
        <f>Önk.összesen!G12+'Ovi összesen'!G12+'Hivatal összesen'!G12</f>
        <v>89764831</v>
      </c>
      <c r="H12" s="124">
        <f t="shared" si="0"/>
        <v>0.53020109753635314</v>
      </c>
    </row>
    <row r="13" spans="1:8" ht="25.5">
      <c r="A13" s="13" t="s">
        <v>67</v>
      </c>
      <c r="B13" s="19" t="s">
        <v>185</v>
      </c>
      <c r="C13" s="15">
        <f>Önk.összesen!C13+'Ovi összesen'!C13+'Hivatal összesen'!C13</f>
        <v>47380776</v>
      </c>
      <c r="D13" s="15">
        <f>Önk.összesen!D13+'Ovi összesen'!D13+'Hivatal összesen'!D13</f>
        <v>13813000</v>
      </c>
      <c r="E13" s="15">
        <f>Önk.összesen!E13+'Ovi összesen'!E13+'Hivatal összesen'!E13</f>
        <v>46150720</v>
      </c>
      <c r="F13" s="15">
        <f>Önk.összesen!F13+'Ovi összesen'!F13+'Hivatal összesen'!F13</f>
        <v>59963720</v>
      </c>
      <c r="G13" s="15">
        <f>Önk.összesen!G13+'Ovi összesen'!G13+'Hivatal összesen'!G13</f>
        <v>56920779</v>
      </c>
      <c r="H13" s="124">
        <f t="shared" si="0"/>
        <v>0.94925363202950053</v>
      </c>
    </row>
    <row r="14" spans="1:8">
      <c r="A14" s="13" t="s">
        <v>69</v>
      </c>
      <c r="B14" s="14" t="s">
        <v>186</v>
      </c>
      <c r="C14" s="15">
        <f>Önk.összesen!C14+'Ovi összesen'!C14+'Hivatal összesen'!C14</f>
        <v>293225</v>
      </c>
      <c r="D14" s="15">
        <f>Önk.összesen!D14+'Ovi összesen'!D14+'Hivatal összesen'!D14</f>
        <v>0</v>
      </c>
      <c r="E14" s="15">
        <f>Önk.összesen!E14+'Ovi összesen'!E14+'Hivatal összesen'!E14</f>
        <v>46350720</v>
      </c>
      <c r="F14" s="15">
        <f>Önk.összesen!F14+'Ovi összesen'!F14+'Hivatal összesen'!F14</f>
        <v>46350720</v>
      </c>
      <c r="G14" s="15">
        <f>Önk.összesen!G14+'Ovi összesen'!G14+'Hivatal összesen'!G14</f>
        <v>46425960</v>
      </c>
      <c r="H14" s="124">
        <f t="shared" si="0"/>
        <v>1.0016232757549397</v>
      </c>
    </row>
    <row r="15" spans="1:8" ht="38.25">
      <c r="A15" s="13" t="s">
        <v>73</v>
      </c>
      <c r="B15" s="14" t="s">
        <v>187</v>
      </c>
      <c r="C15" s="15">
        <f>Önk.összesen!C15+'Ovi összesen'!C15+'Hivatal összesen'!C15</f>
        <v>6991590</v>
      </c>
      <c r="D15" s="15">
        <f>Önk.összesen!D15+'Ovi összesen'!D15+'Hivatal összesen'!D15</f>
        <v>0</v>
      </c>
      <c r="E15" s="15">
        <f>Önk.összesen!E15+'Ovi összesen'!E15+'Hivatal összesen'!E15</f>
        <v>0</v>
      </c>
      <c r="F15" s="15">
        <f>Önk.összesen!F15+'Ovi összesen'!F15+'Hivatal összesen'!F15</f>
        <v>0</v>
      </c>
      <c r="G15" s="15">
        <f>Önk.összesen!G15+'Ovi összesen'!G15+'Hivatal összesen'!G15</f>
        <v>0</v>
      </c>
      <c r="H15" s="124" t="e">
        <f t="shared" si="0"/>
        <v>#DIV/0!</v>
      </c>
    </row>
    <row r="16" spans="1:8" ht="25.5">
      <c r="A16" s="13" t="s">
        <v>75</v>
      </c>
      <c r="B16" s="14" t="s">
        <v>188</v>
      </c>
      <c r="C16" s="15">
        <f>Önk.összesen!C16+'Ovi összesen'!C16+'Hivatal összesen'!C16</f>
        <v>2467080</v>
      </c>
      <c r="D16" s="15">
        <f>Önk.összesen!D16+'Ovi összesen'!D16+'Hivatal összesen'!D16</f>
        <v>200000</v>
      </c>
      <c r="E16" s="15">
        <f>Önk.összesen!E16+'Ovi összesen'!E16+'Hivatal összesen'!E16</f>
        <v>-200000</v>
      </c>
      <c r="F16" s="15">
        <f>Önk.összesen!F16+'Ovi összesen'!F16+'Hivatal összesen'!F16</f>
        <v>0</v>
      </c>
      <c r="G16" s="15">
        <f>Önk.összesen!G16+'Ovi összesen'!G16+'Hivatal összesen'!G16</f>
        <v>0</v>
      </c>
      <c r="H16" s="124" t="e">
        <f t="shared" si="0"/>
        <v>#DIV/0!</v>
      </c>
    </row>
    <row r="17" spans="1:8" ht="25.5">
      <c r="A17" s="13" t="s">
        <v>77</v>
      </c>
      <c r="B17" s="14" t="s">
        <v>189</v>
      </c>
      <c r="C17" s="15">
        <f>Önk.összesen!C17+'Ovi összesen'!C17+'Hivatal összesen'!C17</f>
        <v>7742200</v>
      </c>
      <c r="D17" s="15">
        <f>Önk.összesen!D17+'Ovi összesen'!D17+'Hivatal összesen'!D17</f>
        <v>7748000</v>
      </c>
      <c r="E17" s="15">
        <f>Önk.összesen!E17+'Ovi összesen'!E17+'Hivatal összesen'!E17</f>
        <v>0</v>
      </c>
      <c r="F17" s="15">
        <f>Önk.összesen!F17+'Ovi összesen'!F17+'Hivatal összesen'!F17</f>
        <v>7748000</v>
      </c>
      <c r="G17" s="15">
        <f>Önk.összesen!G17+'Ovi összesen'!G17+'Hivatal összesen'!G17</f>
        <v>3866900</v>
      </c>
      <c r="H17" s="124">
        <f t="shared" si="0"/>
        <v>0.49908363448631904</v>
      </c>
    </row>
    <row r="18" spans="1:8">
      <c r="A18" s="13" t="s">
        <v>190</v>
      </c>
      <c r="B18" s="14" t="s">
        <v>191</v>
      </c>
      <c r="C18" s="15">
        <f>Önk.összesen!C18+'Ovi összesen'!C18+'Hivatal összesen'!C18</f>
        <v>29884681</v>
      </c>
      <c r="D18" s="15">
        <f>Önk.összesen!D18+'Ovi összesen'!D18+'Hivatal összesen'!D18</f>
        <v>5865000</v>
      </c>
      <c r="E18" s="15">
        <f>Önk.összesen!E18+'Ovi összesen'!E18+'Hivatal összesen'!E18</f>
        <v>0</v>
      </c>
      <c r="F18" s="15">
        <f>Önk.összesen!F18+'Ovi összesen'!F18+'Hivatal összesen'!F18</f>
        <v>5865000</v>
      </c>
      <c r="G18" s="15">
        <f>Önk.összesen!G18+'Ovi összesen'!G18+'Hivatal összesen'!G18</f>
        <v>6627919</v>
      </c>
      <c r="H18" s="124">
        <f t="shared" si="0"/>
        <v>1.1300799658994032</v>
      </c>
    </row>
    <row r="19" spans="1:8" ht="25.5">
      <c r="A19" s="13" t="s">
        <v>81</v>
      </c>
      <c r="B19" s="14" t="s">
        <v>192</v>
      </c>
      <c r="C19" s="15">
        <f>Önk.összesen!C19+'Ovi összesen'!C19+'Hivatal összesen'!C19</f>
        <v>2000</v>
      </c>
      <c r="D19" s="15">
        <f>Önk.összesen!D19+'Ovi összesen'!D19+'Hivatal összesen'!D19</f>
        <v>0</v>
      </c>
      <c r="E19" s="15">
        <f>Önk.összesen!E19+'Ovi összesen'!E19+'Hivatal összesen'!E19</f>
        <v>0</v>
      </c>
      <c r="F19" s="15">
        <f>Önk.összesen!F19+'Ovi összesen'!F19+'Hivatal összesen'!F19</f>
        <v>0</v>
      </c>
      <c r="G19" s="15">
        <f>Önk.összesen!G19+'Ovi összesen'!G19+'Hivatal összesen'!G19</f>
        <v>0</v>
      </c>
      <c r="H19" s="124" t="e">
        <f t="shared" si="0"/>
        <v>#DIV/0!</v>
      </c>
    </row>
    <row r="20" spans="1:8" ht="38.25">
      <c r="A20" s="16" t="s">
        <v>85</v>
      </c>
      <c r="B20" s="17" t="s">
        <v>193</v>
      </c>
      <c r="C20" s="15">
        <f>Önk.összesen!C20+'Ovi összesen'!C20+'Hivatal összesen'!C20</f>
        <v>215385423</v>
      </c>
      <c r="D20" s="15">
        <f>Önk.összesen!D20+'Ovi összesen'!D20+'Hivatal összesen'!D20</f>
        <v>181675554</v>
      </c>
      <c r="E20" s="15">
        <f>Önk.összesen!E20+'Ovi összesen'!E20+'Hivatal összesen'!E20</f>
        <v>47591533</v>
      </c>
      <c r="F20" s="15">
        <f>Önk.összesen!F20+'Ovi összesen'!F20+'Hivatal összesen'!F20</f>
        <v>229267087</v>
      </c>
      <c r="G20" s="15">
        <f>Önk.összesen!G20+'Ovi összesen'!G20+'Hivatal összesen'!G20</f>
        <v>146685610</v>
      </c>
      <c r="H20" s="125">
        <f t="shared" si="0"/>
        <v>0.6398023018454454</v>
      </c>
    </row>
    <row r="21" spans="1:8" ht="25.5">
      <c r="A21" s="13" t="s">
        <v>87</v>
      </c>
      <c r="B21" s="14" t="s">
        <v>194</v>
      </c>
      <c r="C21" s="15">
        <f>Önk.összesen!C21+'Ovi összesen'!C21+'Hivatal összesen'!C21</f>
        <v>112010470</v>
      </c>
      <c r="D21" s="15">
        <f>Önk.összesen!D21+'Ovi összesen'!D21+'Hivatal összesen'!D21</f>
        <v>0</v>
      </c>
      <c r="E21" s="15">
        <f>Önk.összesen!E21+'Ovi összesen'!E21+'Hivatal összesen'!E21</f>
        <v>0</v>
      </c>
      <c r="F21" s="15">
        <f>Önk.összesen!F21+'Ovi összesen'!F21+'Hivatal összesen'!F21</f>
        <v>0</v>
      </c>
      <c r="G21" s="15">
        <f>Önk.összesen!G21+'Ovi összesen'!G21+'Hivatal összesen'!G21</f>
        <v>0</v>
      </c>
      <c r="H21" s="124" t="e">
        <f t="shared" si="0"/>
        <v>#DIV/0!</v>
      </c>
    </row>
    <row r="22" spans="1:8" ht="38.25">
      <c r="A22" s="16" t="s">
        <v>195</v>
      </c>
      <c r="B22" s="17" t="s">
        <v>196</v>
      </c>
      <c r="C22" s="15">
        <f>Önk.összesen!C22+'Ovi összesen'!C22+'Hivatal összesen'!C22</f>
        <v>112010470</v>
      </c>
      <c r="D22" s="15">
        <f>Önk.összesen!D22+'Ovi összesen'!D22+'Hivatal összesen'!D22</f>
        <v>0</v>
      </c>
      <c r="E22" s="15">
        <f>Önk.összesen!E22+'Ovi összesen'!E22+'Hivatal összesen'!E22</f>
        <v>0</v>
      </c>
      <c r="F22" s="15">
        <f>Önk.összesen!F22+'Ovi összesen'!F22+'Hivatal összesen'!F22</f>
        <v>0</v>
      </c>
      <c r="G22" s="15">
        <f>Önk.összesen!G22+'Ovi összesen'!G22+'Hivatal összesen'!G22</f>
        <v>0</v>
      </c>
      <c r="H22" s="125" t="e">
        <f t="shared" si="0"/>
        <v>#DIV/0!</v>
      </c>
    </row>
    <row r="23" spans="1:8" ht="25.5">
      <c r="A23" s="13" t="s">
        <v>197</v>
      </c>
      <c r="B23" s="14" t="s">
        <v>198</v>
      </c>
      <c r="C23" s="15">
        <f>Önk.összesen!C23+'Ovi összesen'!C23+'Hivatal összesen'!C23</f>
        <v>33913</v>
      </c>
      <c r="D23" s="15">
        <f>Önk.összesen!D23+'Ovi összesen'!D23+'Hivatal összesen'!D23</f>
        <v>0</v>
      </c>
      <c r="E23" s="15">
        <f>Önk.összesen!E23+'Ovi összesen'!E23+'Hivatal összesen'!E23</f>
        <v>0</v>
      </c>
      <c r="F23" s="15">
        <f>Önk.összesen!F23+'Ovi összesen'!F23+'Hivatal összesen'!F23</f>
        <v>0</v>
      </c>
      <c r="G23" s="15">
        <f>Önk.összesen!G23+'Ovi összesen'!G23+'Hivatal összesen'!G23</f>
        <v>0</v>
      </c>
      <c r="H23" s="124" t="e">
        <f t="shared" si="0"/>
        <v>#DIV/0!</v>
      </c>
    </row>
    <row r="24" spans="1:8" ht="25.5">
      <c r="A24" s="13" t="s">
        <v>199</v>
      </c>
      <c r="B24" s="14" t="s">
        <v>200</v>
      </c>
      <c r="C24" s="15">
        <f>Önk.összesen!C24+'Ovi összesen'!C24+'Hivatal összesen'!C24</f>
        <v>33913</v>
      </c>
      <c r="D24" s="15">
        <f>Önk.összesen!D24+'Ovi összesen'!D24+'Hivatal összesen'!D24</f>
        <v>0</v>
      </c>
      <c r="E24" s="15">
        <f>Önk.összesen!E24+'Ovi összesen'!E24+'Hivatal összesen'!E24</f>
        <v>0</v>
      </c>
      <c r="F24" s="15">
        <f>Önk.összesen!F24+'Ovi összesen'!F24+'Hivatal összesen'!F24</f>
        <v>0</v>
      </c>
      <c r="G24" s="15">
        <f>Önk.összesen!G24+'Ovi összesen'!G24+'Hivatal összesen'!G24</f>
        <v>0</v>
      </c>
      <c r="H24" s="124" t="e">
        <f t="shared" si="0"/>
        <v>#DIV/0!</v>
      </c>
    </row>
    <row r="25" spans="1:8">
      <c r="A25" s="13" t="s">
        <v>201</v>
      </c>
      <c r="B25" s="14" t="s">
        <v>202</v>
      </c>
      <c r="C25" s="15">
        <f>Önk.összesen!C25+'Ovi összesen'!C25+'Hivatal összesen'!C25</f>
        <v>33913</v>
      </c>
      <c r="D25" s="15">
        <f>Önk.összesen!D25+'Ovi összesen'!D25+'Hivatal összesen'!D25</f>
        <v>0</v>
      </c>
      <c r="E25" s="15">
        <f>Önk.összesen!E25+'Ovi összesen'!E25+'Hivatal összesen'!E25</f>
        <v>0</v>
      </c>
      <c r="F25" s="15">
        <f>Önk.összesen!F25+'Ovi összesen'!F25+'Hivatal összesen'!F25</f>
        <v>0</v>
      </c>
      <c r="G25" s="15">
        <f>Önk.összesen!G25+'Ovi összesen'!G25+'Hivatal összesen'!G25</f>
        <v>0</v>
      </c>
      <c r="H25" s="124" t="e">
        <f t="shared" si="0"/>
        <v>#DIV/0!</v>
      </c>
    </row>
    <row r="26" spans="1:8">
      <c r="A26" s="13" t="s">
        <v>203</v>
      </c>
      <c r="B26" s="14" t="s">
        <v>204</v>
      </c>
      <c r="C26" s="15">
        <f>Önk.összesen!C26+'Ovi összesen'!C26+'Hivatal összesen'!C26</f>
        <v>6244021</v>
      </c>
      <c r="D26" s="15">
        <f>Önk.összesen!D26+'Ovi összesen'!D26+'Hivatal összesen'!D26</f>
        <v>4000000</v>
      </c>
      <c r="E26" s="15">
        <f>Önk.összesen!E26+'Ovi összesen'!E26+'Hivatal összesen'!E26</f>
        <v>2494470</v>
      </c>
      <c r="F26" s="15">
        <f>Önk.összesen!F26+'Ovi összesen'!F26+'Hivatal összesen'!F26</f>
        <v>6494470</v>
      </c>
      <c r="G26" s="15">
        <f>Önk.összesen!G26+'Ovi összesen'!G26+'Hivatal összesen'!G26</f>
        <v>2125349</v>
      </c>
      <c r="H26" s="124">
        <f t="shared" si="0"/>
        <v>0.32725518787522306</v>
      </c>
    </row>
    <row r="27" spans="1:8">
      <c r="A27" s="13" t="s">
        <v>205</v>
      </c>
      <c r="B27" s="14" t="s">
        <v>206</v>
      </c>
      <c r="C27" s="15">
        <f>Önk.összesen!C27+'Ovi összesen'!C27+'Hivatal összesen'!C27</f>
        <v>6244021</v>
      </c>
      <c r="D27" s="15">
        <f>Önk.összesen!D27+'Ovi összesen'!D27+'Hivatal összesen'!D27</f>
        <v>4000000</v>
      </c>
      <c r="E27" s="15">
        <f>Önk.összesen!E27+'Ovi összesen'!E27+'Hivatal összesen'!E27</f>
        <v>2494470</v>
      </c>
      <c r="F27" s="15">
        <f>Önk.összesen!F27+'Ovi összesen'!F27+'Hivatal összesen'!F27</f>
        <v>6494470</v>
      </c>
      <c r="G27" s="15">
        <f>Önk.összesen!G27+'Ovi összesen'!G27+'Hivatal összesen'!G27</f>
        <v>2125349</v>
      </c>
      <c r="H27" s="124">
        <f t="shared" si="0"/>
        <v>0.32725518787522306</v>
      </c>
    </row>
    <row r="28" spans="1:8" ht="25.5">
      <c r="A28" s="13" t="s">
        <v>207</v>
      </c>
      <c r="B28" s="14" t="s">
        <v>208</v>
      </c>
      <c r="C28" s="15">
        <f>Önk.összesen!C28+'Ovi összesen'!C28+'Hivatal összesen'!C28</f>
        <v>14383846</v>
      </c>
      <c r="D28" s="15">
        <f>Önk.összesen!D28+'Ovi összesen'!D28+'Hivatal összesen'!D28</f>
        <v>12000000</v>
      </c>
      <c r="E28" s="15">
        <f>Önk.összesen!E28+'Ovi összesen'!E28+'Hivatal összesen'!E28</f>
        <v>0</v>
      </c>
      <c r="F28" s="15">
        <f>Önk.összesen!F28+'Ovi összesen'!F28+'Hivatal összesen'!F28</f>
        <v>12000000</v>
      </c>
      <c r="G28" s="15">
        <f>Önk.összesen!G28+'Ovi összesen'!G28+'Hivatal összesen'!G28</f>
        <v>4899221</v>
      </c>
      <c r="H28" s="124">
        <f t="shared" si="0"/>
        <v>0.40826841666666669</v>
      </c>
    </row>
    <row r="29" spans="1:8" ht="38.25">
      <c r="A29" s="13" t="s">
        <v>119</v>
      </c>
      <c r="B29" s="14" t="s">
        <v>209</v>
      </c>
      <c r="C29" s="15">
        <f>Önk.összesen!C29+'Ovi összesen'!C29+'Hivatal összesen'!C29</f>
        <v>14383846</v>
      </c>
      <c r="D29" s="15">
        <f>Önk.összesen!D29+'Ovi összesen'!D29+'Hivatal összesen'!D29</f>
        <v>12000000</v>
      </c>
      <c r="E29" s="15">
        <f>Önk.összesen!E29+'Ovi összesen'!E29+'Hivatal összesen'!E29</f>
        <v>0</v>
      </c>
      <c r="F29" s="15">
        <f>Önk.összesen!F29+'Ovi összesen'!F29+'Hivatal összesen'!F29</f>
        <v>12000000</v>
      </c>
      <c r="G29" s="15">
        <f>Önk.összesen!G29+'Ovi összesen'!G29+'Hivatal összesen'!G29</f>
        <v>4899221</v>
      </c>
      <c r="H29" s="124">
        <f t="shared" si="0"/>
        <v>0.40826841666666669</v>
      </c>
    </row>
    <row r="30" spans="1:8">
      <c r="A30" s="13" t="s">
        <v>210</v>
      </c>
      <c r="B30" s="14" t="s">
        <v>211</v>
      </c>
      <c r="C30" s="15">
        <f>Önk.összesen!C30+'Ovi összesen'!C30+'Hivatal összesen'!C30</f>
        <v>5012523</v>
      </c>
      <c r="D30" s="15">
        <f>Önk.összesen!D30+'Ovi összesen'!D30+'Hivatal összesen'!D30</f>
        <v>4500000</v>
      </c>
      <c r="E30" s="15">
        <f>Önk.összesen!E30+'Ovi összesen'!E30+'Hivatal összesen'!E30</f>
        <v>2730286</v>
      </c>
      <c r="F30" s="15">
        <f>Önk.összesen!F30+'Ovi összesen'!F30+'Hivatal összesen'!F30</f>
        <v>7230286</v>
      </c>
      <c r="G30" s="15">
        <f>Önk.összesen!G30+'Ovi összesen'!G30+'Hivatal összesen'!G30</f>
        <v>2368566</v>
      </c>
      <c r="H30" s="124">
        <f t="shared" si="0"/>
        <v>0.3275895310365316</v>
      </c>
    </row>
    <row r="31" spans="1:8" ht="25.5">
      <c r="A31" s="13" t="s">
        <v>212</v>
      </c>
      <c r="B31" s="14" t="s">
        <v>213</v>
      </c>
      <c r="C31" s="15">
        <f>Önk.összesen!C31+'Ovi összesen'!C31+'Hivatal összesen'!C31</f>
        <v>5012523</v>
      </c>
      <c r="D31" s="15">
        <f>Önk.összesen!D31+'Ovi összesen'!D31+'Hivatal összesen'!D31</f>
        <v>4500000</v>
      </c>
      <c r="E31" s="15">
        <f>Önk.összesen!E31+'Ovi összesen'!E31+'Hivatal összesen'!E31</f>
        <v>2730286</v>
      </c>
      <c r="F31" s="15">
        <f>Önk.összesen!F31+'Ovi összesen'!F31+'Hivatal összesen'!F31</f>
        <v>7230286</v>
      </c>
      <c r="G31" s="15">
        <f>Önk.összesen!G31+'Ovi összesen'!G31+'Hivatal összesen'!G31</f>
        <v>2368566</v>
      </c>
      <c r="H31" s="124">
        <f t="shared" si="0"/>
        <v>0.3275895310365316</v>
      </c>
    </row>
    <row r="32" spans="1:8" s="122" customFormat="1">
      <c r="A32" s="13">
        <v>148</v>
      </c>
      <c r="B32" s="19" t="s">
        <v>461</v>
      </c>
      <c r="C32" s="15">
        <f>Önk.összesen!C32</f>
        <v>0</v>
      </c>
      <c r="D32" s="15">
        <f>Önk.összesen!D32</f>
        <v>100000</v>
      </c>
      <c r="E32" s="15">
        <f>Önk.összesen!E32</f>
        <v>474888</v>
      </c>
      <c r="F32" s="15">
        <f>Önk.összesen!F32</f>
        <v>574888</v>
      </c>
      <c r="G32" s="15">
        <f>Önk.összesen!G32</f>
        <v>217260</v>
      </c>
      <c r="H32" s="124">
        <f t="shared" si="0"/>
        <v>0.37791708993751827</v>
      </c>
    </row>
    <row r="33" spans="1:8" ht="25.5">
      <c r="A33" s="13" t="s">
        <v>214</v>
      </c>
      <c r="B33" s="14" t="s">
        <v>215</v>
      </c>
      <c r="C33" s="15">
        <f>Önk.összesen!C33+'Ovi összesen'!C32+'Hivatal összesen'!C32</f>
        <v>19396369</v>
      </c>
      <c r="D33" s="15">
        <f>Önk.összesen!D33+'Ovi összesen'!D32+'Hivatal összesen'!D32</f>
        <v>16600000</v>
      </c>
      <c r="E33" s="15">
        <f>Önk.összesen!E33+'Ovi összesen'!E32+'Hivatal összesen'!E32</f>
        <v>3205174</v>
      </c>
      <c r="F33" s="15">
        <f>Önk.összesen!F33+'Ovi összesen'!F32+'Hivatal összesen'!F32</f>
        <v>19805174</v>
      </c>
      <c r="G33" s="15">
        <f>Önk.összesen!G33+'Ovi összesen'!G32+'Hivatal összesen'!G32</f>
        <v>7485047</v>
      </c>
      <c r="H33" s="124">
        <f t="shared" si="0"/>
        <v>0.3779339176722204</v>
      </c>
    </row>
    <row r="34" spans="1:8" ht="25.5">
      <c r="A34" s="13" t="s">
        <v>216</v>
      </c>
      <c r="B34" s="14" t="s">
        <v>217</v>
      </c>
      <c r="C34" s="15">
        <f>Önk.összesen!C34+'Ovi összesen'!C33+'Hivatal összesen'!C33</f>
        <v>1033663</v>
      </c>
      <c r="D34" s="15">
        <f>Önk.összesen!D34+'Ovi összesen'!D33+'Hivatal összesen'!D33</f>
        <v>205000</v>
      </c>
      <c r="E34" s="15">
        <f>Önk.összesen!E34+'Ovi összesen'!E33+'Hivatal összesen'!E33</f>
        <v>714611</v>
      </c>
      <c r="F34" s="15">
        <f>Önk.összesen!F34+'Ovi összesen'!F33+'Hivatal összesen'!F33</f>
        <v>919611</v>
      </c>
      <c r="G34" s="15">
        <f>Önk.összesen!G34+'Ovi összesen'!G33+'Hivatal összesen'!G33</f>
        <v>93474</v>
      </c>
      <c r="H34" s="124">
        <f t="shared" si="0"/>
        <v>0.10164515213497881</v>
      </c>
    </row>
    <row r="35" spans="1:8">
      <c r="A35" s="13" t="s">
        <v>131</v>
      </c>
      <c r="B35" s="14" t="s">
        <v>218</v>
      </c>
      <c r="C35" s="15">
        <f>Önk.összesen!C35+'Ovi összesen'!C34+'Hivatal összesen'!C34</f>
        <v>260591</v>
      </c>
      <c r="D35" s="15">
        <f>Önk.összesen!D35+'Ovi összesen'!D34+'Hivatal összesen'!D34</f>
        <v>205000</v>
      </c>
      <c r="E35" s="15">
        <f>Önk.összesen!E35+'Ovi összesen'!E34+'Hivatal összesen'!E34</f>
        <v>0</v>
      </c>
      <c r="F35" s="15">
        <f>Önk.összesen!F35+'Ovi összesen'!F34+'Hivatal összesen'!F34</f>
        <v>205000</v>
      </c>
      <c r="G35" s="15">
        <f>Önk.összesen!G35+'Ovi összesen'!G34+'Hivatal összesen'!G34</f>
        <v>55000</v>
      </c>
      <c r="H35" s="124">
        <f t="shared" si="0"/>
        <v>0.26829268292682928</v>
      </c>
    </row>
    <row r="36" spans="1:8">
      <c r="A36" s="13" t="s">
        <v>219</v>
      </c>
      <c r="B36" s="14" t="s">
        <v>220</v>
      </c>
      <c r="C36" s="15">
        <f>Önk.összesen!C36+'Ovi összesen'!C35+'Hivatal összesen'!C35</f>
        <v>6000</v>
      </c>
      <c r="D36" s="15">
        <f>Önk.összesen!D36+'Ovi összesen'!D35+'Hivatal összesen'!D35</f>
        <v>0</v>
      </c>
      <c r="E36" s="15">
        <f>Önk.összesen!E36+'Ovi összesen'!E35+'Hivatal összesen'!E35</f>
        <v>714611</v>
      </c>
      <c r="F36" s="15">
        <f>Önk.összesen!F36+'Ovi összesen'!F35+'Hivatal összesen'!F35</f>
        <v>714611</v>
      </c>
      <c r="G36" s="15">
        <f>Önk.összesen!G36+'Ovi összesen'!G35+'Hivatal összesen'!G35</f>
        <v>38474</v>
      </c>
      <c r="H36" s="124">
        <f t="shared" si="0"/>
        <v>5.3839081682201924E-2</v>
      </c>
    </row>
    <row r="37" spans="1:8" ht="25.5">
      <c r="A37" s="16" t="s">
        <v>221</v>
      </c>
      <c r="B37" s="17" t="s">
        <v>222</v>
      </c>
      <c r="C37" s="15">
        <f>Önk.összesen!C37+'Ovi összesen'!C36+'Hivatal összesen'!C36</f>
        <v>26707966</v>
      </c>
      <c r="D37" s="15">
        <f>Önk.összesen!D37+'Ovi összesen'!D36+'Hivatal összesen'!D36</f>
        <v>20805000</v>
      </c>
      <c r="E37" s="15">
        <f>Önk.összesen!E37+'Ovi összesen'!E36+'Hivatal összesen'!E36</f>
        <v>6414255</v>
      </c>
      <c r="F37" s="15">
        <f>Önk.összesen!F37+'Ovi összesen'!F36+'Hivatal összesen'!F36</f>
        <v>27219255</v>
      </c>
      <c r="G37" s="15">
        <f>Önk.összesen!G37+'Ovi összesen'!G36+'Hivatal összesen'!G36</f>
        <v>9703870</v>
      </c>
      <c r="H37" s="125">
        <f t="shared" si="0"/>
        <v>0.35650755320084992</v>
      </c>
    </row>
    <row r="38" spans="1:8">
      <c r="A38" s="13" t="s">
        <v>223</v>
      </c>
      <c r="B38" s="14" t="s">
        <v>224</v>
      </c>
      <c r="C38" s="15">
        <f>Önk.összesen!C38+'Ovi összesen'!C37+'Hivatal összesen'!C37</f>
        <v>77078</v>
      </c>
      <c r="D38" s="15">
        <f>Önk.összesen!D38+'Ovi összesen'!D37+'Hivatal összesen'!D37</f>
        <v>40000</v>
      </c>
      <c r="E38" s="15">
        <f>Önk.összesen!E38+'Ovi összesen'!E37+'Hivatal összesen'!E37</f>
        <v>0</v>
      </c>
      <c r="F38" s="15">
        <f>Önk.összesen!F38+'Ovi összesen'!F37+'Hivatal összesen'!F37</f>
        <v>40000</v>
      </c>
      <c r="G38" s="15">
        <f>Önk.összesen!G38+'Ovi összesen'!G37+'Hivatal összesen'!G37</f>
        <v>10637</v>
      </c>
      <c r="H38" s="124">
        <f t="shared" si="0"/>
        <v>0.26592500000000002</v>
      </c>
    </row>
    <row r="39" spans="1:8">
      <c r="A39" s="13" t="s">
        <v>135</v>
      </c>
      <c r="B39" s="14" t="s">
        <v>225</v>
      </c>
      <c r="C39" s="15">
        <f>Önk.összesen!C39+'Ovi összesen'!C38+'Hivatal összesen'!C38</f>
        <v>506175</v>
      </c>
      <c r="D39" s="15">
        <f>Önk.összesen!D39+'Ovi összesen'!D38+'Hivatal összesen'!D38</f>
        <v>2110000</v>
      </c>
      <c r="E39" s="15">
        <f>Önk.összesen!E39+'Ovi összesen'!E38+'Hivatal összesen'!E38</f>
        <v>0</v>
      </c>
      <c r="F39" s="15">
        <f>Önk.összesen!F39+'Ovi összesen'!F38+'Hivatal összesen'!F38</f>
        <v>2110000</v>
      </c>
      <c r="G39" s="15">
        <f>Önk.összesen!G39+'Ovi összesen'!G38+'Hivatal összesen'!G38</f>
        <v>272776</v>
      </c>
      <c r="H39" s="124">
        <f t="shared" si="0"/>
        <v>0.1292777251184834</v>
      </c>
    </row>
    <row r="40" spans="1:8" ht="25.5">
      <c r="A40" s="13" t="s">
        <v>226</v>
      </c>
      <c r="B40" s="14" t="s">
        <v>227</v>
      </c>
      <c r="C40" s="15">
        <f>Önk.összesen!C40+'Ovi összesen'!C39+'Hivatal összesen'!C39</f>
        <v>1604661</v>
      </c>
      <c r="D40" s="15">
        <f>Önk.összesen!D40+'Ovi összesen'!D39+'Hivatal összesen'!D39</f>
        <v>2545000</v>
      </c>
      <c r="E40" s="15">
        <f>Önk.összesen!E40+'Ovi összesen'!E39+'Hivatal összesen'!E39</f>
        <v>-45000</v>
      </c>
      <c r="F40" s="15">
        <f>Önk.összesen!F40+'Ovi összesen'!F39+'Hivatal összesen'!F39</f>
        <v>2500000</v>
      </c>
      <c r="G40" s="15">
        <f>Önk.összesen!G40+'Ovi összesen'!G39+'Hivatal összesen'!G39</f>
        <v>606574</v>
      </c>
      <c r="H40" s="124">
        <f t="shared" si="0"/>
        <v>0.2426296</v>
      </c>
    </row>
    <row r="41" spans="1:8">
      <c r="A41" s="13" t="s">
        <v>228</v>
      </c>
      <c r="B41" s="14" t="s">
        <v>229</v>
      </c>
      <c r="C41" s="15">
        <f>Önk.összesen!C41+'Ovi összesen'!C40+'Hivatal összesen'!C40</f>
        <v>5123223</v>
      </c>
      <c r="D41" s="15">
        <f>Önk.összesen!D41+'Ovi összesen'!D40+'Hivatal összesen'!D40</f>
        <v>4600000</v>
      </c>
      <c r="E41" s="15">
        <f>Önk.összesen!E41+'Ovi összesen'!E40+'Hivatal összesen'!E40</f>
        <v>0</v>
      </c>
      <c r="F41" s="15">
        <f>Önk.összesen!F41+'Ovi összesen'!F40+'Hivatal összesen'!F40</f>
        <v>4600000</v>
      </c>
      <c r="G41" s="15">
        <f>Önk.összesen!G41+'Ovi összesen'!G40+'Hivatal összesen'!G40</f>
        <v>2821719</v>
      </c>
      <c r="H41" s="124">
        <f t="shared" si="0"/>
        <v>0.61341717391304351</v>
      </c>
    </row>
    <row r="42" spans="1:8">
      <c r="A42" s="13" t="s">
        <v>145</v>
      </c>
      <c r="B42" s="14" t="s">
        <v>230</v>
      </c>
      <c r="C42" s="15">
        <f>Önk.összesen!C42+'Ovi összesen'!C41+'Hivatal összesen'!C41</f>
        <v>10130858</v>
      </c>
      <c r="D42" s="15">
        <f>Önk.összesen!D42+'Ovi összesen'!D41+'Hivatal összesen'!D41</f>
        <v>12008000</v>
      </c>
      <c r="E42" s="15">
        <f>Önk.összesen!E42+'Ovi összesen'!E41+'Hivatal összesen'!E41</f>
        <v>0</v>
      </c>
      <c r="F42" s="15">
        <f>Önk.összesen!F42+'Ovi összesen'!F41+'Hivatal összesen'!F41</f>
        <v>12008000</v>
      </c>
      <c r="G42" s="15">
        <f>Önk.összesen!G42+'Ovi összesen'!G41+'Hivatal összesen'!G41</f>
        <v>4860589</v>
      </c>
      <c r="H42" s="124">
        <f t="shared" si="0"/>
        <v>0.40477923051299136</v>
      </c>
    </row>
    <row r="43" spans="1:8">
      <c r="A43" s="13" t="s">
        <v>147</v>
      </c>
      <c r="B43" s="14" t="s">
        <v>231</v>
      </c>
      <c r="C43" s="15">
        <f>Önk.összesen!C43+'Ovi összesen'!C42+'Hivatal összesen'!C42</f>
        <v>4755261</v>
      </c>
      <c r="D43" s="15">
        <f>Önk.összesen!D43+'Ovi összesen'!D42+'Hivatal összesen'!D42</f>
        <v>5710000</v>
      </c>
      <c r="E43" s="15">
        <f>Önk.összesen!E43+'Ovi összesen'!E42+'Hivatal összesen'!E42</f>
        <v>0</v>
      </c>
      <c r="F43" s="15">
        <f>Önk.összesen!F43+'Ovi összesen'!F42+'Hivatal összesen'!F42</f>
        <v>5710000</v>
      </c>
      <c r="G43" s="15">
        <f>Önk.összesen!G43+'Ovi összesen'!G42+'Hivatal összesen'!G42</f>
        <v>2248503</v>
      </c>
      <c r="H43" s="124">
        <f t="shared" si="0"/>
        <v>0.39378336252189144</v>
      </c>
    </row>
    <row r="44" spans="1:8" ht="25.5">
      <c r="A44" s="13" t="s">
        <v>155</v>
      </c>
      <c r="B44" s="14" t="s">
        <v>232</v>
      </c>
      <c r="C44" s="15">
        <f>Önk.összesen!C45+'Ovi összesen'!C43+'Hivatal összesen'!C43</f>
        <v>1009976</v>
      </c>
      <c r="D44" s="15">
        <f>Önk.összesen!D45+'Ovi összesen'!D43+'Hivatal összesen'!D43</f>
        <v>1015000</v>
      </c>
      <c r="E44" s="15">
        <f>Önk.összesen!E45+'Ovi összesen'!E43+'Hivatal összesen'!E43</f>
        <v>-615637</v>
      </c>
      <c r="F44" s="15">
        <f>Önk.összesen!F45+'Ovi összesen'!F43+'Hivatal összesen'!F43</f>
        <v>399363</v>
      </c>
      <c r="G44" s="15">
        <f>Önk.összesen!G45+'Ovi összesen'!G43+'Hivatal összesen'!G43</f>
        <v>43950</v>
      </c>
      <c r="H44" s="124">
        <f t="shared" si="0"/>
        <v>0.11005025503113709</v>
      </c>
    </row>
    <row r="45" spans="1:8" ht="25.5">
      <c r="A45" s="13" t="s">
        <v>233</v>
      </c>
      <c r="B45" s="14" t="s">
        <v>234</v>
      </c>
      <c r="C45" s="15">
        <f>Önk.összesen!C46+'Ovi összesen'!C44+'Hivatal összesen'!C44</f>
        <v>1009976</v>
      </c>
      <c r="D45" s="15">
        <f>Önk.összesen!D46+'Ovi összesen'!D44+'Hivatal összesen'!D44</f>
        <v>1015000</v>
      </c>
      <c r="E45" s="15">
        <f>Önk.összesen!E46+'Ovi összesen'!E44+'Hivatal összesen'!E44</f>
        <v>-85437</v>
      </c>
      <c r="F45" s="15">
        <f>Önk.összesen!F46+'Ovi összesen'!F44+'Hivatal összesen'!F44</f>
        <v>929563</v>
      </c>
      <c r="G45" s="15">
        <f>Önk.összesen!G46+'Ovi összesen'!G44+'Hivatal összesen'!G44</f>
        <v>574150</v>
      </c>
      <c r="H45" s="124">
        <f t="shared" si="0"/>
        <v>0.61765582322015833</v>
      </c>
    </row>
    <row r="46" spans="1:8">
      <c r="A46" s="13" t="s">
        <v>235</v>
      </c>
      <c r="B46" s="14" t="s">
        <v>236</v>
      </c>
      <c r="C46" s="15">
        <f>Önk.összesen!C47+'Ovi összesen'!C45+'Hivatal összesen'!C45</f>
        <v>16147</v>
      </c>
      <c r="D46" s="15">
        <f>Önk.összesen!D47+'Ovi összesen'!D45+'Hivatal összesen'!D45</f>
        <v>0</v>
      </c>
      <c r="E46" s="15">
        <f>Önk.összesen!E47+'Ovi összesen'!E45+'Hivatal összesen'!E45</f>
        <v>100547</v>
      </c>
      <c r="F46" s="15">
        <f>Önk.összesen!F47+'Ovi összesen'!F45+'Hivatal összesen'!F45</f>
        <v>100547</v>
      </c>
      <c r="G46" s="15">
        <f>Önk.összesen!G47+'Ovi összesen'!G45+'Hivatal összesen'!G45</f>
        <v>96291</v>
      </c>
      <c r="H46" s="124">
        <f t="shared" si="0"/>
        <v>0.95767153669428229</v>
      </c>
    </row>
    <row r="47" spans="1:8" ht="38.25">
      <c r="A47" s="16" t="s">
        <v>237</v>
      </c>
      <c r="B47" s="17" t="s">
        <v>238</v>
      </c>
      <c r="C47" s="15">
        <f>Önk.összesen!C48+'Ovi összesen'!C46+'Hivatal összesen'!C46</f>
        <v>23223379</v>
      </c>
      <c r="D47" s="15">
        <f>Önk.összesen!D48+'Ovi összesen'!D46+'Hivatal összesen'!D46</f>
        <v>28028000</v>
      </c>
      <c r="E47" s="15">
        <f>Önk.összesen!E48+'Ovi összesen'!E46+'Hivatal összesen'!E46</f>
        <v>-29890</v>
      </c>
      <c r="F47" s="15">
        <f>Önk.összesen!F48+'Ovi összesen'!F46+'Hivatal összesen'!F46</f>
        <v>27998110</v>
      </c>
      <c r="G47" s="15">
        <f>Önk.összesen!G48+'Ovi összesen'!G46+'Hivatal összesen'!G46</f>
        <v>11491239</v>
      </c>
      <c r="H47" s="125">
        <f t="shared" si="0"/>
        <v>0.41042909682117829</v>
      </c>
    </row>
    <row r="48" spans="1:8">
      <c r="A48" s="13" t="s">
        <v>239</v>
      </c>
      <c r="B48" s="14" t="s">
        <v>240</v>
      </c>
      <c r="C48" s="15">
        <f>Önk.összesen!C49+'Ovi összesen'!C47+'Hivatal összesen'!C47</f>
        <v>2290000</v>
      </c>
      <c r="D48" s="15">
        <f>Önk.összesen!D49+'Ovi összesen'!D47+'Hivatal összesen'!D47</f>
        <v>90000</v>
      </c>
      <c r="E48" s="15">
        <f>Önk.összesen!E49+'Ovi összesen'!E47+'Hivatal összesen'!E47</f>
        <v>275000</v>
      </c>
      <c r="F48" s="15">
        <f>Önk.összesen!F49+'Ovi összesen'!F47+'Hivatal összesen'!F47</f>
        <v>365000</v>
      </c>
      <c r="G48" s="15">
        <f>Önk.összesen!G49+'Ovi összesen'!G47+'Hivatal összesen'!G47</f>
        <v>365000</v>
      </c>
      <c r="H48" s="124">
        <f t="shared" si="0"/>
        <v>1</v>
      </c>
    </row>
    <row r="49" spans="1:8" ht="25.5">
      <c r="A49" s="16" t="s">
        <v>241</v>
      </c>
      <c r="B49" s="17" t="s">
        <v>242</v>
      </c>
      <c r="C49" s="15">
        <f>Önk.összesen!C50+'Ovi összesen'!C48+'Hivatal összesen'!C48</f>
        <v>2290000</v>
      </c>
      <c r="D49" s="15">
        <f>Önk.összesen!D50+'Ovi összesen'!D48+'Hivatal összesen'!D48</f>
        <v>90000</v>
      </c>
      <c r="E49" s="15">
        <f>Önk.összesen!E50+'Ovi összesen'!E48+'Hivatal összesen'!E48</f>
        <v>275000</v>
      </c>
      <c r="F49" s="15">
        <f>Önk.összesen!F50+'Ovi összesen'!F48+'Hivatal összesen'!F48</f>
        <v>365000</v>
      </c>
      <c r="G49" s="15">
        <f>Önk.összesen!G50+'Ovi összesen'!G48+'Hivatal összesen'!G48</f>
        <v>365000</v>
      </c>
      <c r="H49" s="125">
        <f t="shared" si="0"/>
        <v>1</v>
      </c>
    </row>
    <row r="50" spans="1:8" s="122" customFormat="1" ht="25.5">
      <c r="A50" s="16">
        <v>231</v>
      </c>
      <c r="B50" s="17" t="s">
        <v>460</v>
      </c>
      <c r="C50" s="15">
        <f>Önk.összesen!C51+'Ovi összesen'!C49+'Hivatal összesen'!C49</f>
        <v>43000</v>
      </c>
      <c r="D50" s="15">
        <f>Önk.összesen!D51+'Ovi összesen'!D49+'Hivatal összesen'!D49</f>
        <v>0</v>
      </c>
      <c r="E50" s="15">
        <f>Önk.összesen!E51+'Ovi összesen'!E49+'Hivatal összesen'!E49</f>
        <v>52500</v>
      </c>
      <c r="F50" s="15">
        <f>Önk.összesen!F51+'Ovi összesen'!F49+'Hivatal összesen'!F49</f>
        <v>52500</v>
      </c>
      <c r="G50" s="15">
        <f>Önk.összesen!G51+'Ovi összesen'!G49+'Hivatal összesen'!G49</f>
        <v>68000</v>
      </c>
      <c r="H50" s="125">
        <f t="shared" si="0"/>
        <v>1.2952380952380953</v>
      </c>
    </row>
    <row r="51" spans="1:8" s="130" customFormat="1" ht="38.25">
      <c r="A51" s="20">
        <v>232</v>
      </c>
      <c r="B51" s="19" t="s">
        <v>459</v>
      </c>
      <c r="C51" s="15">
        <f>Önk.összesen!C52+'Ovi összesen'!C50+'Hivatal összesen'!C50</f>
        <v>21500</v>
      </c>
      <c r="D51" s="15">
        <f>Önk.összesen!D52+'Ovi összesen'!D50+'Hivatal összesen'!D50</f>
        <v>0</v>
      </c>
      <c r="E51" s="15">
        <f>Önk.összesen!E52+'Ovi összesen'!E50+'Hivatal összesen'!E50</f>
        <v>52500</v>
      </c>
      <c r="F51" s="15">
        <f>Önk.összesen!F52+'Ovi összesen'!F50+'Hivatal összesen'!F50</f>
        <v>52500</v>
      </c>
      <c r="G51" s="15">
        <f>Önk.összesen!G52+'Ovi összesen'!G50+'Hivatal összesen'!G50</f>
        <v>68000</v>
      </c>
      <c r="H51" s="125">
        <f t="shared" si="0"/>
        <v>1.2952380952380953</v>
      </c>
    </row>
    <row r="52" spans="1:8" ht="25.5">
      <c r="A52" s="13" t="s">
        <v>243</v>
      </c>
      <c r="B52" s="14" t="s">
        <v>244</v>
      </c>
      <c r="C52" s="15">
        <f>Önk.összesen!C53+'Ovi összesen'!C49+'Hivatal összesen'!C49</f>
        <v>605042</v>
      </c>
      <c r="D52" s="15">
        <f>Önk.összesen!D53+'Ovi összesen'!D49+'Hivatal összesen'!D49</f>
        <v>600000</v>
      </c>
      <c r="E52" s="15">
        <f>Önk.összesen!E53+'Ovi összesen'!E49+'Hivatal összesen'!E49</f>
        <v>0</v>
      </c>
      <c r="F52" s="15">
        <f>Önk.összesen!F53+'Ovi összesen'!F49+'Hivatal összesen'!F49</f>
        <v>600000</v>
      </c>
      <c r="G52" s="15">
        <f>Önk.összesen!G53+'Ovi összesen'!G49+'Hivatal összesen'!G49</f>
        <v>232000</v>
      </c>
      <c r="H52" s="124">
        <f t="shared" si="0"/>
        <v>0.38666666666666666</v>
      </c>
    </row>
    <row r="53" spans="1:8">
      <c r="A53" s="13" t="s">
        <v>245</v>
      </c>
      <c r="B53" s="14" t="s">
        <v>246</v>
      </c>
      <c r="C53" s="15">
        <f>Önk.összesen!C54+'Ovi összesen'!C50+'Hivatal összesen'!C50</f>
        <v>52970</v>
      </c>
      <c r="D53" s="15">
        <f>Önk.összesen!D54+'Ovi összesen'!D50+'Hivatal összesen'!D50</f>
        <v>0</v>
      </c>
      <c r="E53" s="15">
        <f>Önk.összesen!E54+'Ovi összesen'!E50+'Hivatal összesen'!E50</f>
        <v>45000</v>
      </c>
      <c r="F53" s="15">
        <f>Önk.összesen!F54+'Ovi összesen'!F50+'Hivatal összesen'!F50</f>
        <v>45000</v>
      </c>
      <c r="G53" s="15">
        <f>Önk.összesen!G54+'Ovi összesen'!G50+'Hivatal összesen'!G50</f>
        <v>45000</v>
      </c>
      <c r="H53" s="124">
        <f t="shared" si="0"/>
        <v>1</v>
      </c>
    </row>
    <row r="54" spans="1:8">
      <c r="A54" s="13" t="s">
        <v>247</v>
      </c>
      <c r="B54" s="14" t="s">
        <v>248</v>
      </c>
      <c r="C54" s="15">
        <f>Önk.összesen!C55+'Ovi összesen'!C51+'Hivatal összesen'!C51</f>
        <v>135572</v>
      </c>
      <c r="D54" s="15">
        <f>Önk.összesen!D55+'Ovi összesen'!D51+'Hivatal összesen'!D51</f>
        <v>300000</v>
      </c>
      <c r="E54" s="15">
        <f>Önk.összesen!E55+'Ovi összesen'!E51+'Hivatal összesen'!E51</f>
        <v>0</v>
      </c>
      <c r="F54" s="15">
        <f>Önk.összesen!F55+'Ovi összesen'!F51+'Hivatal összesen'!F51</f>
        <v>300000</v>
      </c>
      <c r="G54" s="15">
        <f>Önk.összesen!G55+'Ovi összesen'!G51+'Hivatal összesen'!G51</f>
        <v>60000</v>
      </c>
      <c r="H54" s="124">
        <f t="shared" si="0"/>
        <v>0.2</v>
      </c>
    </row>
    <row r="55" spans="1:8">
      <c r="A55" s="13" t="s">
        <v>249</v>
      </c>
      <c r="B55" s="14" t="s">
        <v>250</v>
      </c>
      <c r="C55" s="15">
        <f>Önk.összesen!C56+'Ovi összesen'!C52+'Hivatal összesen'!C52</f>
        <v>416500</v>
      </c>
      <c r="D55" s="15">
        <f>Önk.összesen!D56+'Ovi összesen'!D52+'Hivatal összesen'!D52</f>
        <v>300000</v>
      </c>
      <c r="E55" s="15">
        <f>Önk.összesen!E56+'Ovi összesen'!E52+'Hivatal összesen'!E52</f>
        <v>-45000</v>
      </c>
      <c r="F55" s="15">
        <f>Önk.összesen!F56+'Ovi összesen'!F52+'Hivatal összesen'!F52</f>
        <v>255000</v>
      </c>
      <c r="G55" s="15">
        <f>Önk.összesen!G56+'Ovi összesen'!G52+'Hivatal összesen'!G52</f>
        <v>127000</v>
      </c>
      <c r="H55" s="124">
        <f t="shared" si="0"/>
        <v>0.49803921568627452</v>
      </c>
    </row>
    <row r="56" spans="1:8" ht="25.5">
      <c r="A56" s="16" t="s">
        <v>251</v>
      </c>
      <c r="B56" s="17" t="s">
        <v>252</v>
      </c>
      <c r="C56" s="15">
        <f>Önk.összesen!C57+'Ovi összesen'!C53+'Hivatal összesen'!C53</f>
        <v>605042</v>
      </c>
      <c r="D56" s="15">
        <f>Önk.összesen!D57+'Ovi összesen'!D53+'Hivatal összesen'!D53</f>
        <v>600000</v>
      </c>
      <c r="E56" s="15">
        <f>Önk.összesen!E57+'Ovi összesen'!E53+'Hivatal összesen'!E53</f>
        <v>52500</v>
      </c>
      <c r="F56" s="15">
        <f>Önk.összesen!F57+'Ovi összesen'!F53+'Hivatal összesen'!F53</f>
        <v>652500</v>
      </c>
      <c r="G56" s="15">
        <f>Önk.összesen!G57+'Ovi összesen'!G53+'Hivatal összesen'!G53</f>
        <v>300000</v>
      </c>
      <c r="H56" s="125">
        <f t="shared" si="0"/>
        <v>0.45977011494252873</v>
      </c>
    </row>
    <row r="57" spans="1:8" ht="25.5">
      <c r="A57" s="16" t="s">
        <v>253</v>
      </c>
      <c r="B57" s="17" t="s">
        <v>254</v>
      </c>
      <c r="C57" s="15">
        <f>Önk.összesen!C58+'Ovi összesen'!C54+'Hivatal összesen'!C54</f>
        <v>380222280</v>
      </c>
      <c r="D57" s="15">
        <f>Önk.összesen!D58+'Ovi összesen'!D54+'Hivatal összesen'!D54</f>
        <v>231198554</v>
      </c>
      <c r="E57" s="15">
        <f>Önk.összesen!E58+'Ovi összesen'!E54+'Hivatal összesen'!E54</f>
        <v>54303398</v>
      </c>
      <c r="F57" s="15">
        <f>Önk.összesen!F58+'Ovi összesen'!F54+'Hivatal összesen'!F54</f>
        <v>285501952</v>
      </c>
      <c r="G57" s="15">
        <f>Önk.összesen!G58+'Ovi összesen'!G54+'Hivatal összesen'!G54</f>
        <v>168545719</v>
      </c>
      <c r="H57" s="125">
        <f t="shared" si="0"/>
        <v>0.59034874479597255</v>
      </c>
    </row>
    <row r="58" spans="1:8" s="134" customFormat="1" ht="25.5">
      <c r="A58" s="20">
        <v>294</v>
      </c>
      <c r="B58" s="19" t="s">
        <v>465</v>
      </c>
      <c r="C58" s="15">
        <f>Önk.összesen!C59</f>
        <v>0</v>
      </c>
      <c r="D58" s="15">
        <f>Önk.összesen!D59</f>
        <v>0</v>
      </c>
      <c r="E58" s="15">
        <f>Önk.összesen!E59</f>
        <v>200000000</v>
      </c>
      <c r="F58" s="15">
        <f>Önk.összesen!F59</f>
        <v>200000000</v>
      </c>
      <c r="G58" s="15">
        <f>Önk.összesen!G59</f>
        <v>200000000</v>
      </c>
      <c r="H58" s="124">
        <f t="shared" si="0"/>
        <v>1</v>
      </c>
    </row>
    <row r="59" spans="1:8" ht="25.5">
      <c r="A59" s="13" t="s">
        <v>255</v>
      </c>
      <c r="B59" s="14" t="s">
        <v>256</v>
      </c>
      <c r="C59" s="15">
        <f>Önk.összesen!C60+'Ovi összesen'!C55+'Hivatal összesen'!C55</f>
        <v>207902263</v>
      </c>
      <c r="D59" s="15">
        <f>Önk.összesen!D60+'Ovi összesen'!D55+'Hivatal összesen'!D55</f>
        <v>260250000</v>
      </c>
      <c r="E59" s="15">
        <f>Önk.összesen!E60+'Ovi összesen'!E55+'Hivatal összesen'!E55</f>
        <v>-3149061</v>
      </c>
      <c r="F59" s="15">
        <f>Önk.összesen!F60+'Ovi összesen'!F55+'Hivatal összesen'!F55</f>
        <v>257100939</v>
      </c>
      <c r="G59" s="15">
        <f>Önk.összesen!G60+'Ovi összesen'!G55+'Hivatal összesen'!G55</f>
        <v>257100939</v>
      </c>
      <c r="H59" s="124">
        <f t="shared" si="0"/>
        <v>1</v>
      </c>
    </row>
    <row r="60" spans="1:8">
      <c r="A60" s="13" t="s">
        <v>163</v>
      </c>
      <c r="B60" s="14" t="s">
        <v>257</v>
      </c>
      <c r="C60" s="15">
        <f>Önk.összesen!C61+'Ovi összesen'!C56+'Hivatal összesen'!C56</f>
        <v>207902263</v>
      </c>
      <c r="D60" s="15">
        <f>Önk.összesen!D61+'Ovi összesen'!D56+'Hivatal összesen'!D56</f>
        <v>260250000</v>
      </c>
      <c r="E60" s="15">
        <f>Önk.összesen!E61+'Ovi összesen'!E56+'Hivatal összesen'!E56</f>
        <v>-3149061</v>
      </c>
      <c r="F60" s="15">
        <f>Önk.összesen!F61+'Ovi összesen'!F56+'Hivatal összesen'!F56</f>
        <v>257100939</v>
      </c>
      <c r="G60" s="15">
        <f>Önk.összesen!G61+'Ovi összesen'!G56+'Hivatal összesen'!G56</f>
        <v>257100939</v>
      </c>
      <c r="H60" s="124">
        <f t="shared" si="0"/>
        <v>1</v>
      </c>
    </row>
    <row r="61" spans="1:8">
      <c r="A61" s="13" t="s">
        <v>258</v>
      </c>
      <c r="B61" s="14" t="s">
        <v>259</v>
      </c>
      <c r="C61" s="15">
        <f>Önk.összesen!C62+'Ovi összesen'!C57+'Hivatal összesen'!C57</f>
        <v>18336223</v>
      </c>
      <c r="D61" s="15">
        <f>Önk.összesen!D62+'Ovi összesen'!D57+'Hivatal összesen'!D57</f>
        <v>6005000</v>
      </c>
      <c r="E61" s="15">
        <f>Önk.összesen!E62+'Ovi összesen'!E57+'Hivatal összesen'!E57</f>
        <v>909193</v>
      </c>
      <c r="F61" s="15">
        <f>Önk.összesen!F62+'Ovi összesen'!F57+'Hivatal összesen'!F57</f>
        <v>6914193</v>
      </c>
      <c r="G61" s="15">
        <f>Önk.összesen!G62+'Ovi összesen'!G57+'Hivatal összesen'!G57</f>
        <v>908477</v>
      </c>
      <c r="H61" s="124">
        <f t="shared" si="0"/>
        <v>0.13139306351442606</v>
      </c>
    </row>
    <row r="62" spans="1:8">
      <c r="A62" s="13">
        <v>300</v>
      </c>
      <c r="B62" s="19" t="s">
        <v>412</v>
      </c>
      <c r="C62" s="15">
        <f>Önk.összesen!C63+'Ovi összesen'!C58+'Hivatal összesen'!C58</f>
        <v>96497818</v>
      </c>
      <c r="D62" s="15">
        <f>Önk.összesen!D63+'Ovi összesen'!D58+'Hivatal összesen'!D58</f>
        <v>100325000</v>
      </c>
      <c r="E62" s="15">
        <f>Önk.összesen!E63+'Ovi összesen'!E58+'Hivatal összesen'!E58</f>
        <v>0</v>
      </c>
      <c r="F62" s="15">
        <f>Önk.összesen!F63+'Ovi összesen'!F58+'Hivatal összesen'!F58</f>
        <v>100325000</v>
      </c>
      <c r="G62" s="15">
        <f>Önk.összesen!G63+'Ovi összesen'!G58+'Hivatal összesen'!G58</f>
        <v>49869365</v>
      </c>
      <c r="H62" s="124">
        <f t="shared" si="0"/>
        <v>0.49707814602541739</v>
      </c>
    </row>
    <row r="63" spans="1:8" ht="25.5">
      <c r="A63" s="13" t="s">
        <v>260</v>
      </c>
      <c r="B63" s="14" t="s">
        <v>261</v>
      </c>
      <c r="C63" s="15">
        <f>Önk.összesen!C64+'Ovi összesen'!C59+'Hivatal összesen'!C59</f>
        <v>322736304</v>
      </c>
      <c r="D63" s="15">
        <f>Önk.összesen!D64+'Ovi összesen'!D59+'Hivatal összesen'!D59</f>
        <v>366580000</v>
      </c>
      <c r="E63" s="15">
        <f>Önk.összesen!E64+'Ovi összesen'!E59+'Hivatal összesen'!E59</f>
        <v>197760132</v>
      </c>
      <c r="F63" s="15">
        <f>Önk.összesen!F64+'Ovi összesen'!F59+'Hivatal összesen'!F59</f>
        <v>564340132</v>
      </c>
      <c r="G63" s="15">
        <f>Önk.összesen!G64+'Ovi összesen'!G59+'Hivatal összesen'!G59</f>
        <v>507878781</v>
      </c>
      <c r="H63" s="124">
        <f t="shared" si="0"/>
        <v>0.89995155793740356</v>
      </c>
    </row>
    <row r="64" spans="1:8" ht="25.5">
      <c r="A64" s="16" t="s">
        <v>262</v>
      </c>
      <c r="B64" s="17" t="s">
        <v>263</v>
      </c>
      <c r="C64" s="15">
        <f>Önk.összesen!C65+'Ovi összesen'!C60+'Hivatal összesen'!C60</f>
        <v>322736304</v>
      </c>
      <c r="D64" s="15">
        <f>Önk.összesen!D65+'Ovi összesen'!D60+'Hivatal összesen'!D60</f>
        <v>366580000</v>
      </c>
      <c r="E64" s="15">
        <f>Önk.összesen!E65+'Ovi összesen'!E60+'Hivatal összesen'!E60</f>
        <v>197760132</v>
      </c>
      <c r="F64" s="15">
        <f>Önk.összesen!F65+'Ovi összesen'!F60+'Hivatal összesen'!F60</f>
        <v>564340132</v>
      </c>
      <c r="G64" s="15">
        <f>Önk.összesen!G65+'Ovi összesen'!G60+'Hivatal összesen'!G60</f>
        <v>507878781</v>
      </c>
      <c r="H64" s="125">
        <f t="shared" si="0"/>
        <v>0.89995155793740356</v>
      </c>
    </row>
    <row r="65" spans="1:8">
      <c r="A65" s="16" t="s">
        <v>264</v>
      </c>
      <c r="B65" s="17" t="s">
        <v>265</v>
      </c>
      <c r="C65" s="15">
        <f>Önk.összesen!C66+'Ovi összesen'!C61+'Hivatal összesen'!C61</f>
        <v>702958584</v>
      </c>
      <c r="D65" s="15">
        <f>Önk.összesen!D66+'Ovi összesen'!D61+'Hivatal összesen'!D61</f>
        <v>597778554</v>
      </c>
      <c r="E65" s="15">
        <f>Önk.összesen!E66+'Ovi összesen'!E61+'Hivatal összesen'!E61</f>
        <v>252063530</v>
      </c>
      <c r="F65" s="15">
        <f>Önk.összesen!F66+'Ovi összesen'!F61+'Hivatal összesen'!F61</f>
        <v>849842084</v>
      </c>
      <c r="G65" s="15">
        <f>Önk.összesen!G66+'Ovi összesen'!G61+'Hivatal összesen'!G61</f>
        <v>676424500</v>
      </c>
      <c r="H65" s="125">
        <f t="shared" si="0"/>
        <v>0.79594140221467313</v>
      </c>
    </row>
    <row r="67" spans="1:8" ht="60">
      <c r="A67" s="12" t="s">
        <v>0</v>
      </c>
      <c r="B67" s="12" t="s">
        <v>1</v>
      </c>
      <c r="C67" s="12" t="s">
        <v>269</v>
      </c>
      <c r="D67" s="12" t="s">
        <v>270</v>
      </c>
      <c r="E67" s="12" t="s">
        <v>271</v>
      </c>
      <c r="F67" s="12" t="s">
        <v>457</v>
      </c>
      <c r="G67" s="12" t="s">
        <v>273</v>
      </c>
      <c r="H67" s="123" t="s">
        <v>274</v>
      </c>
    </row>
    <row r="68" spans="1:8" ht="25.5">
      <c r="A68" s="13" t="s">
        <v>31</v>
      </c>
      <c r="B68" s="14" t="s">
        <v>32</v>
      </c>
      <c r="C68" s="15">
        <f>Önk.összesen!C69+'Ovi összesen'!C64+'Hivatal összesen'!C64</f>
        <v>92313520</v>
      </c>
      <c r="D68" s="15">
        <f>Önk.összesen!D69+'Ovi összesen'!D64+'Hivatal összesen'!D64</f>
        <v>84455000</v>
      </c>
      <c r="E68" s="15">
        <f>Önk.összesen!E69+'Ovi összesen'!E64+'Hivatal összesen'!E64</f>
        <v>-1849866</v>
      </c>
      <c r="F68" s="15">
        <f>Önk.összesen!F69+'Ovi összesen'!F64+'Hivatal összesen'!F64</f>
        <v>82605134</v>
      </c>
      <c r="G68" s="15">
        <f>Önk.összesen!G69+'Ovi összesen'!G64+'Hivatal összesen'!G64</f>
        <v>45296867</v>
      </c>
      <c r="H68" s="124">
        <f t="shared" si="0"/>
        <v>0.54835413740748851</v>
      </c>
    </row>
    <row r="69" spans="1:8" s="134" customFormat="1">
      <c r="A69" s="21" t="s">
        <v>176</v>
      </c>
      <c r="B69" s="14" t="s">
        <v>467</v>
      </c>
      <c r="C69" s="15">
        <f>'Hivatal összesen'!C65</f>
        <v>0</v>
      </c>
      <c r="D69" s="15">
        <f>'Hivatal összesen'!D65</f>
        <v>0</v>
      </c>
      <c r="E69" s="15">
        <f>'Hivatal összesen'!E65</f>
        <v>106000</v>
      </c>
      <c r="F69" s="15">
        <f>'Hivatal összesen'!F65</f>
        <v>106000</v>
      </c>
      <c r="G69" s="15">
        <f>'Hivatal összesen'!G65</f>
        <v>106000</v>
      </c>
      <c r="H69" s="124"/>
    </row>
    <row r="70" spans="1:8" ht="25.5">
      <c r="A70" s="21" t="s">
        <v>178</v>
      </c>
      <c r="B70" s="14" t="s">
        <v>282</v>
      </c>
      <c r="C70" s="15">
        <f>Önk.összesen!C70+'Ovi összesen'!C65+'Hivatal összesen'!C66</f>
        <v>0</v>
      </c>
      <c r="D70" s="15">
        <f>Önk.összesen!D70+'Ovi összesen'!D65+'Hivatal összesen'!D66</f>
        <v>80000</v>
      </c>
      <c r="E70" s="15">
        <f>Önk.összesen!E70+'Ovi összesen'!E65+'Hivatal összesen'!E66</f>
        <v>2342532</v>
      </c>
      <c r="F70" s="15">
        <f>Önk.összesen!F70+'Ovi összesen'!F65+'Hivatal összesen'!F66</f>
        <v>2422532</v>
      </c>
      <c r="G70" s="15">
        <f>Önk.összesen!G70+'Ovi összesen'!G65+'Hivatal összesen'!G66</f>
        <v>2422532</v>
      </c>
      <c r="H70" s="124"/>
    </row>
    <row r="71" spans="1:8">
      <c r="A71" s="13" t="s">
        <v>33</v>
      </c>
      <c r="B71" s="14" t="s">
        <v>34</v>
      </c>
      <c r="C71" s="15">
        <f>Önk.összesen!C71+'Ovi összesen'!C66+'Hivatal összesen'!C67</f>
        <v>3489285</v>
      </c>
      <c r="D71" s="15">
        <f>Önk.összesen!D71+'Ovi összesen'!D66+'Hivatal összesen'!D67</f>
        <v>2989000</v>
      </c>
      <c r="E71" s="15">
        <f>Önk.összesen!E71+'Ovi összesen'!E66+'Hivatal összesen'!E67</f>
        <v>0</v>
      </c>
      <c r="F71" s="15">
        <f>Önk.összesen!F71+'Ovi összesen'!F66+'Hivatal összesen'!F67</f>
        <v>2989000</v>
      </c>
      <c r="G71" s="15">
        <f>Önk.összesen!G71+'Ovi összesen'!G66+'Hivatal összesen'!G67</f>
        <v>1804683</v>
      </c>
      <c r="H71" s="124">
        <f t="shared" si="0"/>
        <v>0.60377484108397461</v>
      </c>
    </row>
    <row r="72" spans="1:8">
      <c r="A72" s="13" t="s">
        <v>35</v>
      </c>
      <c r="B72" s="14" t="s">
        <v>36</v>
      </c>
      <c r="C72" s="15">
        <f>Önk.összesen!C72+'Ovi összesen'!C67+'Hivatal összesen'!C68</f>
        <v>1217030</v>
      </c>
      <c r="D72" s="15">
        <f>Önk.összesen!D72+'Ovi összesen'!D67+'Hivatal összesen'!D68</f>
        <v>2047000</v>
      </c>
      <c r="E72" s="15">
        <f>Önk.összesen!E72+'Ovi összesen'!E67+'Hivatal összesen'!E68</f>
        <v>0</v>
      </c>
      <c r="F72" s="15">
        <f>Önk.összesen!F72+'Ovi összesen'!F67+'Hivatal összesen'!F68</f>
        <v>2047000</v>
      </c>
      <c r="G72" s="15">
        <f>Önk.összesen!G72+'Ovi összesen'!G67+'Hivatal összesen'!G68</f>
        <v>962944</v>
      </c>
      <c r="H72" s="124">
        <f t="shared" si="0"/>
        <v>0.47041719589643383</v>
      </c>
    </row>
    <row r="73" spans="1:8">
      <c r="A73" s="13" t="s">
        <v>37</v>
      </c>
      <c r="B73" s="14" t="s">
        <v>38</v>
      </c>
      <c r="C73" s="15">
        <f>Önk.összesen!C73+'Ovi összesen'!C68+'Hivatal összesen'!C69</f>
        <v>368000</v>
      </c>
      <c r="D73" s="15">
        <f>Önk.összesen!D73+'Ovi összesen'!D68+'Hivatal összesen'!D69</f>
        <v>60000</v>
      </c>
      <c r="E73" s="15">
        <f>Önk.összesen!E73+'Ovi összesen'!E68+'Hivatal összesen'!E69</f>
        <v>0</v>
      </c>
      <c r="F73" s="15">
        <f>Önk.összesen!F73+'Ovi összesen'!F68+'Hivatal összesen'!F69</f>
        <v>60000</v>
      </c>
      <c r="G73" s="15">
        <f>Önk.összesen!G73+'Ovi összesen'!G68+'Hivatal összesen'!G69</f>
        <v>0</v>
      </c>
      <c r="H73" s="124">
        <f t="shared" si="0"/>
        <v>0</v>
      </c>
    </row>
    <row r="74" spans="1:8" ht="25.5">
      <c r="A74" s="13" t="s">
        <v>39</v>
      </c>
      <c r="B74" s="14" t="s">
        <v>40</v>
      </c>
      <c r="C74" s="15">
        <f>Önk.összesen!C74+'Ovi összesen'!C69+'Hivatal összesen'!C70</f>
        <v>2247018</v>
      </c>
      <c r="D74" s="15">
        <f>Önk.összesen!D74+'Ovi összesen'!D69+'Hivatal összesen'!D70</f>
        <v>738000</v>
      </c>
      <c r="E74" s="15">
        <f>Önk.összesen!E74+'Ovi összesen'!E69+'Hivatal összesen'!E70</f>
        <v>0</v>
      </c>
      <c r="F74" s="15">
        <f>Önk.összesen!F74+'Ovi összesen'!F69+'Hivatal összesen'!F70</f>
        <v>738000</v>
      </c>
      <c r="G74" s="15">
        <f>Önk.összesen!G74+'Ovi összesen'!G69+'Hivatal összesen'!G70</f>
        <v>346490</v>
      </c>
      <c r="H74" s="124">
        <f t="shared" si="0"/>
        <v>0.46949864498644989</v>
      </c>
    </row>
    <row r="75" spans="1:8" ht="25.5">
      <c r="A75" s="13" t="s">
        <v>41</v>
      </c>
      <c r="B75" s="14" t="s">
        <v>42</v>
      </c>
      <c r="C75" s="15">
        <f>Önk.összesen!C75+'Ovi összesen'!C70+'Hivatal összesen'!C71</f>
        <v>99634853</v>
      </c>
      <c r="D75" s="15">
        <f>Önk.összesen!D75+'Ovi összesen'!D70+'Hivatal összesen'!D71</f>
        <v>90369000</v>
      </c>
      <c r="E75" s="15">
        <f>Önk.összesen!E75+'Ovi összesen'!E70+'Hivatal összesen'!E71</f>
        <v>598666</v>
      </c>
      <c r="F75" s="15">
        <f>Önk.összesen!F75+'Ovi összesen'!F70+'Hivatal összesen'!F71</f>
        <v>90967666</v>
      </c>
      <c r="G75" s="15">
        <f>Önk.összesen!G75+'Ovi összesen'!G70+'Hivatal összesen'!G71</f>
        <v>50939516</v>
      </c>
      <c r="H75" s="124">
        <f t="shared" si="0"/>
        <v>0.55997387027606049</v>
      </c>
    </row>
    <row r="76" spans="1:8">
      <c r="A76" s="13" t="s">
        <v>43</v>
      </c>
      <c r="B76" s="14" t="s">
        <v>44</v>
      </c>
      <c r="C76" s="15">
        <f>Önk.összesen!C76+'Ovi összesen'!C71+'Hivatal összesen'!C72</f>
        <v>9129590</v>
      </c>
      <c r="D76" s="15">
        <f>Önk.összesen!D76+'Ovi összesen'!D71+'Hivatal összesen'!D72</f>
        <v>10215000</v>
      </c>
      <c r="E76" s="15">
        <f>Önk.összesen!E76+'Ovi összesen'!E71+'Hivatal összesen'!E72</f>
        <v>0</v>
      </c>
      <c r="F76" s="15">
        <f>Önk.összesen!F76+'Ovi összesen'!F71+'Hivatal összesen'!F72</f>
        <v>10215000</v>
      </c>
      <c r="G76" s="15">
        <f>Önk.összesen!G76+'Ovi összesen'!G71+'Hivatal összesen'!G72</f>
        <v>5156102</v>
      </c>
      <c r="H76" s="124">
        <f t="shared" si="0"/>
        <v>0.50475790504160545</v>
      </c>
    </row>
    <row r="77" spans="1:8" ht="38.25">
      <c r="A77" s="13" t="s">
        <v>45</v>
      </c>
      <c r="B77" s="14" t="s">
        <v>46</v>
      </c>
      <c r="C77" s="15">
        <f>Önk.összesen!C77+'Ovi összesen'!C72+'Hivatal összesen'!C73</f>
        <v>3382764</v>
      </c>
      <c r="D77" s="15">
        <f>Önk.összesen!D77+'Ovi összesen'!D72+'Hivatal összesen'!D73</f>
        <v>1150000</v>
      </c>
      <c r="E77" s="15">
        <f>Önk.összesen!E77+'Ovi összesen'!E72+'Hivatal összesen'!E73</f>
        <v>144000</v>
      </c>
      <c r="F77" s="15">
        <f>Önk.összesen!F77+'Ovi összesen'!F72+'Hivatal összesen'!F73</f>
        <v>1294000</v>
      </c>
      <c r="G77" s="15">
        <f>Önk.összesen!G77+'Ovi összesen'!G72+'Hivatal összesen'!G73</f>
        <v>1280310</v>
      </c>
      <c r="H77" s="124">
        <f t="shared" si="0"/>
        <v>0.98942040185471403</v>
      </c>
    </row>
    <row r="78" spans="1:8">
      <c r="A78" s="13" t="s">
        <v>47</v>
      </c>
      <c r="B78" s="14" t="s">
        <v>48</v>
      </c>
      <c r="C78" s="15">
        <f>Önk.összesen!C78+'Ovi összesen'!C73+'Hivatal összesen'!C74</f>
        <v>1081450</v>
      </c>
      <c r="D78" s="15">
        <f>Önk.összesen!D78+'Ovi összesen'!D73+'Hivatal összesen'!D74</f>
        <v>380000</v>
      </c>
      <c r="E78" s="15">
        <f>Önk.összesen!E78+'Ovi összesen'!E73+'Hivatal összesen'!E74</f>
        <v>0</v>
      </c>
      <c r="F78" s="15">
        <f>Önk.összesen!F78+'Ovi összesen'!F73+'Hivatal összesen'!F74</f>
        <v>380000</v>
      </c>
      <c r="G78" s="15">
        <f>Önk.összesen!G78+'Ovi összesen'!G73+'Hivatal összesen'!G74</f>
        <v>194140</v>
      </c>
      <c r="H78" s="124">
        <f t="shared" ref="H78:H146" si="1">G78/F78</f>
        <v>0.51089473684210529</v>
      </c>
    </row>
    <row r="79" spans="1:8">
      <c r="A79" s="13" t="s">
        <v>49</v>
      </c>
      <c r="B79" s="14" t="s">
        <v>50</v>
      </c>
      <c r="C79" s="15">
        <f>Önk.összesen!C79+'Ovi összesen'!C74+'Hivatal összesen'!C75</f>
        <v>13593804</v>
      </c>
      <c r="D79" s="15">
        <f>Önk.összesen!D79+'Ovi összesen'!D74+'Hivatal összesen'!D75</f>
        <v>11745000</v>
      </c>
      <c r="E79" s="15">
        <f>Önk.összesen!E79+'Ovi összesen'!E74+'Hivatal összesen'!E75</f>
        <v>144000</v>
      </c>
      <c r="F79" s="15">
        <f>Önk.összesen!F79+'Ovi összesen'!F74+'Hivatal összesen'!F75</f>
        <v>11889000</v>
      </c>
      <c r="G79" s="15">
        <f>Önk.összesen!G79+'Ovi összesen'!G74+'Hivatal összesen'!G75</f>
        <v>6630552</v>
      </c>
      <c r="H79" s="124">
        <f t="shared" si="1"/>
        <v>0.55770476911430733</v>
      </c>
    </row>
    <row r="80" spans="1:8">
      <c r="A80" s="16" t="s">
        <v>51</v>
      </c>
      <c r="B80" s="17" t="s">
        <v>52</v>
      </c>
      <c r="C80" s="15">
        <f>Önk.összesen!C80+'Ovi összesen'!C75+'Hivatal összesen'!C76</f>
        <v>113228657</v>
      </c>
      <c r="D80" s="15">
        <f>Önk.összesen!D80+'Ovi összesen'!D75+'Hivatal összesen'!D76</f>
        <v>102114000</v>
      </c>
      <c r="E80" s="15">
        <f>Önk.összesen!E80+'Ovi összesen'!E75+'Hivatal összesen'!E76</f>
        <v>742666</v>
      </c>
      <c r="F80" s="15">
        <f>Önk.összesen!F80+'Ovi összesen'!F75+'Hivatal összesen'!F76</f>
        <v>102856666</v>
      </c>
      <c r="G80" s="15">
        <f>Önk.összesen!G80+'Ovi összesen'!G75+'Hivatal összesen'!G76</f>
        <v>57570068</v>
      </c>
      <c r="H80" s="125">
        <f t="shared" si="1"/>
        <v>0.55971158932956278</v>
      </c>
    </row>
    <row r="81" spans="1:8" ht="25.5">
      <c r="A81" s="16" t="s">
        <v>53</v>
      </c>
      <c r="B81" s="17" t="s">
        <v>54</v>
      </c>
      <c r="C81" s="15">
        <f>Önk.összesen!C81+'Ovi összesen'!C76+'Hivatal összesen'!C77</f>
        <v>30051416</v>
      </c>
      <c r="D81" s="15">
        <f>Önk.összesen!D81+'Ovi összesen'!D76+'Hivatal összesen'!D77</f>
        <v>22609000</v>
      </c>
      <c r="E81" s="15">
        <f>Önk.összesen!E81+'Ovi összesen'!E76+'Hivatal összesen'!E77</f>
        <v>-135530</v>
      </c>
      <c r="F81" s="15">
        <f>Önk.összesen!F81+'Ovi összesen'!F76+'Hivatal összesen'!F77</f>
        <v>22473470</v>
      </c>
      <c r="G81" s="15">
        <f>Önk.összesen!G81+'Ovi összesen'!G76+'Hivatal összesen'!G77</f>
        <v>13347722</v>
      </c>
      <c r="H81" s="125">
        <f t="shared" si="1"/>
        <v>0.59393240118237189</v>
      </c>
    </row>
    <row r="82" spans="1:8">
      <c r="A82" s="13" t="s">
        <v>55</v>
      </c>
      <c r="B82" s="14" t="s">
        <v>56</v>
      </c>
      <c r="C82" s="15">
        <f>Önk.összesen!C82+'Ovi összesen'!C77+'Hivatal összesen'!C78</f>
        <v>28050380</v>
      </c>
      <c r="D82" s="15">
        <f>Önk.összesen!D82+'Ovi összesen'!D77+'Hivatal összesen'!D78</f>
        <v>21249000</v>
      </c>
      <c r="E82" s="15">
        <f>Önk.összesen!E82+'Ovi összesen'!E77+'Hivatal összesen'!E78</f>
        <v>-164819</v>
      </c>
      <c r="F82" s="15">
        <f>Önk.összesen!F82+'Ovi összesen'!F77+'Hivatal összesen'!F78</f>
        <v>21084181</v>
      </c>
      <c r="G82" s="15">
        <f>Önk.összesen!G82+'Ovi összesen'!G77+'Hivatal összesen'!G78</f>
        <v>12419779</v>
      </c>
      <c r="H82" s="124">
        <f t="shared" si="1"/>
        <v>0.58905674353677762</v>
      </c>
    </row>
    <row r="83" spans="1:8">
      <c r="A83" s="13" t="s">
        <v>57</v>
      </c>
      <c r="B83" s="14" t="s">
        <v>58</v>
      </c>
      <c r="C83" s="15">
        <f>Önk.összesen!C83+'Ovi összesen'!C78+'Hivatal összesen'!C79</f>
        <v>1105293</v>
      </c>
      <c r="D83" s="15">
        <f>Önk.összesen!D83+'Ovi összesen'!D78+'Hivatal összesen'!D79</f>
        <v>733000</v>
      </c>
      <c r="E83" s="15">
        <f>Önk.összesen!E83+'Ovi összesen'!E78+'Hivatal összesen'!E79</f>
        <v>30000</v>
      </c>
      <c r="F83" s="15">
        <f>Önk.összesen!F83+'Ovi összesen'!F78+'Hivatal összesen'!F79</f>
        <v>763000</v>
      </c>
      <c r="G83" s="15">
        <f>Önk.összesen!G83+'Ovi összesen'!G78+'Hivatal összesen'!G79</f>
        <v>452254</v>
      </c>
      <c r="H83" s="124">
        <f t="shared" si="1"/>
        <v>0.59273132372214943</v>
      </c>
    </row>
    <row r="84" spans="1:8">
      <c r="A84" s="13" t="s">
        <v>59</v>
      </c>
      <c r="B84" s="14" t="s">
        <v>60</v>
      </c>
      <c r="C84" s="15">
        <f>Önk.összesen!C84+'Ovi összesen'!C79+'Hivatal összesen'!C80</f>
        <v>119335</v>
      </c>
      <c r="D84" s="15">
        <f>Önk.összesen!D84+'Ovi összesen'!D79+'Hivatal összesen'!D80</f>
        <v>3000</v>
      </c>
      <c r="E84" s="15">
        <f>Önk.összesen!E84+'Ovi összesen'!E79+'Hivatal összesen'!E80</f>
        <v>29289</v>
      </c>
      <c r="F84" s="15">
        <f>Önk.összesen!F84+'Ovi összesen'!F79+'Hivatal összesen'!F80</f>
        <v>32289</v>
      </c>
      <c r="G84" s="15">
        <f>Önk.összesen!G84+'Ovi összesen'!G79+'Hivatal összesen'!G80</f>
        <v>100730</v>
      </c>
      <c r="H84" s="124">
        <f t="shared" si="1"/>
        <v>3.119638266902041</v>
      </c>
    </row>
    <row r="85" spans="1:8" ht="25.5">
      <c r="A85" s="13" t="s">
        <v>61</v>
      </c>
      <c r="B85" s="14" t="s">
        <v>62</v>
      </c>
      <c r="C85" s="15">
        <f>Önk.összesen!C85+'Ovi összesen'!C80+'Hivatal összesen'!C81</f>
        <v>776408</v>
      </c>
      <c r="D85" s="15">
        <f>Önk.összesen!D85+'Ovi összesen'!D80+'Hivatal összesen'!D81</f>
        <v>624000</v>
      </c>
      <c r="E85" s="15">
        <f>Önk.összesen!E85+'Ovi összesen'!E80+'Hivatal összesen'!E81</f>
        <v>-30000</v>
      </c>
      <c r="F85" s="15">
        <f>Önk.összesen!F85+'Ovi összesen'!F80+'Hivatal összesen'!F81</f>
        <v>594000</v>
      </c>
      <c r="G85" s="15">
        <f>Önk.összesen!G85+'Ovi összesen'!G80+'Hivatal összesen'!G81</f>
        <v>374959</v>
      </c>
      <c r="H85" s="124">
        <f t="shared" si="1"/>
        <v>0.63124410774410777</v>
      </c>
    </row>
    <row r="86" spans="1:8">
      <c r="A86" s="13" t="s">
        <v>63</v>
      </c>
      <c r="B86" s="14" t="s">
        <v>64</v>
      </c>
      <c r="C86" s="15">
        <f>Önk.összesen!C86+'Ovi összesen'!C81+'Hivatal összesen'!C82</f>
        <v>1014177</v>
      </c>
      <c r="D86" s="15">
        <f>Önk.összesen!D86+'Ovi összesen'!D81+'Hivatal összesen'!D82</f>
        <v>870000</v>
      </c>
      <c r="E86" s="15">
        <f>Önk.összesen!E86+'Ovi összesen'!E81+'Hivatal összesen'!E82</f>
        <v>0</v>
      </c>
      <c r="F86" s="15">
        <f>Önk.összesen!F86+'Ovi összesen'!F81+'Hivatal összesen'!F82</f>
        <v>870000</v>
      </c>
      <c r="G86" s="15">
        <f>Önk.összesen!G86+'Ovi összesen'!G81+'Hivatal összesen'!G82</f>
        <v>270933</v>
      </c>
      <c r="H86" s="124">
        <f t="shared" si="1"/>
        <v>0.31141724137931037</v>
      </c>
    </row>
    <row r="87" spans="1:8">
      <c r="A87" s="13" t="s">
        <v>65</v>
      </c>
      <c r="B87" s="14" t="s">
        <v>66</v>
      </c>
      <c r="C87" s="15">
        <f>Önk.összesen!C87+'Ovi összesen'!C82+'Hivatal összesen'!C83</f>
        <v>16809078</v>
      </c>
      <c r="D87" s="15">
        <f>Önk.összesen!D87+'Ovi összesen'!D82+'Hivatal összesen'!D83</f>
        <v>14068000</v>
      </c>
      <c r="E87" s="15">
        <f>Önk.összesen!E87+'Ovi összesen'!E82+'Hivatal összesen'!E83</f>
        <v>-1099646</v>
      </c>
      <c r="F87" s="15">
        <f>Önk.összesen!F87+'Ovi összesen'!F82+'Hivatal összesen'!F83</f>
        <v>12968354</v>
      </c>
      <c r="G87" s="15">
        <f>Önk.összesen!G87+'Ovi összesen'!G82+'Hivatal összesen'!G83</f>
        <v>3428313</v>
      </c>
      <c r="H87" s="124">
        <f t="shared" si="1"/>
        <v>0.2643599179973033</v>
      </c>
    </row>
    <row r="88" spans="1:8">
      <c r="A88" s="13" t="s">
        <v>67</v>
      </c>
      <c r="B88" s="14" t="s">
        <v>68</v>
      </c>
      <c r="C88" s="15">
        <f>Önk.összesen!C88+'Ovi összesen'!C83+'Hivatal összesen'!C84</f>
        <v>17823255</v>
      </c>
      <c r="D88" s="15">
        <f>Önk.összesen!D88+'Ovi összesen'!D83+'Hivatal összesen'!D84</f>
        <v>14938000</v>
      </c>
      <c r="E88" s="15">
        <f>Önk.összesen!E88+'Ovi összesen'!E83+'Hivatal összesen'!E84</f>
        <v>-1099646</v>
      </c>
      <c r="F88" s="15">
        <f>Önk.összesen!F88+'Ovi összesen'!F83+'Hivatal összesen'!F84</f>
        <v>13838354</v>
      </c>
      <c r="G88" s="15">
        <f>Önk.összesen!G88+'Ovi összesen'!G83+'Hivatal összesen'!G84</f>
        <v>3699246</v>
      </c>
      <c r="H88" s="124">
        <f t="shared" si="1"/>
        <v>0.2673183530353393</v>
      </c>
    </row>
    <row r="89" spans="1:8">
      <c r="A89" s="13" t="s">
        <v>69</v>
      </c>
      <c r="B89" s="14" t="s">
        <v>70</v>
      </c>
      <c r="C89" s="15">
        <f>Önk.összesen!C89+'Ovi összesen'!C84+'Hivatal összesen'!C85</f>
        <v>4727746</v>
      </c>
      <c r="D89" s="15">
        <f>Önk.összesen!D89+'Ovi összesen'!D84+'Hivatal összesen'!D85</f>
        <v>3690000</v>
      </c>
      <c r="E89" s="15">
        <f>Önk.összesen!E89+'Ovi összesen'!E84+'Hivatal összesen'!E85</f>
        <v>600000</v>
      </c>
      <c r="F89" s="15">
        <f>Önk.összesen!F89+'Ovi összesen'!F84+'Hivatal összesen'!F85</f>
        <v>4290000</v>
      </c>
      <c r="G89" s="15">
        <f>Önk.összesen!G89+'Ovi összesen'!G84+'Hivatal összesen'!G85</f>
        <v>2664325</v>
      </c>
      <c r="H89" s="124">
        <f t="shared" si="1"/>
        <v>0.62105477855477853</v>
      </c>
    </row>
    <row r="90" spans="1:8">
      <c r="A90" s="13" t="s">
        <v>71</v>
      </c>
      <c r="B90" s="14" t="s">
        <v>72</v>
      </c>
      <c r="C90" s="15">
        <f>Önk.összesen!C90+'Ovi összesen'!C85+'Hivatal összesen'!C86</f>
        <v>921797</v>
      </c>
      <c r="D90" s="15">
        <f>Önk.összesen!D90+'Ovi összesen'!D85+'Hivatal összesen'!D86</f>
        <v>763000</v>
      </c>
      <c r="E90" s="15">
        <f>Önk.összesen!E90+'Ovi összesen'!E85+'Hivatal összesen'!E86</f>
        <v>0</v>
      </c>
      <c r="F90" s="15">
        <f>Önk.összesen!F90+'Ovi összesen'!F85+'Hivatal összesen'!F86</f>
        <v>763000</v>
      </c>
      <c r="G90" s="15">
        <f>Önk.összesen!G90+'Ovi összesen'!G85+'Hivatal összesen'!G86</f>
        <v>221590</v>
      </c>
      <c r="H90" s="124">
        <f t="shared" si="1"/>
        <v>0.29041939711664483</v>
      </c>
    </row>
    <row r="91" spans="1:8">
      <c r="A91" s="13" t="s">
        <v>73</v>
      </c>
      <c r="B91" s="14" t="s">
        <v>74</v>
      </c>
      <c r="C91" s="15">
        <f>Önk.összesen!C91+'Ovi összesen'!C86+'Hivatal összesen'!C87</f>
        <v>5649543</v>
      </c>
      <c r="D91" s="15">
        <f>Önk.összesen!D91+'Ovi összesen'!D86+'Hivatal összesen'!D87</f>
        <v>4453000</v>
      </c>
      <c r="E91" s="15">
        <f>Önk.összesen!E91+'Ovi összesen'!E86+'Hivatal összesen'!E87</f>
        <v>600000</v>
      </c>
      <c r="F91" s="15">
        <f>Önk.összesen!F91+'Ovi összesen'!F86+'Hivatal összesen'!F87</f>
        <v>5053000</v>
      </c>
      <c r="G91" s="15">
        <f>Önk.összesen!G91+'Ovi összesen'!G86+'Hivatal összesen'!G87</f>
        <v>2885915</v>
      </c>
      <c r="H91" s="124">
        <f t="shared" si="1"/>
        <v>0.57112903225806455</v>
      </c>
    </row>
    <row r="92" spans="1:8">
      <c r="A92" s="13" t="s">
        <v>75</v>
      </c>
      <c r="B92" s="14" t="s">
        <v>76</v>
      </c>
      <c r="C92" s="15">
        <f>Önk.összesen!C92+'Ovi összesen'!C87+'Hivatal összesen'!C88</f>
        <v>14671586</v>
      </c>
      <c r="D92" s="15">
        <f>Önk.összesen!D92+'Ovi összesen'!D87+'Hivatal összesen'!D88</f>
        <v>10970000</v>
      </c>
      <c r="E92" s="15">
        <f>Önk.összesen!E92+'Ovi összesen'!E87+'Hivatal összesen'!E88</f>
        <v>0</v>
      </c>
      <c r="F92" s="15">
        <f>Önk.összesen!F92+'Ovi összesen'!F87+'Hivatal összesen'!F88</f>
        <v>10970000</v>
      </c>
      <c r="G92" s="15">
        <f>Önk.összesen!G92+'Ovi összesen'!G87+'Hivatal összesen'!G88</f>
        <v>5873945</v>
      </c>
      <c r="H92" s="124">
        <f t="shared" si="1"/>
        <v>0.5354553327256153</v>
      </c>
    </row>
    <row r="93" spans="1:8">
      <c r="A93" s="13" t="s">
        <v>77</v>
      </c>
      <c r="B93" s="14" t="s">
        <v>78</v>
      </c>
      <c r="C93" s="15">
        <f>Önk.összesen!C93+'Ovi összesen'!C88+'Hivatal összesen'!C89</f>
        <v>19508407</v>
      </c>
      <c r="D93" s="15">
        <f>Önk.összesen!D93+'Ovi összesen'!D88+'Hivatal összesen'!D89</f>
        <v>22399000</v>
      </c>
      <c r="E93" s="15">
        <f>Önk.összesen!E93+'Ovi összesen'!E88+'Hivatal összesen'!E89</f>
        <v>0</v>
      </c>
      <c r="F93" s="15">
        <f>Önk.összesen!F93+'Ovi összesen'!F88+'Hivatal összesen'!F89</f>
        <v>22399000</v>
      </c>
      <c r="G93" s="15">
        <f>Önk.összesen!G93+'Ovi összesen'!G88+'Hivatal összesen'!G89</f>
        <v>12670902</v>
      </c>
      <c r="H93" s="124">
        <f t="shared" si="1"/>
        <v>0.56569052189829905</v>
      </c>
    </row>
    <row r="94" spans="1:8">
      <c r="A94" s="20" t="s">
        <v>276</v>
      </c>
      <c r="B94" s="19" t="s">
        <v>277</v>
      </c>
      <c r="C94" s="15">
        <f>Önk.összesen!C94+'Ovi összesen'!C89+'Hivatal összesen'!C90</f>
        <v>154256</v>
      </c>
      <c r="D94" s="15">
        <f>Önk.összesen!D94+'Ovi összesen'!D89+'Hivatal összesen'!D90</f>
        <v>590000</v>
      </c>
      <c r="E94" s="15">
        <f>Önk.összesen!E94+'Ovi összesen'!E89+'Hivatal összesen'!E90</f>
        <v>-124644</v>
      </c>
      <c r="F94" s="15">
        <f>Önk.összesen!F94+'Ovi összesen'!F89+'Hivatal összesen'!F90</f>
        <v>465356</v>
      </c>
      <c r="G94" s="15">
        <f>Önk.összesen!G94+'Ovi összesen'!G89+'Hivatal összesen'!G90</f>
        <v>78495</v>
      </c>
      <c r="H94" s="124"/>
    </row>
    <row r="95" spans="1:8">
      <c r="A95" s="13" t="s">
        <v>79</v>
      </c>
      <c r="B95" s="14" t="s">
        <v>80</v>
      </c>
      <c r="C95" s="15">
        <f>Önk.összesen!C95+'Ovi összesen'!C90+'Hivatal összesen'!C91</f>
        <v>1045579</v>
      </c>
      <c r="D95" s="15">
        <f>Önk.összesen!D95+'Ovi összesen'!D90+'Hivatal összesen'!D91</f>
        <v>3595000</v>
      </c>
      <c r="E95" s="15">
        <f>Önk.összesen!E95+'Ovi összesen'!E90+'Hivatal összesen'!E91</f>
        <v>-194587</v>
      </c>
      <c r="F95" s="15">
        <f>Önk.összesen!F95+'Ovi összesen'!F90+'Hivatal összesen'!F91</f>
        <v>3400413</v>
      </c>
      <c r="G95" s="15">
        <f>Önk.összesen!G95+'Ovi összesen'!G90+'Hivatal összesen'!G91</f>
        <v>215167</v>
      </c>
      <c r="H95" s="124">
        <f t="shared" si="1"/>
        <v>6.3276725503637346E-2</v>
      </c>
    </row>
    <row r="96" spans="1:8">
      <c r="A96" s="13" t="s">
        <v>81</v>
      </c>
      <c r="B96" s="14" t="s">
        <v>82</v>
      </c>
      <c r="C96" s="15">
        <f>Önk.összesen!C96+'Ovi összesen'!C91+'Hivatal összesen'!C92</f>
        <v>2050590</v>
      </c>
      <c r="D96" s="15">
        <f>Önk.összesen!D96+'Ovi összesen'!D91+'Hivatal összesen'!D92</f>
        <v>2965000</v>
      </c>
      <c r="E96" s="15">
        <f>Önk.összesen!E96+'Ovi összesen'!E91+'Hivatal összesen'!E92</f>
        <v>0</v>
      </c>
      <c r="F96" s="15">
        <f>Önk.összesen!F96+'Ovi összesen'!F91+'Hivatal összesen'!F92</f>
        <v>2965000</v>
      </c>
      <c r="G96" s="15">
        <f>Önk.összesen!G96+'Ovi összesen'!G91+'Hivatal összesen'!G92</f>
        <v>1113410</v>
      </c>
      <c r="H96" s="124">
        <f t="shared" si="1"/>
        <v>0.3755177065767285</v>
      </c>
    </row>
    <row r="97" spans="1:8">
      <c r="A97" s="13" t="s">
        <v>83</v>
      </c>
      <c r="B97" s="14" t="s">
        <v>84</v>
      </c>
      <c r="C97" s="15">
        <f>Önk.összesen!C97+'Ovi összesen'!C92+'Hivatal összesen'!C93</f>
        <v>1071205</v>
      </c>
      <c r="D97" s="15">
        <f>Önk.összesen!D97+'Ovi összesen'!D92+'Hivatal összesen'!D93</f>
        <v>1200000</v>
      </c>
      <c r="E97" s="15">
        <f>Önk.összesen!E97+'Ovi összesen'!E92+'Hivatal összesen'!E93</f>
        <v>0</v>
      </c>
      <c r="F97" s="15">
        <f>Önk.összesen!F97+'Ovi összesen'!F92+'Hivatal összesen'!F93</f>
        <v>1200000</v>
      </c>
      <c r="G97" s="15">
        <f>Önk.összesen!G97+'Ovi összesen'!G92+'Hivatal összesen'!G93</f>
        <v>0</v>
      </c>
      <c r="H97" s="124">
        <f t="shared" si="1"/>
        <v>0</v>
      </c>
    </row>
    <row r="98" spans="1:8" ht="25.5">
      <c r="A98" s="13" t="s">
        <v>85</v>
      </c>
      <c r="B98" s="14" t="s">
        <v>86</v>
      </c>
      <c r="C98" s="15">
        <f>Önk.összesen!C98+'Ovi összesen'!C93+'Hivatal összesen'!C94</f>
        <v>4511000</v>
      </c>
      <c r="D98" s="15">
        <f>Önk.összesen!D98+'Ovi összesen'!D93+'Hivatal összesen'!D94</f>
        <v>5100000</v>
      </c>
      <c r="E98" s="15">
        <f>Önk.összesen!E98+'Ovi összesen'!E93+'Hivatal összesen'!E94</f>
        <v>37954796</v>
      </c>
      <c r="F98" s="15">
        <f>Önk.összesen!F98+'Ovi összesen'!F93+'Hivatal összesen'!F94</f>
        <v>43054796</v>
      </c>
      <c r="G98" s="15">
        <f>Önk.összesen!G98+'Ovi összesen'!G93+'Hivatal összesen'!G94</f>
        <v>4089710</v>
      </c>
      <c r="H98" s="124">
        <f t="shared" si="1"/>
        <v>9.4988488622730904E-2</v>
      </c>
    </row>
    <row r="99" spans="1:8">
      <c r="A99" s="13" t="s">
        <v>87</v>
      </c>
      <c r="B99" s="14" t="s">
        <v>88</v>
      </c>
      <c r="C99" s="15">
        <f>Önk.összesen!C99+'Ovi összesen'!C94+'Hivatal összesen'!C95</f>
        <v>13492494</v>
      </c>
      <c r="D99" s="15">
        <f>Önk.összesen!D99+'Ovi összesen'!D94+'Hivatal összesen'!D95</f>
        <v>10912000</v>
      </c>
      <c r="E99" s="15">
        <f>Önk.összesen!E99+'Ovi összesen'!E94+'Hivatal összesen'!E95</f>
        <v>-2104487</v>
      </c>
      <c r="F99" s="15">
        <f>Önk.összesen!F99+'Ovi összesen'!F94+'Hivatal összesen'!F95</f>
        <v>8807513</v>
      </c>
      <c r="G99" s="15">
        <f>Önk.összesen!G99+'Ovi összesen'!G94+'Hivatal összesen'!G95</f>
        <v>4386510</v>
      </c>
      <c r="H99" s="124">
        <f t="shared" si="1"/>
        <v>0.49804184223174008</v>
      </c>
    </row>
    <row r="100" spans="1:8">
      <c r="A100" s="13" t="s">
        <v>89</v>
      </c>
      <c r="B100" s="14" t="s">
        <v>90</v>
      </c>
      <c r="C100" s="15">
        <f>Önk.összesen!C100+'Ovi összesen'!C95+'Hivatal összesen'!C96</f>
        <v>831428</v>
      </c>
      <c r="D100" s="15">
        <f>Önk.összesen!D100+'Ovi összesen'!D95+'Hivatal összesen'!D96</f>
        <v>250000</v>
      </c>
      <c r="E100" s="15">
        <f>Önk.összesen!E100+'Ovi összesen'!E95+'Hivatal összesen'!E96</f>
        <v>0</v>
      </c>
      <c r="F100" s="15">
        <f>Önk.összesen!F100+'Ovi összesen'!F95+'Hivatal összesen'!F96</f>
        <v>250000</v>
      </c>
      <c r="G100" s="15">
        <f>Önk.összesen!G100+'Ovi összesen'!G95+'Hivatal összesen'!G96</f>
        <v>0</v>
      </c>
      <c r="H100" s="124">
        <f t="shared" si="1"/>
        <v>0</v>
      </c>
    </row>
    <row r="101" spans="1:8" ht="25.5">
      <c r="A101" s="13" t="s">
        <v>91</v>
      </c>
      <c r="B101" s="14" t="s">
        <v>92</v>
      </c>
      <c r="C101" s="15">
        <f>Önk.összesen!C101+'Ovi összesen'!C96+'Hivatal összesen'!C97</f>
        <v>55433912</v>
      </c>
      <c r="D101" s="15">
        <f>Önk.összesen!D101+'Ovi összesen'!D96+'Hivatal összesen'!D97</f>
        <v>56531000</v>
      </c>
      <c r="E101" s="15">
        <f>Önk.összesen!E101+'Ovi összesen'!E96+'Hivatal összesen'!E97</f>
        <v>35531078</v>
      </c>
      <c r="F101" s="15">
        <f>Önk.összesen!F101+'Ovi összesen'!F96+'Hivatal összesen'!F97</f>
        <v>92062078</v>
      </c>
      <c r="G101" s="15">
        <f>Önk.összesen!G101+'Ovi összesen'!G96+'Hivatal összesen'!G97</f>
        <v>28428139</v>
      </c>
      <c r="H101" s="124">
        <f t="shared" si="1"/>
        <v>0.30879314933560376</v>
      </c>
    </row>
    <row r="102" spans="1:8">
      <c r="A102" s="13" t="s">
        <v>280</v>
      </c>
      <c r="B102" s="14" t="s">
        <v>281</v>
      </c>
      <c r="C102" s="15">
        <f>Önk.összesen!C102+'Ovi összesen'!C97+'Hivatal összesen'!C98</f>
        <v>37899</v>
      </c>
      <c r="D102" s="15">
        <f>Önk.összesen!D102+'Ovi összesen'!D97+'Hivatal összesen'!D98</f>
        <v>51000</v>
      </c>
      <c r="E102" s="15">
        <f>Önk.összesen!E102+'Ovi összesen'!E97+'Hivatal összesen'!E98</f>
        <v>30654</v>
      </c>
      <c r="F102" s="15">
        <f>Önk.összesen!F102+'Ovi összesen'!F97+'Hivatal összesen'!F98</f>
        <v>81654</v>
      </c>
      <c r="G102" s="15">
        <f>Önk.összesen!G102+'Ovi összesen'!G97+'Hivatal összesen'!G98</f>
        <v>79204</v>
      </c>
      <c r="H102" s="124"/>
    </row>
    <row r="103" spans="1:8">
      <c r="A103" s="13" t="s">
        <v>93</v>
      </c>
      <c r="B103" s="14" t="s">
        <v>94</v>
      </c>
      <c r="C103" s="15">
        <f>Önk.összesen!C103+'Ovi összesen'!C98+'Hivatal összesen'!C99</f>
        <v>665071</v>
      </c>
      <c r="D103" s="15">
        <f>Önk.összesen!D103+'Ovi összesen'!D98+'Hivatal összesen'!D99</f>
        <v>20000</v>
      </c>
      <c r="E103" s="15">
        <f>Önk.összesen!E103+'Ovi összesen'!E98+'Hivatal összesen'!E99</f>
        <v>288803</v>
      </c>
      <c r="F103" s="15">
        <f>Önk.összesen!F103+'Ovi összesen'!F98+'Hivatal összesen'!F99</f>
        <v>308803</v>
      </c>
      <c r="G103" s="15">
        <f>Önk.összesen!G103+'Ovi összesen'!G98+'Hivatal összesen'!G99</f>
        <v>198803</v>
      </c>
      <c r="H103" s="124">
        <f t="shared" si="1"/>
        <v>0.6437858440494425</v>
      </c>
    </row>
    <row r="104" spans="1:8" ht="25.5">
      <c r="A104" s="13" t="s">
        <v>95</v>
      </c>
      <c r="B104" s="14" t="s">
        <v>96</v>
      </c>
      <c r="C104" s="15">
        <f>Önk.összesen!C104+'Ovi összesen'!C99+'Hivatal összesen'!C100</f>
        <v>702970</v>
      </c>
      <c r="D104" s="15">
        <f>Önk.összesen!D104+'Ovi összesen'!D99+'Hivatal összesen'!D100</f>
        <v>71000</v>
      </c>
      <c r="E104" s="15">
        <f>Önk.összesen!E104+'Ovi összesen'!E99+'Hivatal összesen'!E100</f>
        <v>319457</v>
      </c>
      <c r="F104" s="15">
        <f>Önk.összesen!F104+'Ovi összesen'!F99+'Hivatal összesen'!F100</f>
        <v>390457</v>
      </c>
      <c r="G104" s="15">
        <f>Önk.összesen!G104+'Ovi összesen'!G99+'Hivatal összesen'!G100</f>
        <v>278007</v>
      </c>
      <c r="H104" s="124">
        <f t="shared" si="1"/>
        <v>0.71200413873998925</v>
      </c>
    </row>
    <row r="105" spans="1:8" ht="25.5">
      <c r="A105" s="13" t="s">
        <v>97</v>
      </c>
      <c r="B105" s="14" t="s">
        <v>98</v>
      </c>
      <c r="C105" s="15">
        <f>Önk.összesen!C105+'Ovi összesen'!C100+'Hivatal összesen'!C101</f>
        <v>18288485</v>
      </c>
      <c r="D105" s="15">
        <f>Önk.összesen!D105+'Ovi összesen'!D100+'Hivatal összesen'!D101</f>
        <v>19390000</v>
      </c>
      <c r="E105" s="15">
        <f>Önk.összesen!E105+'Ovi összesen'!E100+'Hivatal összesen'!E101</f>
        <v>9444090</v>
      </c>
      <c r="F105" s="15">
        <f>Önk.összesen!F105+'Ovi összesen'!F100+'Hivatal összesen'!F101</f>
        <v>28834090</v>
      </c>
      <c r="G105" s="15">
        <f>Önk.összesen!G105+'Ovi összesen'!G100+'Hivatal összesen'!G101</f>
        <v>7745893</v>
      </c>
      <c r="H105" s="124">
        <f t="shared" si="1"/>
        <v>0.26863663809053795</v>
      </c>
    </row>
    <row r="106" spans="1:8" s="121" customFormat="1">
      <c r="A106" s="13">
        <v>52</v>
      </c>
      <c r="B106" s="14" t="s">
        <v>458</v>
      </c>
      <c r="C106" s="15">
        <f>'Ovi összesen'!C101+Önk.összesen!C106</f>
        <v>0</v>
      </c>
      <c r="D106" s="15">
        <f>'Ovi összesen'!D101+Önk.összesen!D106</f>
        <v>0</v>
      </c>
      <c r="E106" s="15">
        <f>'Ovi összesen'!E101+Önk.összesen!E106</f>
        <v>118508</v>
      </c>
      <c r="F106" s="15">
        <f>'Ovi összesen'!F101+Önk.összesen!F106</f>
        <v>118513</v>
      </c>
      <c r="G106" s="15">
        <f>'Ovi összesen'!G101+Önk.összesen!G106</f>
        <v>118508</v>
      </c>
      <c r="H106" s="124">
        <f>'Ovi összesen'!H101</f>
        <v>0</v>
      </c>
    </row>
    <row r="107" spans="1:8">
      <c r="A107" s="13" t="s">
        <v>99</v>
      </c>
      <c r="B107" s="14" t="s">
        <v>100</v>
      </c>
      <c r="C107" s="15">
        <f>Önk.összesen!C108+'Ovi összesen'!C102+'Hivatal összesen'!C102</f>
        <v>1121207</v>
      </c>
      <c r="D107" s="15">
        <f>Önk.összesen!D108+'Ovi összesen'!D102+'Hivatal összesen'!D102</f>
        <v>1136000</v>
      </c>
      <c r="E107" s="15">
        <f>Önk.összesen!E108+'Ovi összesen'!E102+'Hivatal összesen'!E102</f>
        <v>9378</v>
      </c>
      <c r="F107" s="15">
        <f>Önk.összesen!F108+'Ovi összesen'!F102+'Hivatal összesen'!F102</f>
        <v>1145378</v>
      </c>
      <c r="G107" s="15">
        <f>Önk.összesen!G108+'Ovi összesen'!G102+'Hivatal összesen'!G102</f>
        <v>358134</v>
      </c>
      <c r="H107" s="124">
        <f t="shared" si="1"/>
        <v>0.31267756146879022</v>
      </c>
    </row>
    <row r="108" spans="1:8" ht="25.5">
      <c r="A108" s="13" t="s">
        <v>101</v>
      </c>
      <c r="B108" s="14" t="s">
        <v>102</v>
      </c>
      <c r="C108" s="15">
        <f>Önk.összesen!C109+'Ovi összesen'!C103+'Hivatal összesen'!C103</f>
        <v>19409692</v>
      </c>
      <c r="D108" s="15">
        <f>Önk.összesen!D109+'Ovi összesen'!D103+'Hivatal összesen'!D103</f>
        <v>20526000</v>
      </c>
      <c r="E108" s="15">
        <f>Önk.összesen!E109+'Ovi összesen'!E103+'Hivatal összesen'!E103</f>
        <v>9751981</v>
      </c>
      <c r="F108" s="15">
        <f>Önk.összesen!F109+'Ovi összesen'!F103+'Hivatal összesen'!F103</f>
        <v>30277981</v>
      </c>
      <c r="G108" s="15">
        <f>Önk.összesen!G109+'Ovi összesen'!G103+'Hivatal összesen'!G103</f>
        <v>8402378</v>
      </c>
      <c r="H108" s="124">
        <f t="shared" si="1"/>
        <v>0.27750786949763923</v>
      </c>
    </row>
    <row r="109" spans="1:8">
      <c r="A109" s="16" t="s">
        <v>103</v>
      </c>
      <c r="B109" s="17" t="s">
        <v>104</v>
      </c>
      <c r="C109" s="15">
        <f>Önk.összesen!C110+'Ovi összesen'!C104+'Hivatal összesen'!C104</f>
        <v>99019372</v>
      </c>
      <c r="D109" s="15">
        <f>Önk.összesen!D110+'Ovi összesen'!D104+'Hivatal összesen'!D104</f>
        <v>96519000</v>
      </c>
      <c r="E109" s="15">
        <f>Önk.összesen!E110+'Ovi összesen'!E104+'Hivatal összesen'!E104</f>
        <v>45102870</v>
      </c>
      <c r="F109" s="15">
        <f>Önk.összesen!F110+'Ovi összesen'!F104+'Hivatal összesen'!F104</f>
        <v>141621870</v>
      </c>
      <c r="G109" s="15">
        <f>Önk.összesen!G110+'Ovi összesen'!G104+'Hivatal összesen'!G104</f>
        <v>43693685</v>
      </c>
      <c r="H109" s="125">
        <f t="shared" si="1"/>
        <v>0.30852357054740204</v>
      </c>
    </row>
    <row r="110" spans="1:8">
      <c r="A110" s="13" t="s">
        <v>105</v>
      </c>
      <c r="B110" s="14" t="s">
        <v>106</v>
      </c>
      <c r="C110" s="15">
        <f>Önk.összesen!C111+'Ovi összesen'!C105+'Hivatal összesen'!C105</f>
        <v>1697880</v>
      </c>
      <c r="D110" s="15">
        <f>Önk.összesen!D111+'Ovi összesen'!D105+'Hivatal összesen'!D105</f>
        <v>400000</v>
      </c>
      <c r="E110" s="15">
        <f>Önk.összesen!E111+'Ovi összesen'!E105+'Hivatal összesen'!E105</f>
        <v>-400000</v>
      </c>
      <c r="F110" s="15">
        <f>Önk.összesen!F111+'Ovi összesen'!F105+'Hivatal összesen'!F105</f>
        <v>0</v>
      </c>
      <c r="G110" s="15">
        <f>Önk.összesen!G111+'Ovi összesen'!G105+'Hivatal összesen'!G105</f>
        <v>0</v>
      </c>
      <c r="H110" s="124" t="e">
        <f t="shared" si="1"/>
        <v>#DIV/0!</v>
      </c>
    </row>
    <row r="111" spans="1:8" ht="25.5">
      <c r="A111" s="13" t="s">
        <v>107</v>
      </c>
      <c r="B111" s="14" t="s">
        <v>108</v>
      </c>
      <c r="C111" s="15">
        <f>Önk.összesen!C112+'Ovi összesen'!C106+'Hivatal összesen'!C106</f>
        <v>1697880</v>
      </c>
      <c r="D111" s="15">
        <f>Önk.összesen!D112+'Ovi összesen'!D106+'Hivatal összesen'!D106</f>
        <v>400000</v>
      </c>
      <c r="E111" s="15">
        <f>Önk.összesen!E112+'Ovi összesen'!E106+'Hivatal összesen'!E106</f>
        <v>-400000</v>
      </c>
      <c r="F111" s="15">
        <f>Önk.összesen!F112+'Ovi összesen'!F106+'Hivatal összesen'!F106</f>
        <v>0</v>
      </c>
      <c r="G111" s="15">
        <f>Önk.összesen!G112+'Ovi összesen'!G106+'Hivatal összesen'!G106</f>
        <v>0</v>
      </c>
      <c r="H111" s="124" t="e">
        <f t="shared" si="1"/>
        <v>#DIV/0!</v>
      </c>
    </row>
    <row r="112" spans="1:8" ht="25.5">
      <c r="A112" s="13">
        <v>93</v>
      </c>
      <c r="B112" s="14" t="s">
        <v>419</v>
      </c>
      <c r="C112" s="15">
        <f>Önk.összesen!C113+'Ovi összesen'!C107+'Hivatal összesen'!C107</f>
        <v>470000</v>
      </c>
      <c r="D112" s="15">
        <f>Önk.összesen!D113+'Ovi összesen'!D107+'Hivatal összesen'!D107</f>
        <v>600000</v>
      </c>
      <c r="E112" s="15">
        <f>Önk.összesen!E113+'Ovi összesen'!E107+'Hivatal összesen'!E107</f>
        <v>-600000</v>
      </c>
      <c r="F112" s="15">
        <f>Önk.összesen!F113+'Ovi összesen'!F107+'Hivatal összesen'!F107</f>
        <v>0</v>
      </c>
      <c r="G112" s="15">
        <f>Önk.összesen!G113+'Ovi összesen'!G107+'Hivatal összesen'!G107</f>
        <v>0</v>
      </c>
      <c r="H112" s="124"/>
    </row>
    <row r="113" spans="1:8" ht="25.5">
      <c r="A113" s="13">
        <v>96</v>
      </c>
      <c r="B113" s="14" t="s">
        <v>420</v>
      </c>
      <c r="C113" s="15">
        <f>Önk.összesen!C114+'Ovi összesen'!C108+'Hivatal összesen'!C108</f>
        <v>470000</v>
      </c>
      <c r="D113" s="15">
        <f>Önk.összesen!D114+'Ovi összesen'!D108+'Hivatal összesen'!D108</f>
        <v>600000</v>
      </c>
      <c r="E113" s="15">
        <f>Önk.összesen!E114+'Ovi összesen'!E108+'Hivatal összesen'!E108</f>
        <v>-600000</v>
      </c>
      <c r="F113" s="15">
        <f>Önk.összesen!F114+'Ovi összesen'!F108+'Hivatal összesen'!F108</f>
        <v>0</v>
      </c>
      <c r="G113" s="15">
        <f>Önk.összesen!G114+'Ovi összesen'!G108+'Hivatal összesen'!G108</f>
        <v>0</v>
      </c>
      <c r="H113" s="124"/>
    </row>
    <row r="114" spans="1:8" ht="25.5">
      <c r="A114" s="13" t="s">
        <v>109</v>
      </c>
      <c r="B114" s="14" t="s">
        <v>110</v>
      </c>
      <c r="C114" s="15">
        <f>Önk.összesen!C115+'Ovi összesen'!C109+'Hivatal összesen'!C109</f>
        <v>8886020</v>
      </c>
      <c r="D114" s="15">
        <f>Önk.összesen!D115+'Ovi összesen'!D109+'Hivatal összesen'!D109</f>
        <v>11540000</v>
      </c>
      <c r="E114" s="15">
        <f>Önk.összesen!E115+'Ovi összesen'!E109+'Hivatal összesen'!E109</f>
        <v>0</v>
      </c>
      <c r="F114" s="15">
        <f>Önk.összesen!F115+'Ovi összesen'!F109+'Hivatal összesen'!F109</f>
        <v>11540000</v>
      </c>
      <c r="G114" s="15">
        <f>Önk.összesen!G115+'Ovi összesen'!G109+'Hivatal összesen'!G109</f>
        <v>1158537</v>
      </c>
      <c r="H114" s="124">
        <f t="shared" si="1"/>
        <v>0.10039315424610051</v>
      </c>
    </row>
    <row r="115" spans="1:8" ht="25.5">
      <c r="A115" s="13" t="s">
        <v>111</v>
      </c>
      <c r="B115" s="14" t="s">
        <v>112</v>
      </c>
      <c r="C115" s="15">
        <f>Önk.összesen!C116+'Ovi összesen'!C110+'Hivatal összesen'!C110</f>
        <v>283162</v>
      </c>
      <c r="D115" s="15">
        <f>Önk.összesen!D116+'Ovi összesen'!D110+'Hivatal összesen'!D110</f>
        <v>2240000</v>
      </c>
      <c r="E115" s="15">
        <f>Önk.összesen!E116+'Ovi összesen'!E110+'Hivatal összesen'!E110</f>
        <v>0</v>
      </c>
      <c r="F115" s="15">
        <f>Önk.összesen!F116+'Ovi összesen'!F110+'Hivatal összesen'!F110</f>
        <v>2240000</v>
      </c>
      <c r="G115" s="15">
        <f>Önk.összesen!G116+'Ovi összesen'!G110+'Hivatal összesen'!G110</f>
        <v>341740</v>
      </c>
      <c r="H115" s="124">
        <f t="shared" si="1"/>
        <v>0.15256249999999999</v>
      </c>
    </row>
    <row r="116" spans="1:8">
      <c r="A116" s="13" t="s">
        <v>113</v>
      </c>
      <c r="B116" s="14" t="s">
        <v>114</v>
      </c>
      <c r="C116" s="15">
        <f>Önk.összesen!C117+'Ovi összesen'!C111+'Hivatal összesen'!C111</f>
        <v>79900</v>
      </c>
      <c r="D116" s="15">
        <f>Önk.összesen!D117+'Ovi összesen'!D111+'Hivatal összesen'!D111</f>
        <v>8800000</v>
      </c>
      <c r="E116" s="15">
        <f>Önk.összesen!E117+'Ovi összesen'!E111+'Hivatal összesen'!E111</f>
        <v>0</v>
      </c>
      <c r="F116" s="15">
        <f>Önk.összesen!F117+'Ovi összesen'!F111+'Hivatal összesen'!F111</f>
        <v>8800000</v>
      </c>
      <c r="G116" s="15">
        <f>Önk.összesen!G117+'Ovi összesen'!G111+'Hivatal összesen'!G111</f>
        <v>316797</v>
      </c>
      <c r="H116" s="124">
        <f t="shared" si="1"/>
        <v>3.5999659090909089E-2</v>
      </c>
    </row>
    <row r="117" spans="1:8" ht="38.25">
      <c r="A117" s="13" t="s">
        <v>115</v>
      </c>
      <c r="B117" s="14" t="s">
        <v>116</v>
      </c>
      <c r="C117" s="15">
        <f>Önk.összesen!C118+'Ovi összesen'!C112+'Hivatal összesen'!C112</f>
        <v>136097</v>
      </c>
      <c r="D117" s="15">
        <f>Önk.összesen!D118+'Ovi összesen'!D112+'Hivatal összesen'!D112</f>
        <v>500000</v>
      </c>
      <c r="E117" s="15">
        <f>Önk.összesen!E118+'Ovi összesen'!E112+'Hivatal összesen'!E112</f>
        <v>0</v>
      </c>
      <c r="F117" s="15">
        <f>Önk.összesen!F118+'Ovi összesen'!F112+'Hivatal összesen'!F112</f>
        <v>500000</v>
      </c>
      <c r="G117" s="15">
        <f>Önk.összesen!G118+'Ovi összesen'!G112+'Hivatal összesen'!G112</f>
        <v>500000</v>
      </c>
      <c r="H117" s="124">
        <f t="shared" si="1"/>
        <v>1</v>
      </c>
    </row>
    <row r="118" spans="1:8" ht="25.5">
      <c r="A118" s="16" t="s">
        <v>117</v>
      </c>
      <c r="B118" s="17" t="s">
        <v>118</v>
      </c>
      <c r="C118" s="15">
        <f>Önk.összesen!C119+'Ovi összesen'!C113+'Hivatal összesen'!C113</f>
        <v>11053900</v>
      </c>
      <c r="D118" s="15">
        <f>Önk.összesen!D119+'Ovi összesen'!D113+'Hivatal összesen'!D113</f>
        <v>12540000</v>
      </c>
      <c r="E118" s="15">
        <f>Önk.összesen!E119+'Ovi összesen'!E113+'Hivatal összesen'!E113</f>
        <v>-1000000</v>
      </c>
      <c r="F118" s="15">
        <f>Önk.összesen!F119+'Ovi összesen'!F113+'Hivatal összesen'!F113</f>
        <v>11540000</v>
      </c>
      <c r="G118" s="15">
        <f>Önk.összesen!G119+'Ovi összesen'!G113+'Hivatal összesen'!G113</f>
        <v>1158537</v>
      </c>
      <c r="H118" s="125">
        <f t="shared" si="1"/>
        <v>0.10039315424610051</v>
      </c>
    </row>
    <row r="119" spans="1:8" ht="25.5">
      <c r="A119" s="13" t="s">
        <v>119</v>
      </c>
      <c r="B119" s="14" t="s">
        <v>120</v>
      </c>
      <c r="C119" s="15">
        <f>Önk.összesen!C120+'Ovi összesen'!C114+'Hivatal összesen'!C114</f>
        <v>1935750</v>
      </c>
      <c r="D119" s="15">
        <f>Önk.összesen!D120+'Ovi összesen'!D114+'Hivatal összesen'!D114</f>
        <v>0</v>
      </c>
      <c r="E119" s="15">
        <f>Önk.összesen!E120+'Ovi összesen'!E114+'Hivatal összesen'!E114</f>
        <v>0</v>
      </c>
      <c r="F119" s="15">
        <f>Önk.összesen!F120+'Ovi összesen'!F114+'Hivatal összesen'!F114</f>
        <v>0</v>
      </c>
      <c r="G119" s="15">
        <f>Önk.összesen!G120+'Ovi összesen'!G114+'Hivatal összesen'!G114</f>
        <v>0</v>
      </c>
      <c r="H119" s="124" t="e">
        <f t="shared" si="1"/>
        <v>#DIV/0!</v>
      </c>
    </row>
    <row r="120" spans="1:8" ht="25.5">
      <c r="A120" s="13" t="s">
        <v>121</v>
      </c>
      <c r="B120" s="14" t="s">
        <v>122</v>
      </c>
      <c r="C120" s="15">
        <f>Önk.összesen!C121+'Ovi összesen'!C115+'Hivatal összesen'!C115</f>
        <v>3421735</v>
      </c>
      <c r="D120" s="15">
        <f>Önk.összesen!D121+'Ovi összesen'!D115+'Hivatal összesen'!D115</f>
        <v>0</v>
      </c>
      <c r="E120" s="15">
        <f>Önk.összesen!E121+'Ovi összesen'!E115+'Hivatal összesen'!E115</f>
        <v>0</v>
      </c>
      <c r="F120" s="15">
        <f>Önk.összesen!F121+'Ovi összesen'!F115+'Hivatal összesen'!F115</f>
        <v>0</v>
      </c>
      <c r="G120" s="15">
        <f>Önk.összesen!G121+'Ovi összesen'!G115+'Hivatal összesen'!G115</f>
        <v>0</v>
      </c>
      <c r="H120" s="124" t="e">
        <f t="shared" si="1"/>
        <v>#DIV/0!</v>
      </c>
    </row>
    <row r="121" spans="1:8" ht="25.5">
      <c r="A121" s="13" t="s">
        <v>123</v>
      </c>
      <c r="B121" s="14" t="s">
        <v>124</v>
      </c>
      <c r="C121" s="15">
        <f>Önk.összesen!C122+'Ovi összesen'!C116+'Hivatal összesen'!C116</f>
        <v>5357485</v>
      </c>
      <c r="D121" s="15">
        <f>Önk.összesen!D122+'Ovi összesen'!D116+'Hivatal összesen'!D116</f>
        <v>0</v>
      </c>
      <c r="E121" s="15">
        <f>Önk.összesen!E122+'Ovi összesen'!E116+'Hivatal összesen'!E116</f>
        <v>9244877</v>
      </c>
      <c r="F121" s="15">
        <f>Önk.összesen!F122+'Ovi összesen'!F116+'Hivatal összesen'!F116</f>
        <v>9244877</v>
      </c>
      <c r="G121" s="15">
        <f>Önk.összesen!G122+'Ovi összesen'!G116+'Hivatal összesen'!G116</f>
        <v>9244877</v>
      </c>
      <c r="H121" s="124">
        <f t="shared" si="1"/>
        <v>1</v>
      </c>
    </row>
    <row r="122" spans="1:8" ht="25.5">
      <c r="A122" s="13" t="s">
        <v>125</v>
      </c>
      <c r="B122" s="14" t="s">
        <v>126</v>
      </c>
      <c r="C122" s="15">
        <f>Önk.összesen!C123+'Ovi összesen'!C117+'Hivatal összesen'!C117</f>
        <v>695988</v>
      </c>
      <c r="D122" s="15">
        <f>Önk.összesen!D123+'Ovi összesen'!D117+'Hivatal összesen'!D117</f>
        <v>695000</v>
      </c>
      <c r="E122" s="15">
        <f>Önk.összesen!E123+'Ovi összesen'!E117+'Hivatal összesen'!E117</f>
        <v>0</v>
      </c>
      <c r="F122" s="15">
        <f>Önk.összesen!F123+'Ovi összesen'!F117+'Hivatal összesen'!F117</f>
        <v>695000</v>
      </c>
      <c r="G122" s="15">
        <f>Önk.összesen!G123+'Ovi összesen'!G117+'Hivatal összesen'!G117</f>
        <v>347544</v>
      </c>
      <c r="H122" s="124">
        <f t="shared" si="1"/>
        <v>0.50006330935251797</v>
      </c>
    </row>
    <row r="123" spans="1:8" ht="25.5">
      <c r="A123" s="13" t="s">
        <v>127</v>
      </c>
      <c r="B123" s="14" t="s">
        <v>128</v>
      </c>
      <c r="C123" s="15">
        <f>Önk.összesen!C124+'Ovi összesen'!C118+'Hivatal összesen'!C118</f>
        <v>695988</v>
      </c>
      <c r="D123" s="15">
        <f>Önk.összesen!D124+'Ovi összesen'!D118+'Hivatal összesen'!D118</f>
        <v>695000</v>
      </c>
      <c r="E123" s="15">
        <f>Önk.összesen!E124+'Ovi összesen'!E118+'Hivatal összesen'!E118</f>
        <v>0</v>
      </c>
      <c r="F123" s="15">
        <f>Önk.összesen!F124+'Ovi összesen'!F118+'Hivatal összesen'!F118</f>
        <v>695000</v>
      </c>
      <c r="G123" s="15">
        <f>Önk.összesen!G124+'Ovi összesen'!G118+'Hivatal összesen'!G118</f>
        <v>347544</v>
      </c>
      <c r="H123" s="124">
        <f t="shared" si="1"/>
        <v>0.50006330935251797</v>
      </c>
    </row>
    <row r="124" spans="1:8" ht="25.5">
      <c r="A124" s="13" t="s">
        <v>129</v>
      </c>
      <c r="B124" s="14" t="s">
        <v>130</v>
      </c>
      <c r="C124" s="15">
        <f>Önk.összesen!C125+'Ovi összesen'!C119+'Hivatal összesen'!C119</f>
        <v>524103</v>
      </c>
      <c r="D124" s="15">
        <f>Önk.összesen!D125+'Ovi összesen'!D119+'Hivatal összesen'!D119</f>
        <v>495000</v>
      </c>
      <c r="E124" s="15">
        <f>Önk.összesen!E125+'Ovi összesen'!E119+'Hivatal összesen'!E119</f>
        <v>2000000</v>
      </c>
      <c r="F124" s="15">
        <f>Önk.összesen!F125+'Ovi összesen'!F119+'Hivatal összesen'!F119</f>
        <v>2495000</v>
      </c>
      <c r="G124" s="15">
        <f>Önk.összesen!G125+'Ovi összesen'!G119+'Hivatal összesen'!G119</f>
        <v>2305635</v>
      </c>
      <c r="H124" s="124">
        <f t="shared" si="1"/>
        <v>0.92410220440881763</v>
      </c>
    </row>
    <row r="125" spans="1:8">
      <c r="A125" s="13" t="s">
        <v>131</v>
      </c>
      <c r="B125" s="14" t="s">
        <v>132</v>
      </c>
      <c r="C125" s="15">
        <f>Önk.összesen!C126+'Ovi összesen'!C120+'Hivatal összesen'!C120</f>
        <v>383784</v>
      </c>
      <c r="D125" s="15">
        <f>Önk.összesen!D126+'Ovi összesen'!D120+'Hivatal összesen'!D120</f>
        <v>0</v>
      </c>
      <c r="E125" s="15">
        <f>Önk.összesen!E126+'Ovi összesen'!E120+'Hivatal összesen'!E120</f>
        <v>2297040</v>
      </c>
      <c r="F125" s="15">
        <f>Önk.összesen!F126+'Ovi összesen'!F120+'Hivatal összesen'!F120</f>
        <v>2297040</v>
      </c>
      <c r="G125" s="15">
        <f>Önk.összesen!G126+'Ovi összesen'!G120+'Hivatal összesen'!G120</f>
        <v>2151675</v>
      </c>
      <c r="H125" s="124">
        <f t="shared" si="1"/>
        <v>0.93671638282311154</v>
      </c>
    </row>
    <row r="126" spans="1:8">
      <c r="A126" s="13" t="s">
        <v>133</v>
      </c>
      <c r="B126" s="14" t="s">
        <v>134</v>
      </c>
      <c r="C126" s="15">
        <f>Önk.összesen!C127+'Ovi összesen'!C121+'Hivatal összesen'!C121</f>
        <v>5619</v>
      </c>
      <c r="D126" s="15">
        <f>Önk.összesen!D127+'Ovi összesen'!D121+'Hivatal összesen'!D121</f>
        <v>10000</v>
      </c>
      <c r="E126" s="15">
        <f>Önk.összesen!E127+'Ovi összesen'!E121+'Hivatal összesen'!E121</f>
        <v>-10000</v>
      </c>
      <c r="F126" s="15">
        <f>Önk.összesen!F127+'Ovi összesen'!F121+'Hivatal összesen'!F121</f>
        <v>0</v>
      </c>
      <c r="G126" s="15">
        <f>Önk.összesen!G127+'Ovi összesen'!G121+'Hivatal összesen'!G121</f>
        <v>0</v>
      </c>
      <c r="H126" s="124" t="e">
        <f t="shared" si="1"/>
        <v>#DIV/0!</v>
      </c>
    </row>
    <row r="127" spans="1:8">
      <c r="A127" s="13" t="s">
        <v>135</v>
      </c>
      <c r="B127" s="14" t="s">
        <v>136</v>
      </c>
      <c r="C127" s="15">
        <f>Önk.összesen!C128+'Ovi összesen'!C122+'Hivatal összesen'!C122</f>
        <v>134700</v>
      </c>
      <c r="D127" s="15">
        <f>Önk.összesen!D128+'Ovi összesen'!D122+'Hivatal összesen'!D122</f>
        <v>485000</v>
      </c>
      <c r="E127" s="15">
        <f>Önk.összesen!E128+'Ovi összesen'!E122+'Hivatal összesen'!E122</f>
        <v>-287040</v>
      </c>
      <c r="F127" s="15">
        <f>Önk.összesen!F128+'Ovi összesen'!F122+'Hivatal összesen'!F122</f>
        <v>197960</v>
      </c>
      <c r="G127" s="15">
        <f>Önk.összesen!G128+'Ovi összesen'!G122+'Hivatal összesen'!G122</f>
        <v>153960</v>
      </c>
      <c r="H127" s="124">
        <f t="shared" si="1"/>
        <v>0.77773287532834912</v>
      </c>
    </row>
    <row r="128" spans="1:8">
      <c r="A128" s="13">
        <v>188</v>
      </c>
      <c r="B128" s="14" t="s">
        <v>275</v>
      </c>
      <c r="C128" s="15">
        <f>Önk.összesen!C129+'Ovi összesen'!C123+'Hivatal összesen'!C123</f>
        <v>0</v>
      </c>
      <c r="D128" s="15">
        <f>Önk.összesen!D129+'Ovi összesen'!D123+'Hivatal összesen'!D123</f>
        <v>13135554</v>
      </c>
      <c r="E128" s="15">
        <f>Önk.összesen!E129+'Ovi összesen'!E123+'Hivatal összesen'!E123</f>
        <v>-4902369</v>
      </c>
      <c r="F128" s="15">
        <f>Önk.összesen!F129+'Ovi összesen'!F123+'Hivatal összesen'!F123</f>
        <v>8233185</v>
      </c>
      <c r="G128" s="15">
        <f>Önk.összesen!G129+'Ovi összesen'!G123+'Hivatal összesen'!G123</f>
        <v>0</v>
      </c>
      <c r="H128" s="124"/>
    </row>
    <row r="129" spans="1:8" ht="38.25">
      <c r="A129" s="16" t="s">
        <v>137</v>
      </c>
      <c r="B129" s="17" t="s">
        <v>138</v>
      </c>
      <c r="C129" s="15">
        <f>Önk.összesen!C130+'Ovi összesen'!C124+'Hivatal összesen'!C124</f>
        <v>6577576</v>
      </c>
      <c r="D129" s="15">
        <f>Önk.összesen!D130+'Ovi összesen'!D124+'Hivatal összesen'!D124</f>
        <v>14325554</v>
      </c>
      <c r="E129" s="15">
        <f>Önk.összesen!E130+'Ovi összesen'!E124+'Hivatal összesen'!E124</f>
        <v>6342508</v>
      </c>
      <c r="F129" s="15">
        <f>Önk.összesen!F130+'Ovi összesen'!F124+'Hivatal összesen'!F124</f>
        <v>20668062</v>
      </c>
      <c r="G129" s="15">
        <f>Önk.összesen!G130+'Ovi összesen'!G124+'Hivatal összesen'!G124</f>
        <v>11898056</v>
      </c>
      <c r="H129" s="125">
        <f t="shared" si="1"/>
        <v>0.57567351984912762</v>
      </c>
    </row>
    <row r="130" spans="1:8" s="128" customFormat="1">
      <c r="A130" s="20">
        <v>192</v>
      </c>
      <c r="B130" s="19" t="s">
        <v>466</v>
      </c>
      <c r="C130" s="15">
        <f>Önk.összesen!C131</f>
        <v>0</v>
      </c>
      <c r="D130" s="15">
        <f>Önk.összesen!D131</f>
        <v>3432000</v>
      </c>
      <c r="E130" s="15">
        <f>Önk.összesen!E131</f>
        <v>-200000</v>
      </c>
      <c r="F130" s="15">
        <f>Önk.összesen!F131</f>
        <v>3232000</v>
      </c>
      <c r="G130" s="15">
        <f>Önk.összesen!G131</f>
        <v>0</v>
      </c>
      <c r="H130" s="124">
        <f t="shared" si="1"/>
        <v>0</v>
      </c>
    </row>
    <row r="131" spans="1:8">
      <c r="A131" s="13" t="s">
        <v>139</v>
      </c>
      <c r="B131" s="14" t="s">
        <v>140</v>
      </c>
      <c r="C131" s="15">
        <f>Önk.összesen!C132+'Ovi összesen'!C125+'Hivatal összesen'!C125</f>
        <v>1385580</v>
      </c>
      <c r="D131" s="15">
        <f>Önk.összesen!D132+'Ovi összesen'!D125+'Hivatal összesen'!D125</f>
        <v>2000000</v>
      </c>
      <c r="E131" s="15">
        <f>Önk.összesen!E132+'Ovi összesen'!E125+'Hivatal összesen'!E125</f>
        <v>0</v>
      </c>
      <c r="F131" s="15">
        <f>Önk.összesen!F132+'Ovi összesen'!F125+'Hivatal összesen'!F125</f>
        <v>2000000</v>
      </c>
      <c r="G131" s="15">
        <f>Önk.összesen!G132+'Ovi összesen'!G125+'Hivatal összesen'!G125</f>
        <v>0</v>
      </c>
      <c r="H131" s="124">
        <f t="shared" si="1"/>
        <v>0</v>
      </c>
    </row>
    <row r="132" spans="1:8" ht="25.5">
      <c r="A132" s="13" t="s">
        <v>141</v>
      </c>
      <c r="B132" s="14" t="s">
        <v>142</v>
      </c>
      <c r="C132" s="15">
        <f>Önk.összesen!C133+'Ovi összesen'!C126+'Hivatal összesen'!C126</f>
        <v>146472</v>
      </c>
      <c r="D132" s="15">
        <f>Önk.összesen!D133+'Ovi összesen'!D126+'Hivatal összesen'!D126</f>
        <v>0</v>
      </c>
      <c r="E132" s="15">
        <f>Önk.összesen!E133+'Ovi összesen'!E126+'Hivatal összesen'!E126</f>
        <v>2170081</v>
      </c>
      <c r="F132" s="15">
        <f>Önk.összesen!F133+'Ovi összesen'!F126+'Hivatal összesen'!F126</f>
        <v>2170081</v>
      </c>
      <c r="G132" s="15">
        <f>Önk.összesen!G133+'Ovi összesen'!G126+'Hivatal összesen'!G126</f>
        <v>2170081</v>
      </c>
      <c r="H132" s="124">
        <f t="shared" si="1"/>
        <v>1</v>
      </c>
    </row>
    <row r="133" spans="1:8" ht="25.5">
      <c r="A133" s="13" t="s">
        <v>143</v>
      </c>
      <c r="B133" s="14" t="s">
        <v>144</v>
      </c>
      <c r="C133" s="15">
        <f>Önk.összesen!C134+'Ovi összesen'!C127+'Hivatal összesen'!C127</f>
        <v>10349925</v>
      </c>
      <c r="D133" s="15">
        <f>Önk.összesen!D134+'Ovi összesen'!D127+'Hivatal összesen'!D127</f>
        <v>7000000</v>
      </c>
      <c r="E133" s="15">
        <f>Önk.összesen!E134+'Ovi összesen'!E127+'Hivatal összesen'!E127</f>
        <v>-1941743</v>
      </c>
      <c r="F133" s="15">
        <f>Önk.összesen!F134+'Ovi összesen'!F127+'Hivatal összesen'!F127</f>
        <v>5058257</v>
      </c>
      <c r="G133" s="15">
        <f>Önk.összesen!G134+'Ovi összesen'!G127+'Hivatal összesen'!G127</f>
        <v>411134</v>
      </c>
      <c r="H133" s="124">
        <f t="shared" si="1"/>
        <v>8.127977680849352E-2</v>
      </c>
    </row>
    <row r="134" spans="1:8" ht="25.5">
      <c r="A134" s="13" t="s">
        <v>145</v>
      </c>
      <c r="B134" s="14" t="s">
        <v>146</v>
      </c>
      <c r="C134" s="15">
        <f>Önk.összesen!C135+'Ovi összesen'!C128+'Hivatal összesen'!C128</f>
        <v>2834027</v>
      </c>
      <c r="D134" s="15">
        <f>Önk.összesen!D135+'Ovi összesen'!D128+'Hivatal összesen'!D128</f>
        <v>3086000</v>
      </c>
      <c r="E134" s="15">
        <f>Önk.összesen!E135+'Ovi összesen'!E128+'Hivatal összesen'!E128</f>
        <v>61652</v>
      </c>
      <c r="F134" s="15">
        <f>Önk.összesen!F135+'Ovi összesen'!F128+'Hivatal összesen'!F128</f>
        <v>3147652</v>
      </c>
      <c r="G134" s="15">
        <f>Önk.összesen!G135+'Ovi összesen'!G128+'Hivatal összesen'!G128</f>
        <v>696925</v>
      </c>
      <c r="H134" s="124">
        <f t="shared" si="1"/>
        <v>0.22141107085535505</v>
      </c>
    </row>
    <row r="135" spans="1:8">
      <c r="A135" s="16" t="s">
        <v>147</v>
      </c>
      <c r="B135" s="17" t="s">
        <v>148</v>
      </c>
      <c r="C135" s="119">
        <f>Önk.összesen!C136+'Ovi összesen'!C129+'Hivatal összesen'!C129</f>
        <v>14716004</v>
      </c>
      <c r="D135" s="119">
        <f>Önk.összesen!D136+'Ovi összesen'!D129+'Hivatal összesen'!D129</f>
        <v>15518000</v>
      </c>
      <c r="E135" s="119">
        <f>Önk.összesen!E136+'Ovi összesen'!E129+'Hivatal összesen'!E129</f>
        <v>89990</v>
      </c>
      <c r="F135" s="119">
        <f>Önk.összesen!F136+'Ovi összesen'!F129+'Hivatal összesen'!F129</f>
        <v>15607990</v>
      </c>
      <c r="G135" s="119">
        <f>Önk.összesen!G136+'Ovi összesen'!G129+'Hivatal összesen'!G129</f>
        <v>3278140</v>
      </c>
      <c r="H135" s="125">
        <f t="shared" si="1"/>
        <v>0.21002960663096273</v>
      </c>
    </row>
    <row r="136" spans="1:8">
      <c r="A136" s="13" t="s">
        <v>149</v>
      </c>
      <c r="B136" s="14" t="s">
        <v>150</v>
      </c>
      <c r="C136" s="15">
        <f>Önk.összesen!C137+'Ovi összesen'!C130+'Hivatal összesen'!C130</f>
        <v>44953053</v>
      </c>
      <c r="D136" s="15">
        <f>Önk.összesen!D137+'Ovi összesen'!D130+'Hivatal összesen'!D130</f>
        <v>179388000</v>
      </c>
      <c r="E136" s="15">
        <f>Önk.összesen!E137+'Ovi összesen'!E130+'Hivatal összesen'!E130</f>
        <v>-157329265</v>
      </c>
      <c r="F136" s="15">
        <f>Önk.összesen!F137+'Ovi összesen'!F130+'Hivatal összesen'!F130</f>
        <v>22058735</v>
      </c>
      <c r="G136" s="15">
        <f>Önk.összesen!G137+'Ovi összesen'!G130+'Hivatal összesen'!G130</f>
        <v>151050</v>
      </c>
      <c r="H136" s="124">
        <f t="shared" si="1"/>
        <v>6.8476274818116273E-3</v>
      </c>
    </row>
    <row r="137" spans="1:8">
      <c r="A137" s="13" t="s">
        <v>151</v>
      </c>
      <c r="B137" s="14" t="s">
        <v>152</v>
      </c>
      <c r="C137" s="15">
        <f>Önk.összesen!C138+'Ovi összesen'!C131+'Hivatal összesen'!C131</f>
        <v>31000</v>
      </c>
      <c r="D137" s="15">
        <f>Önk.összesen!D138+'Ovi összesen'!D131+'Hivatal összesen'!D131</f>
        <v>0</v>
      </c>
      <c r="E137" s="15">
        <f>Önk.összesen!E138+'Ovi összesen'!E131+'Hivatal összesen'!E131</f>
        <v>0</v>
      </c>
      <c r="F137" s="15">
        <f>Önk.összesen!F138+'Ovi összesen'!F131+'Hivatal összesen'!F131</f>
        <v>0</v>
      </c>
      <c r="G137" s="15">
        <f>Önk.összesen!G138+'Ovi összesen'!G131+'Hivatal összesen'!G131</f>
        <v>0</v>
      </c>
      <c r="H137" s="124" t="e">
        <f t="shared" si="1"/>
        <v>#DIV/0!</v>
      </c>
    </row>
    <row r="138" spans="1:8" ht="25.5">
      <c r="A138" s="13" t="s">
        <v>153</v>
      </c>
      <c r="B138" s="14" t="s">
        <v>154</v>
      </c>
      <c r="C138" s="15">
        <f>Önk.összesen!C139+'Ovi összesen'!C132+'Hivatal összesen'!C132</f>
        <v>11203882</v>
      </c>
      <c r="D138" s="15">
        <f>Önk.összesen!D139+'Ovi összesen'!D132+'Hivatal összesen'!D132</f>
        <v>48435000</v>
      </c>
      <c r="E138" s="15">
        <f>Önk.összesen!E139+'Ovi összesen'!E132+'Hivatal összesen'!E132</f>
        <v>-42478902</v>
      </c>
      <c r="F138" s="15">
        <f>Önk.összesen!F139+'Ovi összesen'!F132+'Hivatal összesen'!F132</f>
        <v>5956098</v>
      </c>
      <c r="G138" s="15">
        <f>Önk.összesen!G139+'Ovi összesen'!G132+'Hivatal összesen'!G132</f>
        <v>40783</v>
      </c>
      <c r="H138" s="124">
        <f t="shared" si="1"/>
        <v>6.8472681275559936E-3</v>
      </c>
    </row>
    <row r="139" spans="1:8">
      <c r="A139" s="16" t="s">
        <v>155</v>
      </c>
      <c r="B139" s="17" t="s">
        <v>156</v>
      </c>
      <c r="C139" s="119">
        <f>Önk.összesen!C140+'Ovi összesen'!C133+'Hivatal összesen'!C133</f>
        <v>56187935</v>
      </c>
      <c r="D139" s="119">
        <f>Önk.összesen!D140+'Ovi összesen'!D133+'Hivatal összesen'!D133</f>
        <v>227823000</v>
      </c>
      <c r="E139" s="119">
        <f>Önk.összesen!E140+'Ovi összesen'!E133+'Hivatal összesen'!E133</f>
        <v>-199808167</v>
      </c>
      <c r="F139" s="119">
        <f>Önk.összesen!F140+'Ovi összesen'!F133+'Hivatal összesen'!F133</f>
        <v>28014833</v>
      </c>
      <c r="G139" s="119">
        <f>Önk.összesen!G140+'Ovi összesen'!G133+'Hivatal összesen'!G133</f>
        <v>191833</v>
      </c>
      <c r="H139" s="125">
        <f t="shared" si="1"/>
        <v>6.8475510812432824E-3</v>
      </c>
    </row>
    <row r="140" spans="1:8" ht="25.5">
      <c r="A140" s="16" t="s">
        <v>157</v>
      </c>
      <c r="B140" s="17" t="s">
        <v>158</v>
      </c>
      <c r="C140" s="15">
        <f>Önk.összesen!C141+'Ovi összesen'!C134+'Hivatal összesen'!C134</f>
        <v>330834860</v>
      </c>
      <c r="D140" s="15">
        <f>Önk.összesen!D141+'Ovi összesen'!D134+'Hivatal összesen'!D134</f>
        <v>491448554</v>
      </c>
      <c r="E140" s="15">
        <f>Önk.összesen!E141+'Ovi összesen'!E134+'Hivatal összesen'!E134</f>
        <v>-148665663</v>
      </c>
      <c r="F140" s="15">
        <f>Önk.összesen!F141+'Ovi összesen'!F134+'Hivatal összesen'!F134</f>
        <v>342782891</v>
      </c>
      <c r="G140" s="15">
        <f>Önk.összesen!G141+'Ovi összesen'!G134+'Hivatal összesen'!G134</f>
        <v>131138041</v>
      </c>
      <c r="H140" s="125">
        <f t="shared" si="1"/>
        <v>0.38256880504575708</v>
      </c>
    </row>
    <row r="141" spans="1:8" s="137" customFormat="1" ht="25.5">
      <c r="A141" s="20">
        <v>288</v>
      </c>
      <c r="B141" s="19" t="s">
        <v>463</v>
      </c>
      <c r="C141" s="15">
        <f>Önk.összesen!C142</f>
        <v>0</v>
      </c>
      <c r="D141" s="15">
        <f>Önk.összesen!D142</f>
        <v>0</v>
      </c>
      <c r="E141" s="15">
        <f>Önk.összesen!E142</f>
        <v>399820000</v>
      </c>
      <c r="F141" s="15">
        <f>Önk.összesen!F142</f>
        <v>399820000</v>
      </c>
      <c r="G141" s="15">
        <f>Önk.összesen!G142</f>
        <v>399820000</v>
      </c>
      <c r="H141" s="124">
        <f t="shared" si="1"/>
        <v>1</v>
      </c>
    </row>
    <row r="142" spans="1:8" ht="25.5">
      <c r="A142" s="13" t="s">
        <v>159</v>
      </c>
      <c r="B142" s="14" t="s">
        <v>160</v>
      </c>
      <c r="C142" s="15">
        <f>Önk.összesen!C143+'Ovi összesen'!C135+'Hivatal összesen'!C135</f>
        <v>18524967</v>
      </c>
      <c r="D142" s="15">
        <f>Önk.összesen!D143+'Ovi összesen'!D135+'Hivatal összesen'!D135</f>
        <v>6005000</v>
      </c>
      <c r="E142" s="15">
        <f>Önk.összesen!E143+'Ovi összesen'!E135+'Hivatal összesen'!E135</f>
        <v>909193</v>
      </c>
      <c r="F142" s="15">
        <f>Önk.összesen!F143+'Ovi összesen'!F135+'Hivatal összesen'!F135</f>
        <v>6914193</v>
      </c>
      <c r="G142" s="15">
        <f>Önk.összesen!G143+'Ovi összesen'!G135+'Hivatal összesen'!G135</f>
        <v>6914193</v>
      </c>
      <c r="H142" s="124">
        <f t="shared" si="1"/>
        <v>1</v>
      </c>
    </row>
    <row r="143" spans="1:8" ht="25.5">
      <c r="A143" s="13" t="s">
        <v>161</v>
      </c>
      <c r="B143" s="14" t="s">
        <v>162</v>
      </c>
      <c r="C143" s="15">
        <f>Önk.összesen!C144+'Ovi összesen'!C136+'Hivatal összesen'!C136</f>
        <v>96497818</v>
      </c>
      <c r="D143" s="15">
        <f>Önk.összesen!D144+'Ovi összesen'!D136+'Hivatal összesen'!D136</f>
        <v>100325000</v>
      </c>
      <c r="E143" s="15">
        <f>Önk.összesen!E144+'Ovi összesen'!E136+'Hivatal összesen'!E136</f>
        <v>0</v>
      </c>
      <c r="F143" s="15">
        <f>Önk.összesen!F144+'Ovi összesen'!F136+'Hivatal összesen'!F136</f>
        <v>100325000</v>
      </c>
      <c r="G143" s="15">
        <f>Önk.összesen!G144+'Ovi összesen'!G136+'Hivatal összesen'!G136</f>
        <v>49869365</v>
      </c>
      <c r="H143" s="124">
        <f t="shared" si="1"/>
        <v>0.49707814602541739</v>
      </c>
    </row>
    <row r="144" spans="1:8" ht="25.5">
      <c r="A144" s="13" t="s">
        <v>163</v>
      </c>
      <c r="B144" s="14" t="s">
        <v>164</v>
      </c>
      <c r="C144" s="15">
        <f>Önk.összesen!C145+'Ovi összesen'!C137+'Hivatal összesen'!C137</f>
        <v>115022785</v>
      </c>
      <c r="D144" s="15">
        <f>Önk.összesen!D145+'Ovi összesen'!D137+'Hivatal összesen'!D137</f>
        <v>106330000</v>
      </c>
      <c r="E144" s="15">
        <f>Önk.összesen!E145+'Ovi összesen'!E137+'Hivatal összesen'!E137</f>
        <v>400729193</v>
      </c>
      <c r="F144" s="15">
        <f>Önk.összesen!F145+'Ovi összesen'!F137+'Hivatal összesen'!F137</f>
        <v>507059193</v>
      </c>
      <c r="G144" s="15">
        <f>Önk.összesen!G145+'Ovi összesen'!G137+'Hivatal összesen'!G137</f>
        <v>456603558</v>
      </c>
      <c r="H144" s="124">
        <f t="shared" si="1"/>
        <v>0.90049359976794663</v>
      </c>
    </row>
    <row r="145" spans="1:8" ht="25.5">
      <c r="A145" s="16" t="s">
        <v>165</v>
      </c>
      <c r="B145" s="17" t="s">
        <v>166</v>
      </c>
      <c r="C145" s="15">
        <f>Önk.összesen!C146+'Ovi összesen'!C138+'Hivatal összesen'!C138</f>
        <v>115022785</v>
      </c>
      <c r="D145" s="15">
        <f>Önk.összesen!D146+'Ovi összesen'!D138+'Hivatal összesen'!D138</f>
        <v>106330000</v>
      </c>
      <c r="E145" s="15">
        <f>Önk.összesen!E146+'Ovi összesen'!E138+'Hivatal összesen'!E138</f>
        <v>400729193</v>
      </c>
      <c r="F145" s="15">
        <f>Önk.összesen!F146+'Ovi összesen'!F138+'Hivatal összesen'!F138</f>
        <v>507059193</v>
      </c>
      <c r="G145" s="15">
        <f>Önk.összesen!G146+'Ovi összesen'!G138+'Hivatal összesen'!G138</f>
        <v>456603558</v>
      </c>
      <c r="H145" s="125">
        <f t="shared" si="1"/>
        <v>0.90049359976794663</v>
      </c>
    </row>
    <row r="146" spans="1:8">
      <c r="A146" s="16" t="s">
        <v>167</v>
      </c>
      <c r="B146" s="17" t="s">
        <v>168</v>
      </c>
      <c r="C146" s="15">
        <f>Önk.összesen!C147+'Ovi összesen'!C139+'Hivatal összesen'!C139</f>
        <v>445857645</v>
      </c>
      <c r="D146" s="15">
        <f>Önk.összesen!D147+'Ovi összesen'!D139+'Hivatal összesen'!D139</f>
        <v>597778554</v>
      </c>
      <c r="E146" s="15">
        <f>Önk.összesen!E147+'Ovi összesen'!E139+'Hivatal összesen'!E139</f>
        <v>252063530</v>
      </c>
      <c r="F146" s="15">
        <f>Önk.összesen!F147+'Ovi összesen'!F139+'Hivatal összesen'!F139</f>
        <v>849842084</v>
      </c>
      <c r="G146" s="15">
        <f>Önk.összesen!G147+'Ovi összesen'!G139+'Hivatal összesen'!G139</f>
        <v>587741599</v>
      </c>
      <c r="H146" s="125">
        <f t="shared" si="1"/>
        <v>0.69158919058661261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J34"/>
  <sheetViews>
    <sheetView view="pageBreakPreview" topLeftCell="A13" zoomScaleNormal="100" zoomScaleSheetLayoutView="100" workbookViewId="0">
      <selection activeCell="M17" sqref="M17"/>
    </sheetView>
  </sheetViews>
  <sheetFormatPr defaultRowHeight="15"/>
  <cols>
    <col min="1" max="1" width="4.5546875" style="22" customWidth="1"/>
    <col min="2" max="2" width="32" style="25" customWidth="1"/>
    <col min="3" max="5" width="10.33203125" style="22" customWidth="1"/>
    <col min="6" max="6" width="36.77734375" style="22" customWidth="1"/>
    <col min="7" max="9" width="10.33203125" style="22" customWidth="1"/>
    <col min="10" max="10" width="3.21875" style="22" customWidth="1"/>
    <col min="11" max="256" width="8.88671875" style="22"/>
    <col min="257" max="257" width="4.5546875" style="22" customWidth="1"/>
    <col min="258" max="258" width="32" style="22" customWidth="1"/>
    <col min="259" max="261" width="10.33203125" style="22" customWidth="1"/>
    <col min="262" max="262" width="36.77734375" style="22" customWidth="1"/>
    <col min="263" max="265" width="10.33203125" style="22" customWidth="1"/>
    <col min="266" max="266" width="3.21875" style="22" customWidth="1"/>
    <col min="267" max="512" width="8.88671875" style="22"/>
    <col min="513" max="513" width="4.5546875" style="22" customWidth="1"/>
    <col min="514" max="514" width="32" style="22" customWidth="1"/>
    <col min="515" max="517" width="10.33203125" style="22" customWidth="1"/>
    <col min="518" max="518" width="36.77734375" style="22" customWidth="1"/>
    <col min="519" max="521" width="10.33203125" style="22" customWidth="1"/>
    <col min="522" max="522" width="3.21875" style="22" customWidth="1"/>
    <col min="523" max="768" width="8.88671875" style="22"/>
    <col min="769" max="769" width="4.5546875" style="22" customWidth="1"/>
    <col min="770" max="770" width="32" style="22" customWidth="1"/>
    <col min="771" max="773" width="10.33203125" style="22" customWidth="1"/>
    <col min="774" max="774" width="36.77734375" style="22" customWidth="1"/>
    <col min="775" max="777" width="10.33203125" style="22" customWidth="1"/>
    <col min="778" max="778" width="3.21875" style="22" customWidth="1"/>
    <col min="779" max="1024" width="8.88671875" style="22"/>
    <col min="1025" max="1025" width="4.5546875" style="22" customWidth="1"/>
    <col min="1026" max="1026" width="32" style="22" customWidth="1"/>
    <col min="1027" max="1029" width="10.33203125" style="22" customWidth="1"/>
    <col min="1030" max="1030" width="36.77734375" style="22" customWidth="1"/>
    <col min="1031" max="1033" width="10.33203125" style="22" customWidth="1"/>
    <col min="1034" max="1034" width="3.21875" style="22" customWidth="1"/>
    <col min="1035" max="1280" width="8.88671875" style="22"/>
    <col min="1281" max="1281" width="4.5546875" style="22" customWidth="1"/>
    <col min="1282" max="1282" width="32" style="22" customWidth="1"/>
    <col min="1283" max="1285" width="10.33203125" style="22" customWidth="1"/>
    <col min="1286" max="1286" width="36.77734375" style="22" customWidth="1"/>
    <col min="1287" max="1289" width="10.33203125" style="22" customWidth="1"/>
    <col min="1290" max="1290" width="3.21875" style="22" customWidth="1"/>
    <col min="1291" max="1536" width="8.88671875" style="22"/>
    <col min="1537" max="1537" width="4.5546875" style="22" customWidth="1"/>
    <col min="1538" max="1538" width="32" style="22" customWidth="1"/>
    <col min="1539" max="1541" width="10.33203125" style="22" customWidth="1"/>
    <col min="1542" max="1542" width="36.77734375" style="22" customWidth="1"/>
    <col min="1543" max="1545" width="10.33203125" style="22" customWidth="1"/>
    <col min="1546" max="1546" width="3.21875" style="22" customWidth="1"/>
    <col min="1547" max="1792" width="8.88671875" style="22"/>
    <col min="1793" max="1793" width="4.5546875" style="22" customWidth="1"/>
    <col min="1794" max="1794" width="32" style="22" customWidth="1"/>
    <col min="1795" max="1797" width="10.33203125" style="22" customWidth="1"/>
    <col min="1798" max="1798" width="36.77734375" style="22" customWidth="1"/>
    <col min="1799" max="1801" width="10.33203125" style="22" customWidth="1"/>
    <col min="1802" max="1802" width="3.21875" style="22" customWidth="1"/>
    <col min="1803" max="2048" width="8.88671875" style="22"/>
    <col min="2049" max="2049" width="4.5546875" style="22" customWidth="1"/>
    <col min="2050" max="2050" width="32" style="22" customWidth="1"/>
    <col min="2051" max="2053" width="10.33203125" style="22" customWidth="1"/>
    <col min="2054" max="2054" width="36.77734375" style="22" customWidth="1"/>
    <col min="2055" max="2057" width="10.33203125" style="22" customWidth="1"/>
    <col min="2058" max="2058" width="3.21875" style="22" customWidth="1"/>
    <col min="2059" max="2304" width="8.88671875" style="22"/>
    <col min="2305" max="2305" width="4.5546875" style="22" customWidth="1"/>
    <col min="2306" max="2306" width="32" style="22" customWidth="1"/>
    <col min="2307" max="2309" width="10.33203125" style="22" customWidth="1"/>
    <col min="2310" max="2310" width="36.77734375" style="22" customWidth="1"/>
    <col min="2311" max="2313" width="10.33203125" style="22" customWidth="1"/>
    <col min="2314" max="2314" width="3.21875" style="22" customWidth="1"/>
    <col min="2315" max="2560" width="8.88671875" style="22"/>
    <col min="2561" max="2561" width="4.5546875" style="22" customWidth="1"/>
    <col min="2562" max="2562" width="32" style="22" customWidth="1"/>
    <col min="2563" max="2565" width="10.33203125" style="22" customWidth="1"/>
    <col min="2566" max="2566" width="36.77734375" style="22" customWidth="1"/>
    <col min="2567" max="2569" width="10.33203125" style="22" customWidth="1"/>
    <col min="2570" max="2570" width="3.21875" style="22" customWidth="1"/>
    <col min="2571" max="2816" width="8.88671875" style="22"/>
    <col min="2817" max="2817" width="4.5546875" style="22" customWidth="1"/>
    <col min="2818" max="2818" width="32" style="22" customWidth="1"/>
    <col min="2819" max="2821" width="10.33203125" style="22" customWidth="1"/>
    <col min="2822" max="2822" width="36.77734375" style="22" customWidth="1"/>
    <col min="2823" max="2825" width="10.33203125" style="22" customWidth="1"/>
    <col min="2826" max="2826" width="3.21875" style="22" customWidth="1"/>
    <col min="2827" max="3072" width="8.88671875" style="22"/>
    <col min="3073" max="3073" width="4.5546875" style="22" customWidth="1"/>
    <col min="3074" max="3074" width="32" style="22" customWidth="1"/>
    <col min="3075" max="3077" width="10.33203125" style="22" customWidth="1"/>
    <col min="3078" max="3078" width="36.77734375" style="22" customWidth="1"/>
    <col min="3079" max="3081" width="10.33203125" style="22" customWidth="1"/>
    <col min="3082" max="3082" width="3.21875" style="22" customWidth="1"/>
    <col min="3083" max="3328" width="8.88671875" style="22"/>
    <col min="3329" max="3329" width="4.5546875" style="22" customWidth="1"/>
    <col min="3330" max="3330" width="32" style="22" customWidth="1"/>
    <col min="3331" max="3333" width="10.33203125" style="22" customWidth="1"/>
    <col min="3334" max="3334" width="36.77734375" style="22" customWidth="1"/>
    <col min="3335" max="3337" width="10.33203125" style="22" customWidth="1"/>
    <col min="3338" max="3338" width="3.21875" style="22" customWidth="1"/>
    <col min="3339" max="3584" width="8.88671875" style="22"/>
    <col min="3585" max="3585" width="4.5546875" style="22" customWidth="1"/>
    <col min="3586" max="3586" width="32" style="22" customWidth="1"/>
    <col min="3587" max="3589" width="10.33203125" style="22" customWidth="1"/>
    <col min="3590" max="3590" width="36.77734375" style="22" customWidth="1"/>
    <col min="3591" max="3593" width="10.33203125" style="22" customWidth="1"/>
    <col min="3594" max="3594" width="3.21875" style="22" customWidth="1"/>
    <col min="3595" max="3840" width="8.88671875" style="22"/>
    <col min="3841" max="3841" width="4.5546875" style="22" customWidth="1"/>
    <col min="3842" max="3842" width="32" style="22" customWidth="1"/>
    <col min="3843" max="3845" width="10.33203125" style="22" customWidth="1"/>
    <col min="3846" max="3846" width="36.77734375" style="22" customWidth="1"/>
    <col min="3847" max="3849" width="10.33203125" style="22" customWidth="1"/>
    <col min="3850" max="3850" width="3.21875" style="22" customWidth="1"/>
    <col min="3851" max="4096" width="8.88671875" style="22"/>
    <col min="4097" max="4097" width="4.5546875" style="22" customWidth="1"/>
    <col min="4098" max="4098" width="32" style="22" customWidth="1"/>
    <col min="4099" max="4101" width="10.33203125" style="22" customWidth="1"/>
    <col min="4102" max="4102" width="36.77734375" style="22" customWidth="1"/>
    <col min="4103" max="4105" width="10.33203125" style="22" customWidth="1"/>
    <col min="4106" max="4106" width="3.21875" style="22" customWidth="1"/>
    <col min="4107" max="4352" width="8.88671875" style="22"/>
    <col min="4353" max="4353" width="4.5546875" style="22" customWidth="1"/>
    <col min="4354" max="4354" width="32" style="22" customWidth="1"/>
    <col min="4355" max="4357" width="10.33203125" style="22" customWidth="1"/>
    <col min="4358" max="4358" width="36.77734375" style="22" customWidth="1"/>
    <col min="4359" max="4361" width="10.33203125" style="22" customWidth="1"/>
    <col min="4362" max="4362" width="3.21875" style="22" customWidth="1"/>
    <col min="4363" max="4608" width="8.88671875" style="22"/>
    <col min="4609" max="4609" width="4.5546875" style="22" customWidth="1"/>
    <col min="4610" max="4610" width="32" style="22" customWidth="1"/>
    <col min="4611" max="4613" width="10.33203125" style="22" customWidth="1"/>
    <col min="4614" max="4614" width="36.77734375" style="22" customWidth="1"/>
    <col min="4615" max="4617" width="10.33203125" style="22" customWidth="1"/>
    <col min="4618" max="4618" width="3.21875" style="22" customWidth="1"/>
    <col min="4619" max="4864" width="8.88671875" style="22"/>
    <col min="4865" max="4865" width="4.5546875" style="22" customWidth="1"/>
    <col min="4866" max="4866" width="32" style="22" customWidth="1"/>
    <col min="4867" max="4869" width="10.33203125" style="22" customWidth="1"/>
    <col min="4870" max="4870" width="36.77734375" style="22" customWidth="1"/>
    <col min="4871" max="4873" width="10.33203125" style="22" customWidth="1"/>
    <col min="4874" max="4874" width="3.21875" style="22" customWidth="1"/>
    <col min="4875" max="5120" width="8.88671875" style="22"/>
    <col min="5121" max="5121" width="4.5546875" style="22" customWidth="1"/>
    <col min="5122" max="5122" width="32" style="22" customWidth="1"/>
    <col min="5123" max="5125" width="10.33203125" style="22" customWidth="1"/>
    <col min="5126" max="5126" width="36.77734375" style="22" customWidth="1"/>
    <col min="5127" max="5129" width="10.33203125" style="22" customWidth="1"/>
    <col min="5130" max="5130" width="3.21875" style="22" customWidth="1"/>
    <col min="5131" max="5376" width="8.88671875" style="22"/>
    <col min="5377" max="5377" width="4.5546875" style="22" customWidth="1"/>
    <col min="5378" max="5378" width="32" style="22" customWidth="1"/>
    <col min="5379" max="5381" width="10.33203125" style="22" customWidth="1"/>
    <col min="5382" max="5382" width="36.77734375" style="22" customWidth="1"/>
    <col min="5383" max="5385" width="10.33203125" style="22" customWidth="1"/>
    <col min="5386" max="5386" width="3.21875" style="22" customWidth="1"/>
    <col min="5387" max="5632" width="8.88671875" style="22"/>
    <col min="5633" max="5633" width="4.5546875" style="22" customWidth="1"/>
    <col min="5634" max="5634" width="32" style="22" customWidth="1"/>
    <col min="5635" max="5637" width="10.33203125" style="22" customWidth="1"/>
    <col min="5638" max="5638" width="36.77734375" style="22" customWidth="1"/>
    <col min="5639" max="5641" width="10.33203125" style="22" customWidth="1"/>
    <col min="5642" max="5642" width="3.21875" style="22" customWidth="1"/>
    <col min="5643" max="5888" width="8.88671875" style="22"/>
    <col min="5889" max="5889" width="4.5546875" style="22" customWidth="1"/>
    <col min="5890" max="5890" width="32" style="22" customWidth="1"/>
    <col min="5891" max="5893" width="10.33203125" style="22" customWidth="1"/>
    <col min="5894" max="5894" width="36.77734375" style="22" customWidth="1"/>
    <col min="5895" max="5897" width="10.33203125" style="22" customWidth="1"/>
    <col min="5898" max="5898" width="3.21875" style="22" customWidth="1"/>
    <col min="5899" max="6144" width="8.88671875" style="22"/>
    <col min="6145" max="6145" width="4.5546875" style="22" customWidth="1"/>
    <col min="6146" max="6146" width="32" style="22" customWidth="1"/>
    <col min="6147" max="6149" width="10.33203125" style="22" customWidth="1"/>
    <col min="6150" max="6150" width="36.77734375" style="22" customWidth="1"/>
    <col min="6151" max="6153" width="10.33203125" style="22" customWidth="1"/>
    <col min="6154" max="6154" width="3.21875" style="22" customWidth="1"/>
    <col min="6155" max="6400" width="8.88671875" style="22"/>
    <col min="6401" max="6401" width="4.5546875" style="22" customWidth="1"/>
    <col min="6402" max="6402" width="32" style="22" customWidth="1"/>
    <col min="6403" max="6405" width="10.33203125" style="22" customWidth="1"/>
    <col min="6406" max="6406" width="36.77734375" style="22" customWidth="1"/>
    <col min="6407" max="6409" width="10.33203125" style="22" customWidth="1"/>
    <col min="6410" max="6410" width="3.21875" style="22" customWidth="1"/>
    <col min="6411" max="6656" width="8.88671875" style="22"/>
    <col min="6657" max="6657" width="4.5546875" style="22" customWidth="1"/>
    <col min="6658" max="6658" width="32" style="22" customWidth="1"/>
    <col min="6659" max="6661" width="10.33203125" style="22" customWidth="1"/>
    <col min="6662" max="6662" width="36.77734375" style="22" customWidth="1"/>
    <col min="6663" max="6665" width="10.33203125" style="22" customWidth="1"/>
    <col min="6666" max="6666" width="3.21875" style="22" customWidth="1"/>
    <col min="6667" max="6912" width="8.88671875" style="22"/>
    <col min="6913" max="6913" width="4.5546875" style="22" customWidth="1"/>
    <col min="6914" max="6914" width="32" style="22" customWidth="1"/>
    <col min="6915" max="6917" width="10.33203125" style="22" customWidth="1"/>
    <col min="6918" max="6918" width="36.77734375" style="22" customWidth="1"/>
    <col min="6919" max="6921" width="10.33203125" style="22" customWidth="1"/>
    <col min="6922" max="6922" width="3.21875" style="22" customWidth="1"/>
    <col min="6923" max="7168" width="8.88671875" style="22"/>
    <col min="7169" max="7169" width="4.5546875" style="22" customWidth="1"/>
    <col min="7170" max="7170" width="32" style="22" customWidth="1"/>
    <col min="7171" max="7173" width="10.33203125" style="22" customWidth="1"/>
    <col min="7174" max="7174" width="36.77734375" style="22" customWidth="1"/>
    <col min="7175" max="7177" width="10.33203125" style="22" customWidth="1"/>
    <col min="7178" max="7178" width="3.21875" style="22" customWidth="1"/>
    <col min="7179" max="7424" width="8.88671875" style="22"/>
    <col min="7425" max="7425" width="4.5546875" style="22" customWidth="1"/>
    <col min="7426" max="7426" width="32" style="22" customWidth="1"/>
    <col min="7427" max="7429" width="10.33203125" style="22" customWidth="1"/>
    <col min="7430" max="7430" width="36.77734375" style="22" customWidth="1"/>
    <col min="7431" max="7433" width="10.33203125" style="22" customWidth="1"/>
    <col min="7434" max="7434" width="3.21875" style="22" customWidth="1"/>
    <col min="7435" max="7680" width="8.88671875" style="22"/>
    <col min="7681" max="7681" width="4.5546875" style="22" customWidth="1"/>
    <col min="7682" max="7682" width="32" style="22" customWidth="1"/>
    <col min="7683" max="7685" width="10.33203125" style="22" customWidth="1"/>
    <col min="7686" max="7686" width="36.77734375" style="22" customWidth="1"/>
    <col min="7687" max="7689" width="10.33203125" style="22" customWidth="1"/>
    <col min="7690" max="7690" width="3.21875" style="22" customWidth="1"/>
    <col min="7691" max="7936" width="8.88671875" style="22"/>
    <col min="7937" max="7937" width="4.5546875" style="22" customWidth="1"/>
    <col min="7938" max="7938" width="32" style="22" customWidth="1"/>
    <col min="7939" max="7941" width="10.33203125" style="22" customWidth="1"/>
    <col min="7942" max="7942" width="36.77734375" style="22" customWidth="1"/>
    <col min="7943" max="7945" width="10.33203125" style="22" customWidth="1"/>
    <col min="7946" max="7946" width="3.21875" style="22" customWidth="1"/>
    <col min="7947" max="8192" width="8.88671875" style="22"/>
    <col min="8193" max="8193" width="4.5546875" style="22" customWidth="1"/>
    <col min="8194" max="8194" width="32" style="22" customWidth="1"/>
    <col min="8195" max="8197" width="10.33203125" style="22" customWidth="1"/>
    <col min="8198" max="8198" width="36.77734375" style="22" customWidth="1"/>
    <col min="8199" max="8201" width="10.33203125" style="22" customWidth="1"/>
    <col min="8202" max="8202" width="3.21875" style="22" customWidth="1"/>
    <col min="8203" max="8448" width="8.88671875" style="22"/>
    <col min="8449" max="8449" width="4.5546875" style="22" customWidth="1"/>
    <col min="8450" max="8450" width="32" style="22" customWidth="1"/>
    <col min="8451" max="8453" width="10.33203125" style="22" customWidth="1"/>
    <col min="8454" max="8454" width="36.77734375" style="22" customWidth="1"/>
    <col min="8455" max="8457" width="10.33203125" style="22" customWidth="1"/>
    <col min="8458" max="8458" width="3.21875" style="22" customWidth="1"/>
    <col min="8459" max="8704" width="8.88671875" style="22"/>
    <col min="8705" max="8705" width="4.5546875" style="22" customWidth="1"/>
    <col min="8706" max="8706" width="32" style="22" customWidth="1"/>
    <col min="8707" max="8709" width="10.33203125" style="22" customWidth="1"/>
    <col min="8710" max="8710" width="36.77734375" style="22" customWidth="1"/>
    <col min="8711" max="8713" width="10.33203125" style="22" customWidth="1"/>
    <col min="8714" max="8714" width="3.21875" style="22" customWidth="1"/>
    <col min="8715" max="8960" width="8.88671875" style="22"/>
    <col min="8961" max="8961" width="4.5546875" style="22" customWidth="1"/>
    <col min="8962" max="8962" width="32" style="22" customWidth="1"/>
    <col min="8963" max="8965" width="10.33203125" style="22" customWidth="1"/>
    <col min="8966" max="8966" width="36.77734375" style="22" customWidth="1"/>
    <col min="8967" max="8969" width="10.33203125" style="22" customWidth="1"/>
    <col min="8970" max="8970" width="3.21875" style="22" customWidth="1"/>
    <col min="8971" max="9216" width="8.88671875" style="22"/>
    <col min="9217" max="9217" width="4.5546875" style="22" customWidth="1"/>
    <col min="9218" max="9218" width="32" style="22" customWidth="1"/>
    <col min="9219" max="9221" width="10.33203125" style="22" customWidth="1"/>
    <col min="9222" max="9222" width="36.77734375" style="22" customWidth="1"/>
    <col min="9223" max="9225" width="10.33203125" style="22" customWidth="1"/>
    <col min="9226" max="9226" width="3.21875" style="22" customWidth="1"/>
    <col min="9227" max="9472" width="8.88671875" style="22"/>
    <col min="9473" max="9473" width="4.5546875" style="22" customWidth="1"/>
    <col min="9474" max="9474" width="32" style="22" customWidth="1"/>
    <col min="9475" max="9477" width="10.33203125" style="22" customWidth="1"/>
    <col min="9478" max="9478" width="36.77734375" style="22" customWidth="1"/>
    <col min="9479" max="9481" width="10.33203125" style="22" customWidth="1"/>
    <col min="9482" max="9482" width="3.21875" style="22" customWidth="1"/>
    <col min="9483" max="9728" width="8.88671875" style="22"/>
    <col min="9729" max="9729" width="4.5546875" style="22" customWidth="1"/>
    <col min="9730" max="9730" width="32" style="22" customWidth="1"/>
    <col min="9731" max="9733" width="10.33203125" style="22" customWidth="1"/>
    <col min="9734" max="9734" width="36.77734375" style="22" customWidth="1"/>
    <col min="9735" max="9737" width="10.33203125" style="22" customWidth="1"/>
    <col min="9738" max="9738" width="3.21875" style="22" customWidth="1"/>
    <col min="9739" max="9984" width="8.88671875" style="22"/>
    <col min="9985" max="9985" width="4.5546875" style="22" customWidth="1"/>
    <col min="9986" max="9986" width="32" style="22" customWidth="1"/>
    <col min="9987" max="9989" width="10.33203125" style="22" customWidth="1"/>
    <col min="9990" max="9990" width="36.77734375" style="22" customWidth="1"/>
    <col min="9991" max="9993" width="10.33203125" style="22" customWidth="1"/>
    <col min="9994" max="9994" width="3.21875" style="22" customWidth="1"/>
    <col min="9995" max="10240" width="8.88671875" style="22"/>
    <col min="10241" max="10241" width="4.5546875" style="22" customWidth="1"/>
    <col min="10242" max="10242" width="32" style="22" customWidth="1"/>
    <col min="10243" max="10245" width="10.33203125" style="22" customWidth="1"/>
    <col min="10246" max="10246" width="36.77734375" style="22" customWidth="1"/>
    <col min="10247" max="10249" width="10.33203125" style="22" customWidth="1"/>
    <col min="10250" max="10250" width="3.21875" style="22" customWidth="1"/>
    <col min="10251" max="10496" width="8.88671875" style="22"/>
    <col min="10497" max="10497" width="4.5546875" style="22" customWidth="1"/>
    <col min="10498" max="10498" width="32" style="22" customWidth="1"/>
    <col min="10499" max="10501" width="10.33203125" style="22" customWidth="1"/>
    <col min="10502" max="10502" width="36.77734375" style="22" customWidth="1"/>
    <col min="10503" max="10505" width="10.33203125" style="22" customWidth="1"/>
    <col min="10506" max="10506" width="3.21875" style="22" customWidth="1"/>
    <col min="10507" max="10752" width="8.88671875" style="22"/>
    <col min="10753" max="10753" width="4.5546875" style="22" customWidth="1"/>
    <col min="10754" max="10754" width="32" style="22" customWidth="1"/>
    <col min="10755" max="10757" width="10.33203125" style="22" customWidth="1"/>
    <col min="10758" max="10758" width="36.77734375" style="22" customWidth="1"/>
    <col min="10759" max="10761" width="10.33203125" style="22" customWidth="1"/>
    <col min="10762" max="10762" width="3.21875" style="22" customWidth="1"/>
    <col min="10763" max="11008" width="8.88671875" style="22"/>
    <col min="11009" max="11009" width="4.5546875" style="22" customWidth="1"/>
    <col min="11010" max="11010" width="32" style="22" customWidth="1"/>
    <col min="11011" max="11013" width="10.33203125" style="22" customWidth="1"/>
    <col min="11014" max="11014" width="36.77734375" style="22" customWidth="1"/>
    <col min="11015" max="11017" width="10.33203125" style="22" customWidth="1"/>
    <col min="11018" max="11018" width="3.21875" style="22" customWidth="1"/>
    <col min="11019" max="11264" width="8.88671875" style="22"/>
    <col min="11265" max="11265" width="4.5546875" style="22" customWidth="1"/>
    <col min="11266" max="11266" width="32" style="22" customWidth="1"/>
    <col min="11267" max="11269" width="10.33203125" style="22" customWidth="1"/>
    <col min="11270" max="11270" width="36.77734375" style="22" customWidth="1"/>
    <col min="11271" max="11273" width="10.33203125" style="22" customWidth="1"/>
    <col min="11274" max="11274" width="3.21875" style="22" customWidth="1"/>
    <col min="11275" max="11520" width="8.88671875" style="22"/>
    <col min="11521" max="11521" width="4.5546875" style="22" customWidth="1"/>
    <col min="11522" max="11522" width="32" style="22" customWidth="1"/>
    <col min="11523" max="11525" width="10.33203125" style="22" customWidth="1"/>
    <col min="11526" max="11526" width="36.77734375" style="22" customWidth="1"/>
    <col min="11527" max="11529" width="10.33203125" style="22" customWidth="1"/>
    <col min="11530" max="11530" width="3.21875" style="22" customWidth="1"/>
    <col min="11531" max="11776" width="8.88671875" style="22"/>
    <col min="11777" max="11777" width="4.5546875" style="22" customWidth="1"/>
    <col min="11778" max="11778" width="32" style="22" customWidth="1"/>
    <col min="11779" max="11781" width="10.33203125" style="22" customWidth="1"/>
    <col min="11782" max="11782" width="36.77734375" style="22" customWidth="1"/>
    <col min="11783" max="11785" width="10.33203125" style="22" customWidth="1"/>
    <col min="11786" max="11786" width="3.21875" style="22" customWidth="1"/>
    <col min="11787" max="12032" width="8.88671875" style="22"/>
    <col min="12033" max="12033" width="4.5546875" style="22" customWidth="1"/>
    <col min="12034" max="12034" width="32" style="22" customWidth="1"/>
    <col min="12035" max="12037" width="10.33203125" style="22" customWidth="1"/>
    <col min="12038" max="12038" width="36.77734375" style="22" customWidth="1"/>
    <col min="12039" max="12041" width="10.33203125" style="22" customWidth="1"/>
    <col min="12042" max="12042" width="3.21875" style="22" customWidth="1"/>
    <col min="12043" max="12288" width="8.88671875" style="22"/>
    <col min="12289" max="12289" width="4.5546875" style="22" customWidth="1"/>
    <col min="12290" max="12290" width="32" style="22" customWidth="1"/>
    <col min="12291" max="12293" width="10.33203125" style="22" customWidth="1"/>
    <col min="12294" max="12294" width="36.77734375" style="22" customWidth="1"/>
    <col min="12295" max="12297" width="10.33203125" style="22" customWidth="1"/>
    <col min="12298" max="12298" width="3.21875" style="22" customWidth="1"/>
    <col min="12299" max="12544" width="8.88671875" style="22"/>
    <col min="12545" max="12545" width="4.5546875" style="22" customWidth="1"/>
    <col min="12546" max="12546" width="32" style="22" customWidth="1"/>
    <col min="12547" max="12549" width="10.33203125" style="22" customWidth="1"/>
    <col min="12550" max="12550" width="36.77734375" style="22" customWidth="1"/>
    <col min="12551" max="12553" width="10.33203125" style="22" customWidth="1"/>
    <col min="12554" max="12554" width="3.21875" style="22" customWidth="1"/>
    <col min="12555" max="12800" width="8.88671875" style="22"/>
    <col min="12801" max="12801" width="4.5546875" style="22" customWidth="1"/>
    <col min="12802" max="12802" width="32" style="22" customWidth="1"/>
    <col min="12803" max="12805" width="10.33203125" style="22" customWidth="1"/>
    <col min="12806" max="12806" width="36.77734375" style="22" customWidth="1"/>
    <col min="12807" max="12809" width="10.33203125" style="22" customWidth="1"/>
    <col min="12810" max="12810" width="3.21875" style="22" customWidth="1"/>
    <col min="12811" max="13056" width="8.88671875" style="22"/>
    <col min="13057" max="13057" width="4.5546875" style="22" customWidth="1"/>
    <col min="13058" max="13058" width="32" style="22" customWidth="1"/>
    <col min="13059" max="13061" width="10.33203125" style="22" customWidth="1"/>
    <col min="13062" max="13062" width="36.77734375" style="22" customWidth="1"/>
    <col min="13063" max="13065" width="10.33203125" style="22" customWidth="1"/>
    <col min="13066" max="13066" width="3.21875" style="22" customWidth="1"/>
    <col min="13067" max="13312" width="8.88671875" style="22"/>
    <col min="13313" max="13313" width="4.5546875" style="22" customWidth="1"/>
    <col min="13314" max="13314" width="32" style="22" customWidth="1"/>
    <col min="13315" max="13317" width="10.33203125" style="22" customWidth="1"/>
    <col min="13318" max="13318" width="36.77734375" style="22" customWidth="1"/>
    <col min="13319" max="13321" width="10.33203125" style="22" customWidth="1"/>
    <col min="13322" max="13322" width="3.21875" style="22" customWidth="1"/>
    <col min="13323" max="13568" width="8.88671875" style="22"/>
    <col min="13569" max="13569" width="4.5546875" style="22" customWidth="1"/>
    <col min="13570" max="13570" width="32" style="22" customWidth="1"/>
    <col min="13571" max="13573" width="10.33203125" style="22" customWidth="1"/>
    <col min="13574" max="13574" width="36.77734375" style="22" customWidth="1"/>
    <col min="13575" max="13577" width="10.33203125" style="22" customWidth="1"/>
    <col min="13578" max="13578" width="3.21875" style="22" customWidth="1"/>
    <col min="13579" max="13824" width="8.88671875" style="22"/>
    <col min="13825" max="13825" width="4.5546875" style="22" customWidth="1"/>
    <col min="13826" max="13826" width="32" style="22" customWidth="1"/>
    <col min="13827" max="13829" width="10.33203125" style="22" customWidth="1"/>
    <col min="13830" max="13830" width="36.77734375" style="22" customWidth="1"/>
    <col min="13831" max="13833" width="10.33203125" style="22" customWidth="1"/>
    <col min="13834" max="13834" width="3.21875" style="22" customWidth="1"/>
    <col min="13835" max="14080" width="8.88671875" style="22"/>
    <col min="14081" max="14081" width="4.5546875" style="22" customWidth="1"/>
    <col min="14082" max="14082" width="32" style="22" customWidth="1"/>
    <col min="14083" max="14085" width="10.33203125" style="22" customWidth="1"/>
    <col min="14086" max="14086" width="36.77734375" style="22" customWidth="1"/>
    <col min="14087" max="14089" width="10.33203125" style="22" customWidth="1"/>
    <col min="14090" max="14090" width="3.21875" style="22" customWidth="1"/>
    <col min="14091" max="14336" width="8.88671875" style="22"/>
    <col min="14337" max="14337" width="4.5546875" style="22" customWidth="1"/>
    <col min="14338" max="14338" width="32" style="22" customWidth="1"/>
    <col min="14339" max="14341" width="10.33203125" style="22" customWidth="1"/>
    <col min="14342" max="14342" width="36.77734375" style="22" customWidth="1"/>
    <col min="14343" max="14345" width="10.33203125" style="22" customWidth="1"/>
    <col min="14346" max="14346" width="3.21875" style="22" customWidth="1"/>
    <col min="14347" max="14592" width="8.88671875" style="22"/>
    <col min="14593" max="14593" width="4.5546875" style="22" customWidth="1"/>
    <col min="14594" max="14594" width="32" style="22" customWidth="1"/>
    <col min="14595" max="14597" width="10.33203125" style="22" customWidth="1"/>
    <col min="14598" max="14598" width="36.77734375" style="22" customWidth="1"/>
    <col min="14599" max="14601" width="10.33203125" style="22" customWidth="1"/>
    <col min="14602" max="14602" width="3.21875" style="22" customWidth="1"/>
    <col min="14603" max="14848" width="8.88671875" style="22"/>
    <col min="14849" max="14849" width="4.5546875" style="22" customWidth="1"/>
    <col min="14850" max="14850" width="32" style="22" customWidth="1"/>
    <col min="14851" max="14853" width="10.33203125" style="22" customWidth="1"/>
    <col min="14854" max="14854" width="36.77734375" style="22" customWidth="1"/>
    <col min="14855" max="14857" width="10.33203125" style="22" customWidth="1"/>
    <col min="14858" max="14858" width="3.21875" style="22" customWidth="1"/>
    <col min="14859" max="15104" width="8.88671875" style="22"/>
    <col min="15105" max="15105" width="4.5546875" style="22" customWidth="1"/>
    <col min="15106" max="15106" width="32" style="22" customWidth="1"/>
    <col min="15107" max="15109" width="10.33203125" style="22" customWidth="1"/>
    <col min="15110" max="15110" width="36.77734375" style="22" customWidth="1"/>
    <col min="15111" max="15113" width="10.33203125" style="22" customWidth="1"/>
    <col min="15114" max="15114" width="3.21875" style="22" customWidth="1"/>
    <col min="15115" max="15360" width="8.88671875" style="22"/>
    <col min="15361" max="15361" width="4.5546875" style="22" customWidth="1"/>
    <col min="15362" max="15362" width="32" style="22" customWidth="1"/>
    <col min="15363" max="15365" width="10.33203125" style="22" customWidth="1"/>
    <col min="15366" max="15366" width="36.77734375" style="22" customWidth="1"/>
    <col min="15367" max="15369" width="10.33203125" style="22" customWidth="1"/>
    <col min="15370" max="15370" width="3.21875" style="22" customWidth="1"/>
    <col min="15371" max="15616" width="8.88671875" style="22"/>
    <col min="15617" max="15617" width="4.5546875" style="22" customWidth="1"/>
    <col min="15618" max="15618" width="32" style="22" customWidth="1"/>
    <col min="15619" max="15621" width="10.33203125" style="22" customWidth="1"/>
    <col min="15622" max="15622" width="36.77734375" style="22" customWidth="1"/>
    <col min="15623" max="15625" width="10.33203125" style="22" customWidth="1"/>
    <col min="15626" max="15626" width="3.21875" style="22" customWidth="1"/>
    <col min="15627" max="15872" width="8.88671875" style="22"/>
    <col min="15873" max="15873" width="4.5546875" style="22" customWidth="1"/>
    <col min="15874" max="15874" width="32" style="22" customWidth="1"/>
    <col min="15875" max="15877" width="10.33203125" style="22" customWidth="1"/>
    <col min="15878" max="15878" width="36.77734375" style="22" customWidth="1"/>
    <col min="15879" max="15881" width="10.33203125" style="22" customWidth="1"/>
    <col min="15882" max="15882" width="3.21875" style="22" customWidth="1"/>
    <col min="15883" max="16128" width="8.88671875" style="22"/>
    <col min="16129" max="16129" width="4.5546875" style="22" customWidth="1"/>
    <col min="16130" max="16130" width="32" style="22" customWidth="1"/>
    <col min="16131" max="16133" width="10.33203125" style="22" customWidth="1"/>
    <col min="16134" max="16134" width="36.77734375" style="22" customWidth="1"/>
    <col min="16135" max="16137" width="10.33203125" style="22" customWidth="1"/>
    <col min="16138" max="16138" width="3.21875" style="22" customWidth="1"/>
    <col min="16139" max="16384" width="8.88671875" style="22"/>
  </cols>
  <sheetData>
    <row r="1" spans="1:10" ht="15" customHeight="1">
      <c r="A1" s="142" t="s">
        <v>454</v>
      </c>
      <c r="B1" s="142"/>
    </row>
    <row r="2" spans="1:10" ht="39.75" customHeight="1">
      <c r="B2" s="23" t="s">
        <v>405</v>
      </c>
      <c r="C2" s="24"/>
      <c r="D2" s="24"/>
      <c r="E2" s="24"/>
      <c r="F2" s="24"/>
      <c r="G2" s="24"/>
      <c r="H2" s="24"/>
      <c r="I2" s="24"/>
      <c r="J2" s="143"/>
    </row>
    <row r="3" spans="1:10" ht="15.75" thickBot="1">
      <c r="G3" s="26"/>
      <c r="H3" s="26"/>
      <c r="I3" s="26" t="str">
        <f>'[1]1.4.sz.mell.'!E2</f>
        <v>Forintban!</v>
      </c>
      <c r="J3" s="143"/>
    </row>
    <row r="4" spans="1:10" ht="18" customHeight="1" thickBot="1">
      <c r="A4" s="144" t="s">
        <v>283</v>
      </c>
      <c r="B4" s="27" t="s">
        <v>284</v>
      </c>
      <c r="C4" s="28"/>
      <c r="D4" s="29"/>
      <c r="E4" s="29"/>
      <c r="F4" s="27" t="s">
        <v>285</v>
      </c>
      <c r="G4" s="30"/>
      <c r="H4" s="31"/>
      <c r="I4" s="32"/>
      <c r="J4" s="143"/>
    </row>
    <row r="5" spans="1:10" s="37" customFormat="1" ht="35.25" customHeight="1" thickBot="1">
      <c r="A5" s="145"/>
      <c r="B5" s="33" t="s">
        <v>1</v>
      </c>
      <c r="C5" s="34" t="str">
        <f>+CONCATENATE('[1]1.1.sz.mell.'!C3," eredeti előirányzat")</f>
        <v>2017. évi eredeti előirányzat</v>
      </c>
      <c r="D5" s="35" t="s">
        <v>286</v>
      </c>
      <c r="E5" s="35" t="s">
        <v>287</v>
      </c>
      <c r="F5" s="33" t="s">
        <v>1</v>
      </c>
      <c r="G5" s="34" t="str">
        <f>+C5</f>
        <v>2017. évi eredeti előirányzat</v>
      </c>
      <c r="H5" s="34" t="str">
        <f>+D5</f>
        <v>Módosítás</v>
      </c>
      <c r="I5" s="36" t="str">
        <f>+E5</f>
        <v>2017.06.30. Módosított előirányzat</v>
      </c>
      <c r="J5" s="143"/>
    </row>
    <row r="6" spans="1:10" s="43" customFormat="1" ht="12" customHeight="1" thickBot="1">
      <c r="A6" s="38" t="s">
        <v>288</v>
      </c>
      <c r="B6" s="39" t="s">
        <v>289</v>
      </c>
      <c r="C6" s="40" t="s">
        <v>290</v>
      </c>
      <c r="D6" s="41" t="s">
        <v>291</v>
      </c>
      <c r="E6" s="41" t="s">
        <v>292</v>
      </c>
      <c r="F6" s="39" t="s">
        <v>293</v>
      </c>
      <c r="G6" s="40" t="s">
        <v>294</v>
      </c>
      <c r="H6" s="40" t="s">
        <v>295</v>
      </c>
      <c r="I6" s="42" t="s">
        <v>296</v>
      </c>
      <c r="J6" s="143"/>
    </row>
    <row r="7" spans="1:10" ht="12.95" customHeight="1">
      <c r="A7" s="44" t="s">
        <v>297</v>
      </c>
      <c r="B7" s="45" t="s">
        <v>298</v>
      </c>
      <c r="C7" s="46">
        <f>Össz.össz.!D12</f>
        <v>167862554</v>
      </c>
      <c r="D7" s="46">
        <f>Össz.össz.!E12</f>
        <v>1440813</v>
      </c>
      <c r="E7" s="47">
        <f>C7+D7</f>
        <v>169303367</v>
      </c>
      <c r="F7" s="45" t="s">
        <v>299</v>
      </c>
      <c r="G7" s="46">
        <f>Össz.össz.!D80</f>
        <v>102114000</v>
      </c>
      <c r="H7" s="46">
        <f>Össz.össz.!E80</f>
        <v>742666</v>
      </c>
      <c r="I7" s="48">
        <f>G7+H7</f>
        <v>102856666</v>
      </c>
      <c r="J7" s="143"/>
    </row>
    <row r="8" spans="1:10" ht="19.5" customHeight="1">
      <c r="A8" s="49" t="s">
        <v>300</v>
      </c>
      <c r="B8" s="50" t="s">
        <v>421</v>
      </c>
      <c r="C8" s="51">
        <f>Össz.össz.!D13</f>
        <v>13813000</v>
      </c>
      <c r="D8" s="51">
        <f>Össz.össz.!E13</f>
        <v>46150720</v>
      </c>
      <c r="E8" s="47">
        <f t="shared" ref="E8:E17" si="0">C8+D8</f>
        <v>59963720</v>
      </c>
      <c r="F8" s="50" t="s">
        <v>301</v>
      </c>
      <c r="G8" s="46">
        <f>Össz.össz.!D81</f>
        <v>22609000</v>
      </c>
      <c r="H8" s="46">
        <f>Össz.össz.!E81</f>
        <v>-135530</v>
      </c>
      <c r="I8" s="48">
        <f t="shared" ref="I8:I18" si="1">G8+H8</f>
        <v>22473470</v>
      </c>
      <c r="J8" s="143"/>
    </row>
    <row r="9" spans="1:10" ht="12.95" customHeight="1">
      <c r="A9" s="49" t="s">
        <v>302</v>
      </c>
      <c r="B9" s="50" t="s">
        <v>303</v>
      </c>
      <c r="C9" s="51"/>
      <c r="D9" s="51"/>
      <c r="E9" s="47">
        <f t="shared" si="0"/>
        <v>0</v>
      </c>
      <c r="F9" s="50" t="s">
        <v>304</v>
      </c>
      <c r="G9" s="51">
        <f>Össz.össz.!D109</f>
        <v>96519000</v>
      </c>
      <c r="H9" s="51">
        <f>Össz.össz.!E109</f>
        <v>45102870</v>
      </c>
      <c r="I9" s="48">
        <f t="shared" si="1"/>
        <v>141621870</v>
      </c>
      <c r="J9" s="143"/>
    </row>
    <row r="10" spans="1:10" ht="12.95" customHeight="1">
      <c r="A10" s="49" t="s">
        <v>305</v>
      </c>
      <c r="B10" s="50" t="s">
        <v>306</v>
      </c>
      <c r="C10" s="51">
        <f>Össz.össz.!D37</f>
        <v>20805000</v>
      </c>
      <c r="D10" s="51">
        <f>Össz.össz.!E37</f>
        <v>6414255</v>
      </c>
      <c r="E10" s="47">
        <f t="shared" si="0"/>
        <v>27219255</v>
      </c>
      <c r="F10" s="50" t="s">
        <v>307</v>
      </c>
      <c r="G10" s="51">
        <f>Össz.össz.!D118</f>
        <v>12540000</v>
      </c>
      <c r="H10" s="51">
        <f>Össz.össz.!E118</f>
        <v>-1000000</v>
      </c>
      <c r="I10" s="48">
        <f t="shared" si="1"/>
        <v>11540000</v>
      </c>
      <c r="J10" s="143"/>
    </row>
    <row r="11" spans="1:10" ht="12.95" customHeight="1">
      <c r="A11" s="49" t="s">
        <v>308</v>
      </c>
      <c r="B11" s="52" t="s">
        <v>309</v>
      </c>
      <c r="C11" s="51">
        <f>Össz.össz.!D47</f>
        <v>28028000</v>
      </c>
      <c r="D11" s="51">
        <f>Össz.össz.!E47</f>
        <v>-29890</v>
      </c>
      <c r="E11" s="47">
        <f t="shared" si="0"/>
        <v>27998110</v>
      </c>
      <c r="F11" s="50" t="s">
        <v>310</v>
      </c>
      <c r="G11" s="51">
        <f>Össz.össz.!D129-Össz.össz.!D128</f>
        <v>1190000</v>
      </c>
      <c r="H11" s="51">
        <f>Össz.össz.!E129-Össz.össz.!E128</f>
        <v>11244877</v>
      </c>
      <c r="I11" s="48">
        <f t="shared" si="1"/>
        <v>12434877</v>
      </c>
      <c r="J11" s="143"/>
    </row>
    <row r="12" spans="1:10" ht="12.95" customHeight="1">
      <c r="A12" s="49" t="s">
        <v>311</v>
      </c>
      <c r="B12" s="50" t="s">
        <v>312</v>
      </c>
      <c r="C12" s="53">
        <f>Össz.össz.!D56</f>
        <v>600000</v>
      </c>
      <c r="D12" s="53">
        <f>Össz.össz.!E56</f>
        <v>52500</v>
      </c>
      <c r="E12" s="47">
        <f t="shared" si="0"/>
        <v>652500</v>
      </c>
      <c r="F12" s="50" t="s">
        <v>313</v>
      </c>
      <c r="G12" s="51">
        <f>Össz.össz.!D128</f>
        <v>13135554</v>
      </c>
      <c r="H12" s="51">
        <f>Össz.össz.!E128</f>
        <v>-4902369</v>
      </c>
      <c r="I12" s="48">
        <f t="shared" si="1"/>
        <v>8233185</v>
      </c>
      <c r="J12" s="143"/>
    </row>
    <row r="13" spans="1:10" ht="12.95" customHeight="1">
      <c r="A13" s="49" t="s">
        <v>314</v>
      </c>
      <c r="B13" s="50" t="s">
        <v>315</v>
      </c>
      <c r="C13" s="51"/>
      <c r="D13" s="46">
        <f>'[2]Hivatal összesen'!L20</f>
        <v>0</v>
      </c>
      <c r="E13" s="47">
        <f t="shared" si="0"/>
        <v>0</v>
      </c>
      <c r="F13" s="54"/>
      <c r="G13" s="51"/>
      <c r="H13" s="51"/>
      <c r="I13" s="48">
        <f t="shared" si="1"/>
        <v>0</v>
      </c>
      <c r="J13" s="143"/>
    </row>
    <row r="14" spans="1:10" ht="12.95" customHeight="1">
      <c r="A14" s="49" t="s">
        <v>316</v>
      </c>
      <c r="B14" s="54"/>
      <c r="C14" s="51"/>
      <c r="D14" s="51"/>
      <c r="E14" s="47">
        <f t="shared" si="0"/>
        <v>0</v>
      </c>
      <c r="F14" s="54"/>
      <c r="G14" s="51"/>
      <c r="H14" s="51"/>
      <c r="I14" s="48">
        <f t="shared" si="1"/>
        <v>0</v>
      </c>
      <c r="J14" s="143"/>
    </row>
    <row r="15" spans="1:10" ht="12.95" customHeight="1">
      <c r="A15" s="49" t="s">
        <v>317</v>
      </c>
      <c r="B15" s="55"/>
      <c r="C15" s="53"/>
      <c r="D15" s="53"/>
      <c r="E15" s="47">
        <f t="shared" si="0"/>
        <v>0</v>
      </c>
      <c r="F15" s="54"/>
      <c r="G15" s="51"/>
      <c r="H15" s="51"/>
      <c r="I15" s="48">
        <f t="shared" si="1"/>
        <v>0</v>
      </c>
      <c r="J15" s="143"/>
    </row>
    <row r="16" spans="1:10" ht="12.95" customHeight="1">
      <c r="A16" s="49" t="s">
        <v>318</v>
      </c>
      <c r="B16" s="54"/>
      <c r="C16" s="51"/>
      <c r="D16" s="51"/>
      <c r="E16" s="47">
        <f t="shared" si="0"/>
        <v>0</v>
      </c>
      <c r="F16" s="54"/>
      <c r="G16" s="51"/>
      <c r="H16" s="51"/>
      <c r="I16" s="48">
        <f t="shared" si="1"/>
        <v>0</v>
      </c>
      <c r="J16" s="143"/>
    </row>
    <row r="17" spans="1:10" ht="12.95" customHeight="1">
      <c r="A17" s="49" t="s">
        <v>319</v>
      </c>
      <c r="B17" s="54"/>
      <c r="C17" s="51"/>
      <c r="D17" s="51"/>
      <c r="E17" s="47">
        <f t="shared" si="0"/>
        <v>0</v>
      </c>
      <c r="F17" s="54"/>
      <c r="G17" s="51"/>
      <c r="H17" s="51"/>
      <c r="I17" s="48">
        <f t="shared" si="1"/>
        <v>0</v>
      </c>
      <c r="J17" s="143"/>
    </row>
    <row r="18" spans="1:10" ht="12.95" customHeight="1" thickBot="1">
      <c r="A18" s="49" t="s">
        <v>320</v>
      </c>
      <c r="B18" s="56"/>
      <c r="C18" s="57"/>
      <c r="D18" s="57"/>
      <c r="E18" s="58"/>
      <c r="F18" s="54"/>
      <c r="G18" s="57"/>
      <c r="H18" s="57"/>
      <c r="I18" s="48">
        <f t="shared" si="1"/>
        <v>0</v>
      </c>
      <c r="J18" s="143"/>
    </row>
    <row r="19" spans="1:10" ht="21.75" thickBot="1">
      <c r="A19" s="59" t="s">
        <v>321</v>
      </c>
      <c r="B19" s="60" t="s">
        <v>322</v>
      </c>
      <c r="C19" s="61">
        <f>SUM(C7:C18)</f>
        <v>231108554</v>
      </c>
      <c r="D19" s="61">
        <f>SUM(D7:D18)</f>
        <v>54028398</v>
      </c>
      <c r="E19" s="61">
        <f>SUM(E7:E18)</f>
        <v>285136952</v>
      </c>
      <c r="F19" s="60" t="s">
        <v>323</v>
      </c>
      <c r="G19" s="61">
        <f>SUM(G7:G18)</f>
        <v>248107554</v>
      </c>
      <c r="H19" s="61">
        <f>SUM(H7:H18)</f>
        <v>51052514</v>
      </c>
      <c r="I19" s="62">
        <f>SUM(I7:I18)</f>
        <v>299160068</v>
      </c>
      <c r="J19" s="143"/>
    </row>
    <row r="20" spans="1:10" ht="12.95" customHeight="1">
      <c r="A20" s="63" t="s">
        <v>324</v>
      </c>
      <c r="B20" s="64" t="s">
        <v>325</v>
      </c>
      <c r="C20" s="65">
        <f>+C21+C22+C23+C24</f>
        <v>366580000</v>
      </c>
      <c r="D20" s="65">
        <f>+D21+D22+D23+D24</f>
        <v>197760132</v>
      </c>
      <c r="E20" s="65">
        <f>+E21+E22+E23+E24</f>
        <v>564340132</v>
      </c>
      <c r="F20" s="66" t="s">
        <v>326</v>
      </c>
      <c r="G20" s="67">
        <f>Össz.össz.!D141</f>
        <v>0</v>
      </c>
      <c r="H20" s="67">
        <f>Össz.össz.!E141</f>
        <v>399820000</v>
      </c>
      <c r="I20" s="67">
        <f>Össz.össz.!F141</f>
        <v>399820000</v>
      </c>
      <c r="J20" s="143"/>
    </row>
    <row r="21" spans="1:10" ht="12.95" customHeight="1">
      <c r="A21" s="69" t="s">
        <v>327</v>
      </c>
      <c r="B21" s="66" t="s">
        <v>328</v>
      </c>
      <c r="C21" s="70">
        <f>Össz.össz.!D60</f>
        <v>260250000</v>
      </c>
      <c r="D21" s="70">
        <f>Össz.össz.!E60</f>
        <v>-3149061</v>
      </c>
      <c r="E21" s="71">
        <f>C21+D21</f>
        <v>257100939</v>
      </c>
      <c r="F21" s="66" t="s">
        <v>329</v>
      </c>
      <c r="G21" s="70"/>
      <c r="H21" s="70"/>
      <c r="I21" s="72">
        <f t="shared" ref="I21:I29" si="2">G21+H21</f>
        <v>0</v>
      </c>
      <c r="J21" s="143"/>
    </row>
    <row r="22" spans="1:10" ht="12.95" customHeight="1">
      <c r="A22" s="69" t="s">
        <v>330</v>
      </c>
      <c r="B22" s="66" t="s">
        <v>481</v>
      </c>
      <c r="C22" s="70">
        <v>0</v>
      </c>
      <c r="D22" s="70">
        <f>Össz.össz.!E58</f>
        <v>200000000</v>
      </c>
      <c r="E22" s="70">
        <f>Össz.össz.!F58</f>
        <v>200000000</v>
      </c>
      <c r="F22" s="66" t="s">
        <v>331</v>
      </c>
      <c r="G22" s="70"/>
      <c r="H22" s="70"/>
      <c r="I22" s="72">
        <f t="shared" si="2"/>
        <v>0</v>
      </c>
      <c r="J22" s="143"/>
    </row>
    <row r="23" spans="1:10" ht="12.95" customHeight="1">
      <c r="A23" s="69" t="s">
        <v>332</v>
      </c>
      <c r="B23" s="66" t="s">
        <v>422</v>
      </c>
      <c r="C23" s="70">
        <f>Össz.össz.!D61</f>
        <v>6005000</v>
      </c>
      <c r="D23" s="70">
        <f>Össz.össz.!E61</f>
        <v>909193</v>
      </c>
      <c r="E23" s="71">
        <f>C23+D23</f>
        <v>6914193</v>
      </c>
      <c r="F23" s="66" t="s">
        <v>333</v>
      </c>
      <c r="G23" s="70"/>
      <c r="H23" s="70"/>
      <c r="I23" s="72">
        <f t="shared" si="2"/>
        <v>0</v>
      </c>
      <c r="J23" s="143"/>
    </row>
    <row r="24" spans="1:10" ht="12.95" customHeight="1">
      <c r="A24" s="69" t="s">
        <v>334</v>
      </c>
      <c r="B24" s="66" t="s">
        <v>335</v>
      </c>
      <c r="C24" s="70">
        <f>Össz.össz.!D62</f>
        <v>100325000</v>
      </c>
      <c r="D24" s="70">
        <f>Össz.össz.!E62</f>
        <v>0</v>
      </c>
      <c r="E24" s="71">
        <f>C24+D24</f>
        <v>100325000</v>
      </c>
      <c r="F24" s="66" t="s">
        <v>424</v>
      </c>
      <c r="G24" s="70">
        <f>Össz.össz.!D143</f>
        <v>100325000</v>
      </c>
      <c r="H24" s="70">
        <f>Össz.össz.!E143</f>
        <v>0</v>
      </c>
      <c r="I24" s="72">
        <f t="shared" si="2"/>
        <v>100325000</v>
      </c>
      <c r="J24" s="143"/>
    </row>
    <row r="25" spans="1:10" ht="12.95" customHeight="1">
      <c r="A25" s="69" t="s">
        <v>337</v>
      </c>
      <c r="B25" s="66" t="s">
        <v>338</v>
      </c>
      <c r="C25" s="73">
        <f>+C26+C27</f>
        <v>0</v>
      </c>
      <c r="D25" s="73">
        <f>+D26+D27</f>
        <v>0</v>
      </c>
      <c r="E25" s="73">
        <f>+E26+E27</f>
        <v>0</v>
      </c>
      <c r="F25" s="64" t="s">
        <v>423</v>
      </c>
      <c r="G25" s="70">
        <f>Össz.össz.!D142</f>
        <v>6005000</v>
      </c>
      <c r="H25" s="70">
        <f>Össz.össz.!E142</f>
        <v>909193</v>
      </c>
      <c r="I25" s="72">
        <f t="shared" si="2"/>
        <v>6914193</v>
      </c>
      <c r="J25" s="143"/>
    </row>
    <row r="26" spans="1:10" ht="12.95" customHeight="1">
      <c r="A26" s="63" t="s">
        <v>339</v>
      </c>
      <c r="B26" s="64" t="s">
        <v>340</v>
      </c>
      <c r="C26" s="67"/>
      <c r="D26" s="67"/>
      <c r="E26" s="74">
        <f>C26+D26</f>
        <v>0</v>
      </c>
      <c r="F26" s="45" t="s">
        <v>341</v>
      </c>
      <c r="G26" s="67"/>
      <c r="H26" s="67"/>
      <c r="I26" s="68">
        <f t="shared" si="2"/>
        <v>0</v>
      </c>
      <c r="J26" s="143"/>
    </row>
    <row r="27" spans="1:10" ht="12.95" customHeight="1">
      <c r="A27" s="69" t="s">
        <v>342</v>
      </c>
      <c r="B27" s="66" t="s">
        <v>343</v>
      </c>
      <c r="C27" s="70"/>
      <c r="D27" s="70"/>
      <c r="E27" s="71">
        <f>C27+D27</f>
        <v>0</v>
      </c>
      <c r="F27" s="50" t="s">
        <v>344</v>
      </c>
      <c r="G27" s="70"/>
      <c r="H27" s="70"/>
      <c r="I27" s="72">
        <f t="shared" si="2"/>
        <v>0</v>
      </c>
      <c r="J27" s="143"/>
    </row>
    <row r="28" spans="1:10" ht="12.95" customHeight="1">
      <c r="A28" s="49" t="s">
        <v>345</v>
      </c>
      <c r="B28" s="66" t="s">
        <v>346</v>
      </c>
      <c r="C28" s="70"/>
      <c r="D28" s="70"/>
      <c r="E28" s="71">
        <f>C28+D28</f>
        <v>0</v>
      </c>
      <c r="F28" s="50" t="s">
        <v>347</v>
      </c>
      <c r="G28" s="70"/>
      <c r="H28" s="70"/>
      <c r="I28" s="72">
        <f t="shared" si="2"/>
        <v>0</v>
      </c>
      <c r="J28" s="143"/>
    </row>
    <row r="29" spans="1:10" ht="30" customHeight="1" thickBot="1">
      <c r="A29" s="75" t="s">
        <v>348</v>
      </c>
      <c r="B29" s="64" t="s">
        <v>349</v>
      </c>
      <c r="C29" s="67"/>
      <c r="D29" s="67"/>
      <c r="E29" s="74">
        <f>C29+D29</f>
        <v>0</v>
      </c>
      <c r="F29" s="76"/>
      <c r="G29" s="67"/>
      <c r="H29" s="67"/>
      <c r="I29" s="68">
        <f t="shared" si="2"/>
        <v>0</v>
      </c>
      <c r="J29" s="143"/>
    </row>
    <row r="30" spans="1:10" ht="24" customHeight="1" thickBot="1">
      <c r="A30" s="59" t="s">
        <v>350</v>
      </c>
      <c r="B30" s="60" t="s">
        <v>351</v>
      </c>
      <c r="C30" s="61">
        <f>+C20+C25+C28+C29</f>
        <v>366580000</v>
      </c>
      <c r="D30" s="61">
        <f>+D20+D25+D28+D29</f>
        <v>197760132</v>
      </c>
      <c r="E30" s="77">
        <f>+E20+E25+E28+E29</f>
        <v>564340132</v>
      </c>
      <c r="F30" s="60" t="s">
        <v>352</v>
      </c>
      <c r="G30" s="61">
        <f>SUM(G20:G29)</f>
        <v>106330000</v>
      </c>
      <c r="H30" s="61">
        <f>SUM(H20:H29)</f>
        <v>400729193</v>
      </c>
      <c r="I30" s="62">
        <f>SUM(I20:I29)</f>
        <v>507059193</v>
      </c>
      <c r="J30" s="143"/>
    </row>
    <row r="31" spans="1:10" ht="15.75" thickBot="1">
      <c r="A31" s="59" t="s">
        <v>353</v>
      </c>
      <c r="B31" s="78" t="s">
        <v>354</v>
      </c>
      <c r="C31" s="79">
        <f>+C19+C30</f>
        <v>597688554</v>
      </c>
      <c r="D31" s="79">
        <f>+D19+D30</f>
        <v>251788530</v>
      </c>
      <c r="E31" s="80">
        <f>+E19+E30</f>
        <v>849477084</v>
      </c>
      <c r="F31" s="78" t="s">
        <v>355</v>
      </c>
      <c r="G31" s="79">
        <f>+G19+G30</f>
        <v>354437554</v>
      </c>
      <c r="H31" s="79">
        <f>+H19+H30</f>
        <v>451781707</v>
      </c>
      <c r="I31" s="80">
        <f>+I19+I30</f>
        <v>806219261</v>
      </c>
      <c r="J31" s="143"/>
    </row>
    <row r="32" spans="1:10" ht="15.75" thickBot="1">
      <c r="A32" s="59" t="s">
        <v>356</v>
      </c>
      <c r="B32" s="78" t="s">
        <v>357</v>
      </c>
      <c r="C32" s="79">
        <f>IF(C19-G19&lt;0,G19-C19,"-")</f>
        <v>16999000</v>
      </c>
      <c r="D32" s="79" t="str">
        <f>IF(D19-H19&lt;0,H19-D19,"-")</f>
        <v>-</v>
      </c>
      <c r="E32" s="80">
        <f>IF(E19-I19&lt;0,I19-E19,"-")</f>
        <v>14023116</v>
      </c>
      <c r="F32" s="78" t="s">
        <v>358</v>
      </c>
      <c r="G32" s="79" t="str">
        <f>IF(C19-G19&gt;0,C19-G19,"-")</f>
        <v>-</v>
      </c>
      <c r="H32" s="79">
        <f>IF(D19-H19&gt;0,D19-H19,"-")</f>
        <v>2975884</v>
      </c>
      <c r="I32" s="80" t="str">
        <f>IF(E19-I19&gt;0,E19-I19,"-")</f>
        <v>-</v>
      </c>
      <c r="J32" s="143"/>
    </row>
    <row r="33" spans="1:10" ht="15.75" thickBot="1">
      <c r="A33" s="59" t="s">
        <v>359</v>
      </c>
      <c r="B33" s="78" t="s">
        <v>360</v>
      </c>
      <c r="C33" s="79" t="str">
        <f>IF(C31-G31&lt;0,G31-C31,"-")</f>
        <v>-</v>
      </c>
      <c r="D33" s="79"/>
      <c r="E33" s="79" t="str">
        <f>IF(E31-I31&lt;0,I31-E31,"-")</f>
        <v>-</v>
      </c>
      <c r="F33" s="78" t="s">
        <v>361</v>
      </c>
      <c r="G33" s="79">
        <f>IF(C31-G31&gt;0,C31-G31,"-")</f>
        <v>243251000</v>
      </c>
      <c r="H33" s="79" t="str">
        <f>IF(D31-H31&gt;0,D31-H31,"-")</f>
        <v>-</v>
      </c>
      <c r="I33" s="81">
        <f>IF(E31-I31&gt;0,E31-I31,"-")</f>
        <v>43257823</v>
      </c>
      <c r="J33" s="143"/>
    </row>
    <row r="34" spans="1:10" ht="18.75">
      <c r="B34" s="146"/>
      <c r="C34" s="146"/>
      <c r="D34" s="146"/>
      <c r="E34" s="146"/>
      <c r="F34" s="146"/>
    </row>
  </sheetData>
  <mergeCells count="4">
    <mergeCell ref="A1:B1"/>
    <mergeCell ref="J2:J33"/>
    <mergeCell ref="A4:A5"/>
    <mergeCell ref="B34:F34"/>
  </mergeCells>
  <pageMargins left="0.25" right="0.25" top="0.75" bottom="0.75" header="0.3" footer="0.3"/>
  <pageSetup paperSize="9" scale="88" orientation="landscape" r:id="rId1"/>
  <colBreaks count="1" manualBreakCount="1">
    <brk id="9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>
  <dimension ref="A1:J34"/>
  <sheetViews>
    <sheetView view="pageBreakPreview" zoomScaleNormal="100" zoomScaleSheetLayoutView="100" workbookViewId="0">
      <selection activeCell="M17" sqref="M17"/>
    </sheetView>
  </sheetViews>
  <sheetFormatPr defaultRowHeight="15"/>
  <cols>
    <col min="1" max="1" width="4.5546875" style="22" customWidth="1"/>
    <col min="2" max="2" width="33.21875" style="25" customWidth="1"/>
    <col min="3" max="5" width="10.33203125" style="22" customWidth="1"/>
    <col min="6" max="6" width="33.21875" style="22" customWidth="1"/>
    <col min="7" max="9" width="10.33203125" style="22" customWidth="1"/>
    <col min="10" max="10" width="3.21875" style="22" customWidth="1"/>
    <col min="11" max="256" width="8.88671875" style="22"/>
    <col min="257" max="257" width="4.5546875" style="22" customWidth="1"/>
    <col min="258" max="258" width="33.21875" style="22" customWidth="1"/>
    <col min="259" max="261" width="10.33203125" style="22" customWidth="1"/>
    <col min="262" max="262" width="33.21875" style="22" customWidth="1"/>
    <col min="263" max="265" width="10.33203125" style="22" customWidth="1"/>
    <col min="266" max="266" width="3.21875" style="22" customWidth="1"/>
    <col min="267" max="512" width="8.88671875" style="22"/>
    <col min="513" max="513" width="4.5546875" style="22" customWidth="1"/>
    <col min="514" max="514" width="33.21875" style="22" customWidth="1"/>
    <col min="515" max="517" width="10.33203125" style="22" customWidth="1"/>
    <col min="518" max="518" width="33.21875" style="22" customWidth="1"/>
    <col min="519" max="521" width="10.33203125" style="22" customWidth="1"/>
    <col min="522" max="522" width="3.21875" style="22" customWidth="1"/>
    <col min="523" max="768" width="8.88671875" style="22"/>
    <col min="769" max="769" width="4.5546875" style="22" customWidth="1"/>
    <col min="770" max="770" width="33.21875" style="22" customWidth="1"/>
    <col min="771" max="773" width="10.33203125" style="22" customWidth="1"/>
    <col min="774" max="774" width="33.21875" style="22" customWidth="1"/>
    <col min="775" max="777" width="10.33203125" style="22" customWidth="1"/>
    <col min="778" max="778" width="3.21875" style="22" customWidth="1"/>
    <col min="779" max="1024" width="8.88671875" style="22"/>
    <col min="1025" max="1025" width="4.5546875" style="22" customWidth="1"/>
    <col min="1026" max="1026" width="33.21875" style="22" customWidth="1"/>
    <col min="1027" max="1029" width="10.33203125" style="22" customWidth="1"/>
    <col min="1030" max="1030" width="33.21875" style="22" customWidth="1"/>
    <col min="1031" max="1033" width="10.33203125" style="22" customWidth="1"/>
    <col min="1034" max="1034" width="3.21875" style="22" customWidth="1"/>
    <col min="1035" max="1280" width="8.88671875" style="22"/>
    <col min="1281" max="1281" width="4.5546875" style="22" customWidth="1"/>
    <col min="1282" max="1282" width="33.21875" style="22" customWidth="1"/>
    <col min="1283" max="1285" width="10.33203125" style="22" customWidth="1"/>
    <col min="1286" max="1286" width="33.21875" style="22" customWidth="1"/>
    <col min="1287" max="1289" width="10.33203125" style="22" customWidth="1"/>
    <col min="1290" max="1290" width="3.21875" style="22" customWidth="1"/>
    <col min="1291" max="1536" width="8.88671875" style="22"/>
    <col min="1537" max="1537" width="4.5546875" style="22" customWidth="1"/>
    <col min="1538" max="1538" width="33.21875" style="22" customWidth="1"/>
    <col min="1539" max="1541" width="10.33203125" style="22" customWidth="1"/>
    <col min="1542" max="1542" width="33.21875" style="22" customWidth="1"/>
    <col min="1543" max="1545" width="10.33203125" style="22" customWidth="1"/>
    <col min="1546" max="1546" width="3.21875" style="22" customWidth="1"/>
    <col min="1547" max="1792" width="8.88671875" style="22"/>
    <col min="1793" max="1793" width="4.5546875" style="22" customWidth="1"/>
    <col min="1794" max="1794" width="33.21875" style="22" customWidth="1"/>
    <col min="1795" max="1797" width="10.33203125" style="22" customWidth="1"/>
    <col min="1798" max="1798" width="33.21875" style="22" customWidth="1"/>
    <col min="1799" max="1801" width="10.33203125" style="22" customWidth="1"/>
    <col min="1802" max="1802" width="3.21875" style="22" customWidth="1"/>
    <col min="1803" max="2048" width="8.88671875" style="22"/>
    <col min="2049" max="2049" width="4.5546875" style="22" customWidth="1"/>
    <col min="2050" max="2050" width="33.21875" style="22" customWidth="1"/>
    <col min="2051" max="2053" width="10.33203125" style="22" customWidth="1"/>
    <col min="2054" max="2054" width="33.21875" style="22" customWidth="1"/>
    <col min="2055" max="2057" width="10.33203125" style="22" customWidth="1"/>
    <col min="2058" max="2058" width="3.21875" style="22" customWidth="1"/>
    <col min="2059" max="2304" width="8.88671875" style="22"/>
    <col min="2305" max="2305" width="4.5546875" style="22" customWidth="1"/>
    <col min="2306" max="2306" width="33.21875" style="22" customWidth="1"/>
    <col min="2307" max="2309" width="10.33203125" style="22" customWidth="1"/>
    <col min="2310" max="2310" width="33.21875" style="22" customWidth="1"/>
    <col min="2311" max="2313" width="10.33203125" style="22" customWidth="1"/>
    <col min="2314" max="2314" width="3.21875" style="22" customWidth="1"/>
    <col min="2315" max="2560" width="8.88671875" style="22"/>
    <col min="2561" max="2561" width="4.5546875" style="22" customWidth="1"/>
    <col min="2562" max="2562" width="33.21875" style="22" customWidth="1"/>
    <col min="2563" max="2565" width="10.33203125" style="22" customWidth="1"/>
    <col min="2566" max="2566" width="33.21875" style="22" customWidth="1"/>
    <col min="2567" max="2569" width="10.33203125" style="22" customWidth="1"/>
    <col min="2570" max="2570" width="3.21875" style="22" customWidth="1"/>
    <col min="2571" max="2816" width="8.88671875" style="22"/>
    <col min="2817" max="2817" width="4.5546875" style="22" customWidth="1"/>
    <col min="2818" max="2818" width="33.21875" style="22" customWidth="1"/>
    <col min="2819" max="2821" width="10.33203125" style="22" customWidth="1"/>
    <col min="2822" max="2822" width="33.21875" style="22" customWidth="1"/>
    <col min="2823" max="2825" width="10.33203125" style="22" customWidth="1"/>
    <col min="2826" max="2826" width="3.21875" style="22" customWidth="1"/>
    <col min="2827" max="3072" width="8.88671875" style="22"/>
    <col min="3073" max="3073" width="4.5546875" style="22" customWidth="1"/>
    <col min="3074" max="3074" width="33.21875" style="22" customWidth="1"/>
    <col min="3075" max="3077" width="10.33203125" style="22" customWidth="1"/>
    <col min="3078" max="3078" width="33.21875" style="22" customWidth="1"/>
    <col min="3079" max="3081" width="10.33203125" style="22" customWidth="1"/>
    <col min="3082" max="3082" width="3.21875" style="22" customWidth="1"/>
    <col min="3083" max="3328" width="8.88671875" style="22"/>
    <col min="3329" max="3329" width="4.5546875" style="22" customWidth="1"/>
    <col min="3330" max="3330" width="33.21875" style="22" customWidth="1"/>
    <col min="3331" max="3333" width="10.33203125" style="22" customWidth="1"/>
    <col min="3334" max="3334" width="33.21875" style="22" customWidth="1"/>
    <col min="3335" max="3337" width="10.33203125" style="22" customWidth="1"/>
    <col min="3338" max="3338" width="3.21875" style="22" customWidth="1"/>
    <col min="3339" max="3584" width="8.88671875" style="22"/>
    <col min="3585" max="3585" width="4.5546875" style="22" customWidth="1"/>
    <col min="3586" max="3586" width="33.21875" style="22" customWidth="1"/>
    <col min="3587" max="3589" width="10.33203125" style="22" customWidth="1"/>
    <col min="3590" max="3590" width="33.21875" style="22" customWidth="1"/>
    <col min="3591" max="3593" width="10.33203125" style="22" customWidth="1"/>
    <col min="3594" max="3594" width="3.21875" style="22" customWidth="1"/>
    <col min="3595" max="3840" width="8.88671875" style="22"/>
    <col min="3841" max="3841" width="4.5546875" style="22" customWidth="1"/>
    <col min="3842" max="3842" width="33.21875" style="22" customWidth="1"/>
    <col min="3843" max="3845" width="10.33203125" style="22" customWidth="1"/>
    <col min="3846" max="3846" width="33.21875" style="22" customWidth="1"/>
    <col min="3847" max="3849" width="10.33203125" style="22" customWidth="1"/>
    <col min="3850" max="3850" width="3.21875" style="22" customWidth="1"/>
    <col min="3851" max="4096" width="8.88671875" style="22"/>
    <col min="4097" max="4097" width="4.5546875" style="22" customWidth="1"/>
    <col min="4098" max="4098" width="33.21875" style="22" customWidth="1"/>
    <col min="4099" max="4101" width="10.33203125" style="22" customWidth="1"/>
    <col min="4102" max="4102" width="33.21875" style="22" customWidth="1"/>
    <col min="4103" max="4105" width="10.33203125" style="22" customWidth="1"/>
    <col min="4106" max="4106" width="3.21875" style="22" customWidth="1"/>
    <col min="4107" max="4352" width="8.88671875" style="22"/>
    <col min="4353" max="4353" width="4.5546875" style="22" customWidth="1"/>
    <col min="4354" max="4354" width="33.21875" style="22" customWidth="1"/>
    <col min="4355" max="4357" width="10.33203125" style="22" customWidth="1"/>
    <col min="4358" max="4358" width="33.21875" style="22" customWidth="1"/>
    <col min="4359" max="4361" width="10.33203125" style="22" customWidth="1"/>
    <col min="4362" max="4362" width="3.21875" style="22" customWidth="1"/>
    <col min="4363" max="4608" width="8.88671875" style="22"/>
    <col min="4609" max="4609" width="4.5546875" style="22" customWidth="1"/>
    <col min="4610" max="4610" width="33.21875" style="22" customWidth="1"/>
    <col min="4611" max="4613" width="10.33203125" style="22" customWidth="1"/>
    <col min="4614" max="4614" width="33.21875" style="22" customWidth="1"/>
    <col min="4615" max="4617" width="10.33203125" style="22" customWidth="1"/>
    <col min="4618" max="4618" width="3.21875" style="22" customWidth="1"/>
    <col min="4619" max="4864" width="8.88671875" style="22"/>
    <col min="4865" max="4865" width="4.5546875" style="22" customWidth="1"/>
    <col min="4866" max="4866" width="33.21875" style="22" customWidth="1"/>
    <col min="4867" max="4869" width="10.33203125" style="22" customWidth="1"/>
    <col min="4870" max="4870" width="33.21875" style="22" customWidth="1"/>
    <col min="4871" max="4873" width="10.33203125" style="22" customWidth="1"/>
    <col min="4874" max="4874" width="3.21875" style="22" customWidth="1"/>
    <col min="4875" max="5120" width="8.88671875" style="22"/>
    <col min="5121" max="5121" width="4.5546875" style="22" customWidth="1"/>
    <col min="5122" max="5122" width="33.21875" style="22" customWidth="1"/>
    <col min="5123" max="5125" width="10.33203125" style="22" customWidth="1"/>
    <col min="5126" max="5126" width="33.21875" style="22" customWidth="1"/>
    <col min="5127" max="5129" width="10.33203125" style="22" customWidth="1"/>
    <col min="5130" max="5130" width="3.21875" style="22" customWidth="1"/>
    <col min="5131" max="5376" width="8.88671875" style="22"/>
    <col min="5377" max="5377" width="4.5546875" style="22" customWidth="1"/>
    <col min="5378" max="5378" width="33.21875" style="22" customWidth="1"/>
    <col min="5379" max="5381" width="10.33203125" style="22" customWidth="1"/>
    <col min="5382" max="5382" width="33.21875" style="22" customWidth="1"/>
    <col min="5383" max="5385" width="10.33203125" style="22" customWidth="1"/>
    <col min="5386" max="5386" width="3.21875" style="22" customWidth="1"/>
    <col min="5387" max="5632" width="8.88671875" style="22"/>
    <col min="5633" max="5633" width="4.5546875" style="22" customWidth="1"/>
    <col min="5634" max="5634" width="33.21875" style="22" customWidth="1"/>
    <col min="5635" max="5637" width="10.33203125" style="22" customWidth="1"/>
    <col min="5638" max="5638" width="33.21875" style="22" customWidth="1"/>
    <col min="5639" max="5641" width="10.33203125" style="22" customWidth="1"/>
    <col min="5642" max="5642" width="3.21875" style="22" customWidth="1"/>
    <col min="5643" max="5888" width="8.88671875" style="22"/>
    <col min="5889" max="5889" width="4.5546875" style="22" customWidth="1"/>
    <col min="5890" max="5890" width="33.21875" style="22" customWidth="1"/>
    <col min="5891" max="5893" width="10.33203125" style="22" customWidth="1"/>
    <col min="5894" max="5894" width="33.21875" style="22" customWidth="1"/>
    <col min="5895" max="5897" width="10.33203125" style="22" customWidth="1"/>
    <col min="5898" max="5898" width="3.21875" style="22" customWidth="1"/>
    <col min="5899" max="6144" width="8.88671875" style="22"/>
    <col min="6145" max="6145" width="4.5546875" style="22" customWidth="1"/>
    <col min="6146" max="6146" width="33.21875" style="22" customWidth="1"/>
    <col min="6147" max="6149" width="10.33203125" style="22" customWidth="1"/>
    <col min="6150" max="6150" width="33.21875" style="22" customWidth="1"/>
    <col min="6151" max="6153" width="10.33203125" style="22" customWidth="1"/>
    <col min="6154" max="6154" width="3.21875" style="22" customWidth="1"/>
    <col min="6155" max="6400" width="8.88671875" style="22"/>
    <col min="6401" max="6401" width="4.5546875" style="22" customWidth="1"/>
    <col min="6402" max="6402" width="33.21875" style="22" customWidth="1"/>
    <col min="6403" max="6405" width="10.33203125" style="22" customWidth="1"/>
    <col min="6406" max="6406" width="33.21875" style="22" customWidth="1"/>
    <col min="6407" max="6409" width="10.33203125" style="22" customWidth="1"/>
    <col min="6410" max="6410" width="3.21875" style="22" customWidth="1"/>
    <col min="6411" max="6656" width="8.88671875" style="22"/>
    <col min="6657" max="6657" width="4.5546875" style="22" customWidth="1"/>
    <col min="6658" max="6658" width="33.21875" style="22" customWidth="1"/>
    <col min="6659" max="6661" width="10.33203125" style="22" customWidth="1"/>
    <col min="6662" max="6662" width="33.21875" style="22" customWidth="1"/>
    <col min="6663" max="6665" width="10.33203125" style="22" customWidth="1"/>
    <col min="6666" max="6666" width="3.21875" style="22" customWidth="1"/>
    <col min="6667" max="6912" width="8.88671875" style="22"/>
    <col min="6913" max="6913" width="4.5546875" style="22" customWidth="1"/>
    <col min="6914" max="6914" width="33.21875" style="22" customWidth="1"/>
    <col min="6915" max="6917" width="10.33203125" style="22" customWidth="1"/>
    <col min="6918" max="6918" width="33.21875" style="22" customWidth="1"/>
    <col min="6919" max="6921" width="10.33203125" style="22" customWidth="1"/>
    <col min="6922" max="6922" width="3.21875" style="22" customWidth="1"/>
    <col min="6923" max="7168" width="8.88671875" style="22"/>
    <col min="7169" max="7169" width="4.5546875" style="22" customWidth="1"/>
    <col min="7170" max="7170" width="33.21875" style="22" customWidth="1"/>
    <col min="7171" max="7173" width="10.33203125" style="22" customWidth="1"/>
    <col min="7174" max="7174" width="33.21875" style="22" customWidth="1"/>
    <col min="7175" max="7177" width="10.33203125" style="22" customWidth="1"/>
    <col min="7178" max="7178" width="3.21875" style="22" customWidth="1"/>
    <col min="7179" max="7424" width="8.88671875" style="22"/>
    <col min="7425" max="7425" width="4.5546875" style="22" customWidth="1"/>
    <col min="7426" max="7426" width="33.21875" style="22" customWidth="1"/>
    <col min="7427" max="7429" width="10.33203125" style="22" customWidth="1"/>
    <col min="7430" max="7430" width="33.21875" style="22" customWidth="1"/>
    <col min="7431" max="7433" width="10.33203125" style="22" customWidth="1"/>
    <col min="7434" max="7434" width="3.21875" style="22" customWidth="1"/>
    <col min="7435" max="7680" width="8.88671875" style="22"/>
    <col min="7681" max="7681" width="4.5546875" style="22" customWidth="1"/>
    <col min="7682" max="7682" width="33.21875" style="22" customWidth="1"/>
    <col min="7683" max="7685" width="10.33203125" style="22" customWidth="1"/>
    <col min="7686" max="7686" width="33.21875" style="22" customWidth="1"/>
    <col min="7687" max="7689" width="10.33203125" style="22" customWidth="1"/>
    <col min="7690" max="7690" width="3.21875" style="22" customWidth="1"/>
    <col min="7691" max="7936" width="8.88671875" style="22"/>
    <col min="7937" max="7937" width="4.5546875" style="22" customWidth="1"/>
    <col min="7938" max="7938" width="33.21875" style="22" customWidth="1"/>
    <col min="7939" max="7941" width="10.33203125" style="22" customWidth="1"/>
    <col min="7942" max="7942" width="33.21875" style="22" customWidth="1"/>
    <col min="7943" max="7945" width="10.33203125" style="22" customWidth="1"/>
    <col min="7946" max="7946" width="3.21875" style="22" customWidth="1"/>
    <col min="7947" max="8192" width="8.88671875" style="22"/>
    <col min="8193" max="8193" width="4.5546875" style="22" customWidth="1"/>
    <col min="8194" max="8194" width="33.21875" style="22" customWidth="1"/>
    <col min="8195" max="8197" width="10.33203125" style="22" customWidth="1"/>
    <col min="8198" max="8198" width="33.21875" style="22" customWidth="1"/>
    <col min="8199" max="8201" width="10.33203125" style="22" customWidth="1"/>
    <col min="8202" max="8202" width="3.21875" style="22" customWidth="1"/>
    <col min="8203" max="8448" width="8.88671875" style="22"/>
    <col min="8449" max="8449" width="4.5546875" style="22" customWidth="1"/>
    <col min="8450" max="8450" width="33.21875" style="22" customWidth="1"/>
    <col min="8451" max="8453" width="10.33203125" style="22" customWidth="1"/>
    <col min="8454" max="8454" width="33.21875" style="22" customWidth="1"/>
    <col min="8455" max="8457" width="10.33203125" style="22" customWidth="1"/>
    <col min="8458" max="8458" width="3.21875" style="22" customWidth="1"/>
    <col min="8459" max="8704" width="8.88671875" style="22"/>
    <col min="8705" max="8705" width="4.5546875" style="22" customWidth="1"/>
    <col min="8706" max="8706" width="33.21875" style="22" customWidth="1"/>
    <col min="8707" max="8709" width="10.33203125" style="22" customWidth="1"/>
    <col min="8710" max="8710" width="33.21875" style="22" customWidth="1"/>
    <col min="8711" max="8713" width="10.33203125" style="22" customWidth="1"/>
    <col min="8714" max="8714" width="3.21875" style="22" customWidth="1"/>
    <col min="8715" max="8960" width="8.88671875" style="22"/>
    <col min="8961" max="8961" width="4.5546875" style="22" customWidth="1"/>
    <col min="8962" max="8962" width="33.21875" style="22" customWidth="1"/>
    <col min="8963" max="8965" width="10.33203125" style="22" customWidth="1"/>
    <col min="8966" max="8966" width="33.21875" style="22" customWidth="1"/>
    <col min="8967" max="8969" width="10.33203125" style="22" customWidth="1"/>
    <col min="8970" max="8970" width="3.21875" style="22" customWidth="1"/>
    <col min="8971" max="9216" width="8.88671875" style="22"/>
    <col min="9217" max="9217" width="4.5546875" style="22" customWidth="1"/>
    <col min="9218" max="9218" width="33.21875" style="22" customWidth="1"/>
    <col min="9219" max="9221" width="10.33203125" style="22" customWidth="1"/>
    <col min="9222" max="9222" width="33.21875" style="22" customWidth="1"/>
    <col min="9223" max="9225" width="10.33203125" style="22" customWidth="1"/>
    <col min="9226" max="9226" width="3.21875" style="22" customWidth="1"/>
    <col min="9227" max="9472" width="8.88671875" style="22"/>
    <col min="9473" max="9473" width="4.5546875" style="22" customWidth="1"/>
    <col min="9474" max="9474" width="33.21875" style="22" customWidth="1"/>
    <col min="9475" max="9477" width="10.33203125" style="22" customWidth="1"/>
    <col min="9478" max="9478" width="33.21875" style="22" customWidth="1"/>
    <col min="9479" max="9481" width="10.33203125" style="22" customWidth="1"/>
    <col min="9482" max="9482" width="3.21875" style="22" customWidth="1"/>
    <col min="9483" max="9728" width="8.88671875" style="22"/>
    <col min="9729" max="9729" width="4.5546875" style="22" customWidth="1"/>
    <col min="9730" max="9730" width="33.21875" style="22" customWidth="1"/>
    <col min="9731" max="9733" width="10.33203125" style="22" customWidth="1"/>
    <col min="9734" max="9734" width="33.21875" style="22" customWidth="1"/>
    <col min="9735" max="9737" width="10.33203125" style="22" customWidth="1"/>
    <col min="9738" max="9738" width="3.21875" style="22" customWidth="1"/>
    <col min="9739" max="9984" width="8.88671875" style="22"/>
    <col min="9985" max="9985" width="4.5546875" style="22" customWidth="1"/>
    <col min="9986" max="9986" width="33.21875" style="22" customWidth="1"/>
    <col min="9987" max="9989" width="10.33203125" style="22" customWidth="1"/>
    <col min="9990" max="9990" width="33.21875" style="22" customWidth="1"/>
    <col min="9991" max="9993" width="10.33203125" style="22" customWidth="1"/>
    <col min="9994" max="9994" width="3.21875" style="22" customWidth="1"/>
    <col min="9995" max="10240" width="8.88671875" style="22"/>
    <col min="10241" max="10241" width="4.5546875" style="22" customWidth="1"/>
    <col min="10242" max="10242" width="33.21875" style="22" customWidth="1"/>
    <col min="10243" max="10245" width="10.33203125" style="22" customWidth="1"/>
    <col min="10246" max="10246" width="33.21875" style="22" customWidth="1"/>
    <col min="10247" max="10249" width="10.33203125" style="22" customWidth="1"/>
    <col min="10250" max="10250" width="3.21875" style="22" customWidth="1"/>
    <col min="10251" max="10496" width="8.88671875" style="22"/>
    <col min="10497" max="10497" width="4.5546875" style="22" customWidth="1"/>
    <col min="10498" max="10498" width="33.21875" style="22" customWidth="1"/>
    <col min="10499" max="10501" width="10.33203125" style="22" customWidth="1"/>
    <col min="10502" max="10502" width="33.21875" style="22" customWidth="1"/>
    <col min="10503" max="10505" width="10.33203125" style="22" customWidth="1"/>
    <col min="10506" max="10506" width="3.21875" style="22" customWidth="1"/>
    <col min="10507" max="10752" width="8.88671875" style="22"/>
    <col min="10753" max="10753" width="4.5546875" style="22" customWidth="1"/>
    <col min="10754" max="10754" width="33.21875" style="22" customWidth="1"/>
    <col min="10755" max="10757" width="10.33203125" style="22" customWidth="1"/>
    <col min="10758" max="10758" width="33.21875" style="22" customWidth="1"/>
    <col min="10759" max="10761" width="10.33203125" style="22" customWidth="1"/>
    <col min="10762" max="10762" width="3.21875" style="22" customWidth="1"/>
    <col min="10763" max="11008" width="8.88671875" style="22"/>
    <col min="11009" max="11009" width="4.5546875" style="22" customWidth="1"/>
    <col min="11010" max="11010" width="33.21875" style="22" customWidth="1"/>
    <col min="11011" max="11013" width="10.33203125" style="22" customWidth="1"/>
    <col min="11014" max="11014" width="33.21875" style="22" customWidth="1"/>
    <col min="11015" max="11017" width="10.33203125" style="22" customWidth="1"/>
    <col min="11018" max="11018" width="3.21875" style="22" customWidth="1"/>
    <col min="11019" max="11264" width="8.88671875" style="22"/>
    <col min="11265" max="11265" width="4.5546875" style="22" customWidth="1"/>
    <col min="11266" max="11266" width="33.21875" style="22" customWidth="1"/>
    <col min="11267" max="11269" width="10.33203125" style="22" customWidth="1"/>
    <col min="11270" max="11270" width="33.21875" style="22" customWidth="1"/>
    <col min="11271" max="11273" width="10.33203125" style="22" customWidth="1"/>
    <col min="11274" max="11274" width="3.21875" style="22" customWidth="1"/>
    <col min="11275" max="11520" width="8.88671875" style="22"/>
    <col min="11521" max="11521" width="4.5546875" style="22" customWidth="1"/>
    <col min="11522" max="11522" width="33.21875" style="22" customWidth="1"/>
    <col min="11523" max="11525" width="10.33203125" style="22" customWidth="1"/>
    <col min="11526" max="11526" width="33.21875" style="22" customWidth="1"/>
    <col min="11527" max="11529" width="10.33203125" style="22" customWidth="1"/>
    <col min="11530" max="11530" width="3.21875" style="22" customWidth="1"/>
    <col min="11531" max="11776" width="8.88671875" style="22"/>
    <col min="11777" max="11777" width="4.5546875" style="22" customWidth="1"/>
    <col min="11778" max="11778" width="33.21875" style="22" customWidth="1"/>
    <col min="11779" max="11781" width="10.33203125" style="22" customWidth="1"/>
    <col min="11782" max="11782" width="33.21875" style="22" customWidth="1"/>
    <col min="11783" max="11785" width="10.33203125" style="22" customWidth="1"/>
    <col min="11786" max="11786" width="3.21875" style="22" customWidth="1"/>
    <col min="11787" max="12032" width="8.88671875" style="22"/>
    <col min="12033" max="12033" width="4.5546875" style="22" customWidth="1"/>
    <col min="12034" max="12034" width="33.21875" style="22" customWidth="1"/>
    <col min="12035" max="12037" width="10.33203125" style="22" customWidth="1"/>
    <col min="12038" max="12038" width="33.21875" style="22" customWidth="1"/>
    <col min="12039" max="12041" width="10.33203125" style="22" customWidth="1"/>
    <col min="12042" max="12042" width="3.21875" style="22" customWidth="1"/>
    <col min="12043" max="12288" width="8.88671875" style="22"/>
    <col min="12289" max="12289" width="4.5546875" style="22" customWidth="1"/>
    <col min="12290" max="12290" width="33.21875" style="22" customWidth="1"/>
    <col min="12291" max="12293" width="10.33203125" style="22" customWidth="1"/>
    <col min="12294" max="12294" width="33.21875" style="22" customWidth="1"/>
    <col min="12295" max="12297" width="10.33203125" style="22" customWidth="1"/>
    <col min="12298" max="12298" width="3.21875" style="22" customWidth="1"/>
    <col min="12299" max="12544" width="8.88671875" style="22"/>
    <col min="12545" max="12545" width="4.5546875" style="22" customWidth="1"/>
    <col min="12546" max="12546" width="33.21875" style="22" customWidth="1"/>
    <col min="12547" max="12549" width="10.33203125" style="22" customWidth="1"/>
    <col min="12550" max="12550" width="33.21875" style="22" customWidth="1"/>
    <col min="12551" max="12553" width="10.33203125" style="22" customWidth="1"/>
    <col min="12554" max="12554" width="3.21875" style="22" customWidth="1"/>
    <col min="12555" max="12800" width="8.88671875" style="22"/>
    <col min="12801" max="12801" width="4.5546875" style="22" customWidth="1"/>
    <col min="12802" max="12802" width="33.21875" style="22" customWidth="1"/>
    <col min="12803" max="12805" width="10.33203125" style="22" customWidth="1"/>
    <col min="12806" max="12806" width="33.21875" style="22" customWidth="1"/>
    <col min="12807" max="12809" width="10.33203125" style="22" customWidth="1"/>
    <col min="12810" max="12810" width="3.21875" style="22" customWidth="1"/>
    <col min="12811" max="13056" width="8.88671875" style="22"/>
    <col min="13057" max="13057" width="4.5546875" style="22" customWidth="1"/>
    <col min="13058" max="13058" width="33.21875" style="22" customWidth="1"/>
    <col min="13059" max="13061" width="10.33203125" style="22" customWidth="1"/>
    <col min="13062" max="13062" width="33.21875" style="22" customWidth="1"/>
    <col min="13063" max="13065" width="10.33203125" style="22" customWidth="1"/>
    <col min="13066" max="13066" width="3.21875" style="22" customWidth="1"/>
    <col min="13067" max="13312" width="8.88671875" style="22"/>
    <col min="13313" max="13313" width="4.5546875" style="22" customWidth="1"/>
    <col min="13314" max="13314" width="33.21875" style="22" customWidth="1"/>
    <col min="13315" max="13317" width="10.33203125" style="22" customWidth="1"/>
    <col min="13318" max="13318" width="33.21875" style="22" customWidth="1"/>
    <col min="13319" max="13321" width="10.33203125" style="22" customWidth="1"/>
    <col min="13322" max="13322" width="3.21875" style="22" customWidth="1"/>
    <col min="13323" max="13568" width="8.88671875" style="22"/>
    <col min="13569" max="13569" width="4.5546875" style="22" customWidth="1"/>
    <col min="13570" max="13570" width="33.21875" style="22" customWidth="1"/>
    <col min="13571" max="13573" width="10.33203125" style="22" customWidth="1"/>
    <col min="13574" max="13574" width="33.21875" style="22" customWidth="1"/>
    <col min="13575" max="13577" width="10.33203125" style="22" customWidth="1"/>
    <col min="13578" max="13578" width="3.21875" style="22" customWidth="1"/>
    <col min="13579" max="13824" width="8.88671875" style="22"/>
    <col min="13825" max="13825" width="4.5546875" style="22" customWidth="1"/>
    <col min="13826" max="13826" width="33.21875" style="22" customWidth="1"/>
    <col min="13827" max="13829" width="10.33203125" style="22" customWidth="1"/>
    <col min="13830" max="13830" width="33.21875" style="22" customWidth="1"/>
    <col min="13831" max="13833" width="10.33203125" style="22" customWidth="1"/>
    <col min="13834" max="13834" width="3.21875" style="22" customWidth="1"/>
    <col min="13835" max="14080" width="8.88671875" style="22"/>
    <col min="14081" max="14081" width="4.5546875" style="22" customWidth="1"/>
    <col min="14082" max="14082" width="33.21875" style="22" customWidth="1"/>
    <col min="14083" max="14085" width="10.33203125" style="22" customWidth="1"/>
    <col min="14086" max="14086" width="33.21875" style="22" customWidth="1"/>
    <col min="14087" max="14089" width="10.33203125" style="22" customWidth="1"/>
    <col min="14090" max="14090" width="3.21875" style="22" customWidth="1"/>
    <col min="14091" max="14336" width="8.88671875" style="22"/>
    <col min="14337" max="14337" width="4.5546875" style="22" customWidth="1"/>
    <col min="14338" max="14338" width="33.21875" style="22" customWidth="1"/>
    <col min="14339" max="14341" width="10.33203125" style="22" customWidth="1"/>
    <col min="14342" max="14342" width="33.21875" style="22" customWidth="1"/>
    <col min="14343" max="14345" width="10.33203125" style="22" customWidth="1"/>
    <col min="14346" max="14346" width="3.21875" style="22" customWidth="1"/>
    <col min="14347" max="14592" width="8.88671875" style="22"/>
    <col min="14593" max="14593" width="4.5546875" style="22" customWidth="1"/>
    <col min="14594" max="14594" width="33.21875" style="22" customWidth="1"/>
    <col min="14595" max="14597" width="10.33203125" style="22" customWidth="1"/>
    <col min="14598" max="14598" width="33.21875" style="22" customWidth="1"/>
    <col min="14599" max="14601" width="10.33203125" style="22" customWidth="1"/>
    <col min="14602" max="14602" width="3.21875" style="22" customWidth="1"/>
    <col min="14603" max="14848" width="8.88671875" style="22"/>
    <col min="14849" max="14849" width="4.5546875" style="22" customWidth="1"/>
    <col min="14850" max="14850" width="33.21875" style="22" customWidth="1"/>
    <col min="14851" max="14853" width="10.33203125" style="22" customWidth="1"/>
    <col min="14854" max="14854" width="33.21875" style="22" customWidth="1"/>
    <col min="14855" max="14857" width="10.33203125" style="22" customWidth="1"/>
    <col min="14858" max="14858" width="3.21875" style="22" customWidth="1"/>
    <col min="14859" max="15104" width="8.88671875" style="22"/>
    <col min="15105" max="15105" width="4.5546875" style="22" customWidth="1"/>
    <col min="15106" max="15106" width="33.21875" style="22" customWidth="1"/>
    <col min="15107" max="15109" width="10.33203125" style="22" customWidth="1"/>
    <col min="15110" max="15110" width="33.21875" style="22" customWidth="1"/>
    <col min="15111" max="15113" width="10.33203125" style="22" customWidth="1"/>
    <col min="15114" max="15114" width="3.21875" style="22" customWidth="1"/>
    <col min="15115" max="15360" width="8.88671875" style="22"/>
    <col min="15361" max="15361" width="4.5546875" style="22" customWidth="1"/>
    <col min="15362" max="15362" width="33.21875" style="22" customWidth="1"/>
    <col min="15363" max="15365" width="10.33203125" style="22" customWidth="1"/>
    <col min="15366" max="15366" width="33.21875" style="22" customWidth="1"/>
    <col min="15367" max="15369" width="10.33203125" style="22" customWidth="1"/>
    <col min="15370" max="15370" width="3.21875" style="22" customWidth="1"/>
    <col min="15371" max="15616" width="8.88671875" style="22"/>
    <col min="15617" max="15617" width="4.5546875" style="22" customWidth="1"/>
    <col min="15618" max="15618" width="33.21875" style="22" customWidth="1"/>
    <col min="15619" max="15621" width="10.33203125" style="22" customWidth="1"/>
    <col min="15622" max="15622" width="33.21875" style="22" customWidth="1"/>
    <col min="15623" max="15625" width="10.33203125" style="22" customWidth="1"/>
    <col min="15626" max="15626" width="3.21875" style="22" customWidth="1"/>
    <col min="15627" max="15872" width="8.88671875" style="22"/>
    <col min="15873" max="15873" width="4.5546875" style="22" customWidth="1"/>
    <col min="15874" max="15874" width="33.21875" style="22" customWidth="1"/>
    <col min="15875" max="15877" width="10.33203125" style="22" customWidth="1"/>
    <col min="15878" max="15878" width="33.21875" style="22" customWidth="1"/>
    <col min="15879" max="15881" width="10.33203125" style="22" customWidth="1"/>
    <col min="15882" max="15882" width="3.21875" style="22" customWidth="1"/>
    <col min="15883" max="16128" width="8.88671875" style="22"/>
    <col min="16129" max="16129" width="4.5546875" style="22" customWidth="1"/>
    <col min="16130" max="16130" width="33.21875" style="22" customWidth="1"/>
    <col min="16131" max="16133" width="10.33203125" style="22" customWidth="1"/>
    <col min="16134" max="16134" width="33.21875" style="22" customWidth="1"/>
    <col min="16135" max="16137" width="10.33203125" style="22" customWidth="1"/>
    <col min="16138" max="16138" width="3.21875" style="22" customWidth="1"/>
    <col min="16139" max="16384" width="8.88671875" style="22"/>
  </cols>
  <sheetData>
    <row r="1" spans="1:10">
      <c r="A1" s="142" t="s">
        <v>455</v>
      </c>
      <c r="B1" s="142"/>
    </row>
    <row r="2" spans="1:10" ht="31.5">
      <c r="B2" s="23" t="s">
        <v>406</v>
      </c>
      <c r="C2" s="24"/>
      <c r="D2" s="24"/>
      <c r="E2" s="24"/>
      <c r="F2" s="24"/>
      <c r="G2" s="24"/>
      <c r="H2" s="24"/>
      <c r="I2" s="24"/>
      <c r="J2" s="143"/>
    </row>
    <row r="3" spans="1:10" ht="15.75" thickBot="1">
      <c r="G3" s="26"/>
      <c r="H3" s="26"/>
      <c r="I3" s="26" t="str">
        <f>'[1]2.1.sz.mell  '!I2</f>
        <v>Forintban!</v>
      </c>
      <c r="J3" s="143"/>
    </row>
    <row r="4" spans="1:10" ht="13.5" customHeight="1" thickBot="1">
      <c r="A4" s="144" t="s">
        <v>283</v>
      </c>
      <c r="B4" s="27" t="s">
        <v>284</v>
      </c>
      <c r="C4" s="28"/>
      <c r="D4" s="29"/>
      <c r="E4" s="29"/>
      <c r="F4" s="27" t="s">
        <v>285</v>
      </c>
      <c r="G4" s="30"/>
      <c r="H4" s="31"/>
      <c r="I4" s="32"/>
      <c r="J4" s="143"/>
    </row>
    <row r="5" spans="1:10" s="37" customFormat="1" ht="36.75" thickBot="1">
      <c r="A5" s="145"/>
      <c r="B5" s="33" t="s">
        <v>1</v>
      </c>
      <c r="C5" s="34" t="str">
        <f>+CONCATENATE('[1]1.1.sz.mell.'!C3," eredeti előirányzat")</f>
        <v>2017. évi eredeti előirányzat</v>
      </c>
      <c r="D5" s="35" t="s">
        <v>286</v>
      </c>
      <c r="E5" s="35" t="s">
        <v>287</v>
      </c>
      <c r="F5" s="33" t="s">
        <v>1</v>
      </c>
      <c r="G5" s="34" t="str">
        <f>+C5</f>
        <v>2017. évi eredeti előirányzat</v>
      </c>
      <c r="H5" s="34" t="str">
        <f>+D5</f>
        <v>Módosítás</v>
      </c>
      <c r="I5" s="36" t="str">
        <f>+E5</f>
        <v>2017.06.30. Módosított előirányzat</v>
      </c>
      <c r="J5" s="143"/>
    </row>
    <row r="6" spans="1:10" s="37" customFormat="1" ht="13.5" thickBot="1">
      <c r="A6" s="38" t="s">
        <v>288</v>
      </c>
      <c r="B6" s="39" t="s">
        <v>289</v>
      </c>
      <c r="C6" s="40" t="s">
        <v>290</v>
      </c>
      <c r="D6" s="41" t="s">
        <v>291</v>
      </c>
      <c r="E6" s="41" t="s">
        <v>292</v>
      </c>
      <c r="F6" s="39" t="s">
        <v>293</v>
      </c>
      <c r="G6" s="40" t="s">
        <v>294</v>
      </c>
      <c r="H6" s="40" t="s">
        <v>295</v>
      </c>
      <c r="I6" s="42" t="s">
        <v>296</v>
      </c>
      <c r="J6" s="143"/>
    </row>
    <row r="7" spans="1:10" ht="12.95" customHeight="1">
      <c r="A7" s="44" t="s">
        <v>297</v>
      </c>
      <c r="B7" s="45" t="s">
        <v>362</v>
      </c>
      <c r="C7" s="46"/>
      <c r="D7" s="46"/>
      <c r="E7" s="47">
        <f>C7+D7</f>
        <v>0</v>
      </c>
      <c r="F7" s="45" t="s">
        <v>363</v>
      </c>
      <c r="G7" s="46">
        <f>Össz.össz.!D135</f>
        <v>15518000</v>
      </c>
      <c r="H7" s="46">
        <f>Össz.össz.!E135</f>
        <v>89990</v>
      </c>
      <c r="I7" s="82">
        <f>G7+H7</f>
        <v>15607990</v>
      </c>
      <c r="J7" s="143"/>
    </row>
    <row r="8" spans="1:10">
      <c r="A8" s="49" t="s">
        <v>300</v>
      </c>
      <c r="B8" s="50" t="s">
        <v>364</v>
      </c>
      <c r="C8" s="51"/>
      <c r="D8" s="51"/>
      <c r="E8" s="47">
        <f t="shared" ref="E8:E17" si="0">C8+D8</f>
        <v>0</v>
      </c>
      <c r="F8" s="50" t="s">
        <v>365</v>
      </c>
      <c r="G8" s="51"/>
      <c r="H8" s="51"/>
      <c r="I8" s="83">
        <f t="shared" ref="I8:I30" si="1">G8+H8</f>
        <v>0</v>
      </c>
      <c r="J8" s="143"/>
    </row>
    <row r="9" spans="1:10" ht="12.95" customHeight="1">
      <c r="A9" s="49" t="s">
        <v>302</v>
      </c>
      <c r="B9" s="50" t="s">
        <v>366</v>
      </c>
      <c r="C9" s="51">
        <f>Össz.össz.!D49</f>
        <v>90000</v>
      </c>
      <c r="D9" s="51">
        <f>Össz.össz.!E49</f>
        <v>275000</v>
      </c>
      <c r="E9" s="47">
        <f t="shared" si="0"/>
        <v>365000</v>
      </c>
      <c r="F9" s="50" t="s">
        <v>367</v>
      </c>
      <c r="G9" s="51">
        <f>Össz.össz.!D139</f>
        <v>227823000</v>
      </c>
      <c r="H9" s="51">
        <f>Össz.össz.!E139</f>
        <v>-199808167</v>
      </c>
      <c r="I9" s="83">
        <f t="shared" si="1"/>
        <v>28014833</v>
      </c>
      <c r="J9" s="143"/>
    </row>
    <row r="10" spans="1:10" ht="12.95" customHeight="1">
      <c r="A10" s="49" t="s">
        <v>305</v>
      </c>
      <c r="B10" s="50" t="s">
        <v>368</v>
      </c>
      <c r="C10" s="51"/>
      <c r="D10" s="51"/>
      <c r="E10" s="47">
        <f t="shared" si="0"/>
        <v>0</v>
      </c>
      <c r="F10" s="50" t="s">
        <v>369</v>
      </c>
      <c r="G10" s="51"/>
      <c r="H10" s="51"/>
      <c r="I10" s="83">
        <f t="shared" si="1"/>
        <v>0</v>
      </c>
      <c r="J10" s="143"/>
    </row>
    <row r="11" spans="1:10" ht="12.75" customHeight="1">
      <c r="A11" s="49" t="s">
        <v>308</v>
      </c>
      <c r="B11" s="50" t="s">
        <v>370</v>
      </c>
      <c r="C11" s="51"/>
      <c r="D11" s="51"/>
      <c r="E11" s="47">
        <f t="shared" si="0"/>
        <v>0</v>
      </c>
      <c r="F11" s="50" t="s">
        <v>371</v>
      </c>
      <c r="G11" s="51"/>
      <c r="H11" s="51"/>
      <c r="I11" s="83">
        <f t="shared" si="1"/>
        <v>0</v>
      </c>
      <c r="J11" s="143"/>
    </row>
    <row r="12" spans="1:10" ht="12.95" customHeight="1">
      <c r="A12" s="49" t="s">
        <v>311</v>
      </c>
      <c r="B12" s="50" t="s">
        <v>372</v>
      </c>
      <c r="C12" s="53"/>
      <c r="D12" s="53"/>
      <c r="E12" s="47">
        <f t="shared" si="0"/>
        <v>0</v>
      </c>
      <c r="F12" s="84"/>
      <c r="G12" s="51"/>
      <c r="H12" s="51"/>
      <c r="I12" s="83">
        <f t="shared" si="1"/>
        <v>0</v>
      </c>
      <c r="J12" s="143"/>
    </row>
    <row r="13" spans="1:10" ht="12.95" customHeight="1">
      <c r="A13" s="49" t="s">
        <v>314</v>
      </c>
      <c r="B13" s="54"/>
      <c r="C13" s="51"/>
      <c r="D13" s="51"/>
      <c r="E13" s="47">
        <f t="shared" si="0"/>
        <v>0</v>
      </c>
      <c r="F13" s="84"/>
      <c r="G13" s="51"/>
      <c r="H13" s="51"/>
      <c r="I13" s="83">
        <f t="shared" si="1"/>
        <v>0</v>
      </c>
      <c r="J13" s="143"/>
    </row>
    <row r="14" spans="1:10" ht="12.95" customHeight="1">
      <c r="A14" s="49" t="s">
        <v>316</v>
      </c>
      <c r="B14" s="54"/>
      <c r="C14" s="51"/>
      <c r="D14" s="51"/>
      <c r="E14" s="47">
        <f t="shared" si="0"/>
        <v>0</v>
      </c>
      <c r="F14" s="85"/>
      <c r="G14" s="51"/>
      <c r="H14" s="51"/>
      <c r="I14" s="83">
        <f t="shared" si="1"/>
        <v>0</v>
      </c>
      <c r="J14" s="143"/>
    </row>
    <row r="15" spans="1:10" ht="12.95" customHeight="1">
      <c r="A15" s="49" t="s">
        <v>317</v>
      </c>
      <c r="B15" s="86"/>
      <c r="C15" s="53"/>
      <c r="D15" s="53"/>
      <c r="E15" s="47">
        <f t="shared" si="0"/>
        <v>0</v>
      </c>
      <c r="F15" s="84"/>
      <c r="G15" s="51"/>
      <c r="H15" s="51"/>
      <c r="I15" s="83">
        <f t="shared" si="1"/>
        <v>0</v>
      </c>
      <c r="J15" s="143"/>
    </row>
    <row r="16" spans="1:10" ht="30">
      <c r="A16" s="49" t="s">
        <v>318</v>
      </c>
      <c r="B16" s="54"/>
      <c r="C16" s="53"/>
      <c r="D16" s="53"/>
      <c r="E16" s="47">
        <f t="shared" si="0"/>
        <v>0</v>
      </c>
      <c r="F16" s="84"/>
      <c r="G16" s="51"/>
      <c r="H16" s="51"/>
      <c r="I16" s="83">
        <f t="shared" si="1"/>
        <v>0</v>
      </c>
      <c r="J16" s="143"/>
    </row>
    <row r="17" spans="1:10" ht="12.95" customHeight="1" thickBot="1">
      <c r="A17" s="75" t="s">
        <v>319</v>
      </c>
      <c r="B17" s="76"/>
      <c r="C17" s="87"/>
      <c r="D17" s="87"/>
      <c r="E17" s="47">
        <f t="shared" si="0"/>
        <v>0</v>
      </c>
      <c r="F17" s="88" t="s">
        <v>313</v>
      </c>
      <c r="G17" s="89"/>
      <c r="H17" s="89"/>
      <c r="I17" s="90">
        <f t="shared" si="1"/>
        <v>0</v>
      </c>
      <c r="J17" s="143"/>
    </row>
    <row r="18" spans="1:10" ht="15.95" customHeight="1" thickBot="1">
      <c r="A18" s="59" t="s">
        <v>320</v>
      </c>
      <c r="B18" s="60" t="s">
        <v>373</v>
      </c>
      <c r="C18" s="61">
        <f>+C7+C9+C10+C12+C13+C14+C15+C16+C17</f>
        <v>90000</v>
      </c>
      <c r="D18" s="61">
        <f>+D7+D9+D10+D12+D13+D14+D15+D16+D17</f>
        <v>275000</v>
      </c>
      <c r="E18" s="61">
        <f>+E7+E9+E10+E12+E13+E14+E15+E16+E17</f>
        <v>365000</v>
      </c>
      <c r="F18" s="60" t="s">
        <v>374</v>
      </c>
      <c r="G18" s="61">
        <f>+G7+G9+G11+G12+G13+G14+G15+G16+G17</f>
        <v>243341000</v>
      </c>
      <c r="H18" s="61">
        <f>+H7+H9+H11+H12+H13+H14+H15+H16+H17</f>
        <v>-199718177</v>
      </c>
      <c r="I18" s="62">
        <f>+I7+I9+I11+I12+I13+I14+I15+I16+I17</f>
        <v>43622823</v>
      </c>
      <c r="J18" s="143"/>
    </row>
    <row r="19" spans="1:10" ht="12.95" customHeight="1">
      <c r="A19" s="44" t="s">
        <v>321</v>
      </c>
      <c r="B19" s="91" t="s">
        <v>375</v>
      </c>
      <c r="C19" s="92">
        <f>+C20+C21+C22+C23+C24</f>
        <v>0</v>
      </c>
      <c r="D19" s="92">
        <f>+D20+D21+D22+D23+D24</f>
        <v>0</v>
      </c>
      <c r="E19" s="92">
        <f>+E20+E21+E22+E23+E24</f>
        <v>0</v>
      </c>
      <c r="F19" s="66" t="s">
        <v>326</v>
      </c>
      <c r="G19" s="93"/>
      <c r="H19" s="93"/>
      <c r="I19" s="94">
        <f t="shared" si="1"/>
        <v>0</v>
      </c>
      <c r="J19" s="143"/>
    </row>
    <row r="20" spans="1:10" ht="12.95" customHeight="1">
      <c r="A20" s="49" t="s">
        <v>324</v>
      </c>
      <c r="B20" s="95" t="s">
        <v>376</v>
      </c>
      <c r="C20" s="70"/>
      <c r="D20" s="70"/>
      <c r="E20" s="71">
        <f t="shared" ref="E20:E30" si="2">C20+D20</f>
        <v>0</v>
      </c>
      <c r="F20" s="66" t="s">
        <v>377</v>
      </c>
      <c r="G20" s="70"/>
      <c r="H20" s="70"/>
      <c r="I20" s="72">
        <f t="shared" si="1"/>
        <v>0</v>
      </c>
      <c r="J20" s="143"/>
    </row>
    <row r="21" spans="1:10" ht="12.95" customHeight="1">
      <c r="A21" s="44" t="s">
        <v>327</v>
      </c>
      <c r="B21" s="95" t="s">
        <v>378</v>
      </c>
      <c r="C21" s="70"/>
      <c r="D21" s="70"/>
      <c r="E21" s="71">
        <f t="shared" si="2"/>
        <v>0</v>
      </c>
      <c r="F21" s="66" t="s">
        <v>331</v>
      </c>
      <c r="G21" s="70"/>
      <c r="H21" s="70"/>
      <c r="I21" s="72">
        <f t="shared" si="1"/>
        <v>0</v>
      </c>
      <c r="J21" s="143"/>
    </row>
    <row r="22" spans="1:10" ht="12.95" customHeight="1">
      <c r="A22" s="49" t="s">
        <v>330</v>
      </c>
      <c r="B22" s="95" t="s">
        <v>379</v>
      </c>
      <c r="C22" s="70"/>
      <c r="D22" s="70"/>
      <c r="E22" s="71">
        <f t="shared" si="2"/>
        <v>0</v>
      </c>
      <c r="F22" s="66" t="s">
        <v>333</v>
      </c>
      <c r="G22" s="70"/>
      <c r="H22" s="70"/>
      <c r="I22" s="72">
        <f t="shared" si="1"/>
        <v>0</v>
      </c>
      <c r="J22" s="143"/>
    </row>
    <row r="23" spans="1:10" ht="12.95" customHeight="1">
      <c r="A23" s="44" t="s">
        <v>332</v>
      </c>
      <c r="B23" s="95" t="s">
        <v>380</v>
      </c>
      <c r="C23" s="70"/>
      <c r="D23" s="70"/>
      <c r="E23" s="71">
        <f t="shared" si="2"/>
        <v>0</v>
      </c>
      <c r="F23" s="64" t="s">
        <v>336</v>
      </c>
      <c r="G23" s="70"/>
      <c r="H23" s="70"/>
      <c r="I23" s="72">
        <f t="shared" si="1"/>
        <v>0</v>
      </c>
      <c r="J23" s="143"/>
    </row>
    <row r="24" spans="1:10" ht="12.95" customHeight="1">
      <c r="A24" s="49" t="s">
        <v>334</v>
      </c>
      <c r="B24" s="96" t="s">
        <v>381</v>
      </c>
      <c r="C24" s="70"/>
      <c r="D24" s="70"/>
      <c r="E24" s="71">
        <f t="shared" si="2"/>
        <v>0</v>
      </c>
      <c r="F24" s="66" t="s">
        <v>382</v>
      </c>
      <c r="G24" s="70"/>
      <c r="H24" s="70"/>
      <c r="I24" s="72">
        <f t="shared" si="1"/>
        <v>0</v>
      </c>
      <c r="J24" s="143"/>
    </row>
    <row r="25" spans="1:10" ht="12.95" customHeight="1">
      <c r="A25" s="44" t="s">
        <v>337</v>
      </c>
      <c r="B25" s="97" t="s">
        <v>383</v>
      </c>
      <c r="C25" s="73">
        <f>+C26+C27+C28+C29+C30</f>
        <v>0</v>
      </c>
      <c r="D25" s="73">
        <f>+D26+D27+D28+D29+D30</f>
        <v>0</v>
      </c>
      <c r="E25" s="73">
        <f>+E26+E27+E28+E29+E30</f>
        <v>0</v>
      </c>
      <c r="F25" s="98" t="s">
        <v>384</v>
      </c>
      <c r="G25" s="70"/>
      <c r="H25" s="70"/>
      <c r="I25" s="72">
        <f t="shared" si="1"/>
        <v>0</v>
      </c>
      <c r="J25" s="143"/>
    </row>
    <row r="26" spans="1:10" ht="12.95" customHeight="1">
      <c r="A26" s="49" t="s">
        <v>339</v>
      </c>
      <c r="B26" s="96" t="s">
        <v>385</v>
      </c>
      <c r="C26" s="70"/>
      <c r="D26" s="70"/>
      <c r="E26" s="71">
        <f t="shared" si="2"/>
        <v>0</v>
      </c>
      <c r="F26" s="98" t="s">
        <v>386</v>
      </c>
      <c r="G26" s="70"/>
      <c r="H26" s="70"/>
      <c r="I26" s="72">
        <f t="shared" si="1"/>
        <v>0</v>
      </c>
      <c r="J26" s="143"/>
    </row>
    <row r="27" spans="1:10" ht="12.95" customHeight="1">
      <c r="A27" s="44" t="s">
        <v>342</v>
      </c>
      <c r="B27" s="96" t="s">
        <v>387</v>
      </c>
      <c r="C27" s="70"/>
      <c r="D27" s="70"/>
      <c r="E27" s="71">
        <f t="shared" si="2"/>
        <v>0</v>
      </c>
      <c r="F27" s="99"/>
      <c r="G27" s="70"/>
      <c r="H27" s="70"/>
      <c r="I27" s="72">
        <f t="shared" si="1"/>
        <v>0</v>
      </c>
      <c r="J27" s="143"/>
    </row>
    <row r="28" spans="1:10" ht="12.95" customHeight="1">
      <c r="A28" s="49" t="s">
        <v>345</v>
      </c>
      <c r="B28" s="95" t="s">
        <v>388</v>
      </c>
      <c r="C28" s="70"/>
      <c r="D28" s="70"/>
      <c r="E28" s="71">
        <f t="shared" si="2"/>
        <v>0</v>
      </c>
      <c r="F28" s="100"/>
      <c r="G28" s="70"/>
      <c r="H28" s="70"/>
      <c r="I28" s="72">
        <f t="shared" si="1"/>
        <v>0</v>
      </c>
      <c r="J28" s="143"/>
    </row>
    <row r="29" spans="1:10" ht="12.95" customHeight="1">
      <c r="A29" s="44" t="s">
        <v>348</v>
      </c>
      <c r="B29" s="101" t="s">
        <v>389</v>
      </c>
      <c r="C29" s="70"/>
      <c r="D29" s="70"/>
      <c r="E29" s="71">
        <f t="shared" si="2"/>
        <v>0</v>
      </c>
      <c r="F29" s="54"/>
      <c r="G29" s="70"/>
      <c r="H29" s="70"/>
      <c r="I29" s="72">
        <f t="shared" si="1"/>
        <v>0</v>
      </c>
      <c r="J29" s="143"/>
    </row>
    <row r="30" spans="1:10" ht="12.95" customHeight="1" thickBot="1">
      <c r="A30" s="49" t="s">
        <v>350</v>
      </c>
      <c r="B30" s="102" t="s">
        <v>390</v>
      </c>
      <c r="C30" s="70"/>
      <c r="D30" s="70"/>
      <c r="E30" s="71">
        <f t="shared" si="2"/>
        <v>0</v>
      </c>
      <c r="F30" s="100"/>
      <c r="G30" s="70"/>
      <c r="H30" s="70"/>
      <c r="I30" s="72">
        <f t="shared" si="1"/>
        <v>0</v>
      </c>
      <c r="J30" s="143"/>
    </row>
    <row r="31" spans="1:10" ht="21.75" customHeight="1" thickBot="1">
      <c r="A31" s="59" t="s">
        <v>353</v>
      </c>
      <c r="B31" s="60" t="s">
        <v>391</v>
      </c>
      <c r="C31" s="61">
        <f>+C19+C25</f>
        <v>0</v>
      </c>
      <c r="D31" s="61">
        <f>+D19+D25</f>
        <v>0</v>
      </c>
      <c r="E31" s="61">
        <f>+E19+E25</f>
        <v>0</v>
      </c>
      <c r="F31" s="60" t="s">
        <v>392</v>
      </c>
      <c r="G31" s="61">
        <f>SUM(G19:G30)</f>
        <v>0</v>
      </c>
      <c r="H31" s="61">
        <f>SUM(H19:H30)</f>
        <v>0</v>
      </c>
      <c r="I31" s="62">
        <f>SUM(I19:I30)</f>
        <v>0</v>
      </c>
      <c r="J31" s="143"/>
    </row>
    <row r="32" spans="1:10" ht="15.75" thickBot="1">
      <c r="A32" s="59" t="s">
        <v>356</v>
      </c>
      <c r="B32" s="78" t="s">
        <v>393</v>
      </c>
      <c r="C32" s="79">
        <f>+C18+C31</f>
        <v>90000</v>
      </c>
      <c r="D32" s="79">
        <f>+D18+D31</f>
        <v>275000</v>
      </c>
      <c r="E32" s="80">
        <f>+E18+E31</f>
        <v>365000</v>
      </c>
      <c r="F32" s="78" t="s">
        <v>394</v>
      </c>
      <c r="G32" s="79">
        <f>+G18+G31</f>
        <v>243341000</v>
      </c>
      <c r="H32" s="79">
        <f>+H18+H31</f>
        <v>-199718177</v>
      </c>
      <c r="I32" s="80">
        <f>+I18+I31</f>
        <v>43622823</v>
      </c>
      <c r="J32" s="143"/>
    </row>
    <row r="33" spans="1:10" ht="15.75" thickBot="1">
      <c r="A33" s="59" t="s">
        <v>359</v>
      </c>
      <c r="B33" s="78" t="s">
        <v>357</v>
      </c>
      <c r="C33" s="79">
        <f>IF(C18-G18&lt;0,G18-C18,"-")</f>
        <v>243251000</v>
      </c>
      <c r="D33" s="79" t="str">
        <f>IF(D18-H18&lt;0,H18-D18,"-")</f>
        <v>-</v>
      </c>
      <c r="E33" s="80">
        <f>IF(E18-I18&lt;0,I18-E18,"-")</f>
        <v>43257823</v>
      </c>
      <c r="F33" s="78" t="s">
        <v>358</v>
      </c>
      <c r="G33" s="79" t="str">
        <f>IF(C18-G18&gt;0,C18-G18,"-")</f>
        <v>-</v>
      </c>
      <c r="H33" s="79">
        <f>IF(D18-H18&gt;0,D18-H18,"-")</f>
        <v>199993177</v>
      </c>
      <c r="I33" s="80" t="str">
        <f>IF(E18-I18&gt;0,E18-I18,"-")</f>
        <v>-</v>
      </c>
      <c r="J33" s="143"/>
    </row>
    <row r="34" spans="1:10" ht="15.75" thickBot="1">
      <c r="A34" s="59" t="s">
        <v>395</v>
      </c>
      <c r="B34" s="78" t="s">
        <v>360</v>
      </c>
      <c r="C34" s="79">
        <f>IF(C32-G32&lt;0,G32-C32,"-")</f>
        <v>243251000</v>
      </c>
      <c r="D34" s="79" t="str">
        <f>IF(D32-H32&lt;0,H32-D32,"-")</f>
        <v>-</v>
      </c>
      <c r="E34" s="79">
        <f>IF(E32-I32&lt;0,I32-E32,"-")</f>
        <v>43257823</v>
      </c>
      <c r="F34" s="78" t="s">
        <v>361</v>
      </c>
      <c r="G34" s="79" t="str">
        <f>IF(C32-G32&gt;0,C32-G32,"-")</f>
        <v>-</v>
      </c>
      <c r="H34" s="79">
        <f>IF(D32-H32&gt;0,D32-H32,"-")</f>
        <v>199993177</v>
      </c>
      <c r="I34" s="81" t="str">
        <f>IF(E32-I32&gt;0,E32-I32,"-")</f>
        <v>-</v>
      </c>
      <c r="J34" s="143"/>
    </row>
  </sheetData>
  <mergeCells count="3">
    <mergeCell ref="A1:B1"/>
    <mergeCell ref="J2:J34"/>
    <mergeCell ref="A4:A5"/>
  </mergeCells>
  <pageMargins left="0.25" right="0.25" top="0.75" bottom="0.75" header="0.3" footer="0.3"/>
  <pageSetup paperSize="9" scale="90" orientation="landscape" r:id="rId1"/>
  <colBreaks count="1" manualBreakCount="1">
    <brk id="9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>
  <dimension ref="A1:G25"/>
  <sheetViews>
    <sheetView view="pageBreakPreview" zoomScaleNormal="100" zoomScaleSheetLayoutView="100" workbookViewId="0">
      <selection activeCell="M17" sqref="M17"/>
    </sheetView>
  </sheetViews>
  <sheetFormatPr defaultRowHeight="15"/>
  <cols>
    <col min="1" max="1" width="31.44140625" style="118" customWidth="1"/>
    <col min="2" max="2" width="10.44140625" style="103" customWidth="1"/>
    <col min="3" max="3" width="10.88671875" style="103" customWidth="1"/>
    <col min="4" max="5" width="12" style="103" customWidth="1"/>
    <col min="6" max="6" width="11.109375" style="103" customWidth="1"/>
    <col min="7" max="7" width="12.5546875" style="22" customWidth="1"/>
    <col min="8" max="9" width="8.5546875" style="103" customWidth="1"/>
    <col min="10" max="10" width="9.21875" style="103" customWidth="1"/>
    <col min="11" max="256" width="8.88671875" style="103"/>
    <col min="257" max="257" width="31.44140625" style="103" customWidth="1"/>
    <col min="258" max="258" width="10.44140625" style="103" customWidth="1"/>
    <col min="259" max="259" width="10.88671875" style="103" customWidth="1"/>
    <col min="260" max="261" width="12" style="103" customWidth="1"/>
    <col min="262" max="262" width="11.109375" style="103" customWidth="1"/>
    <col min="263" max="263" width="12.5546875" style="103" customWidth="1"/>
    <col min="264" max="265" width="8.5546875" style="103" customWidth="1"/>
    <col min="266" max="266" width="9.21875" style="103" customWidth="1"/>
    <col min="267" max="512" width="8.88671875" style="103"/>
    <col min="513" max="513" width="31.44140625" style="103" customWidth="1"/>
    <col min="514" max="514" width="10.44140625" style="103" customWidth="1"/>
    <col min="515" max="515" width="10.88671875" style="103" customWidth="1"/>
    <col min="516" max="517" width="12" style="103" customWidth="1"/>
    <col min="518" max="518" width="11.109375" style="103" customWidth="1"/>
    <col min="519" max="519" width="12.5546875" style="103" customWidth="1"/>
    <col min="520" max="521" width="8.5546875" style="103" customWidth="1"/>
    <col min="522" max="522" width="9.21875" style="103" customWidth="1"/>
    <col min="523" max="768" width="8.88671875" style="103"/>
    <col min="769" max="769" width="31.44140625" style="103" customWidth="1"/>
    <col min="770" max="770" width="10.44140625" style="103" customWidth="1"/>
    <col min="771" max="771" width="10.88671875" style="103" customWidth="1"/>
    <col min="772" max="773" width="12" style="103" customWidth="1"/>
    <col min="774" max="774" width="11.109375" style="103" customWidth="1"/>
    <col min="775" max="775" width="12.5546875" style="103" customWidth="1"/>
    <col min="776" max="777" width="8.5546875" style="103" customWidth="1"/>
    <col min="778" max="778" width="9.21875" style="103" customWidth="1"/>
    <col min="779" max="1024" width="8.88671875" style="103"/>
    <col min="1025" max="1025" width="31.44140625" style="103" customWidth="1"/>
    <col min="1026" max="1026" width="10.44140625" style="103" customWidth="1"/>
    <col min="1027" max="1027" width="10.88671875" style="103" customWidth="1"/>
    <col min="1028" max="1029" width="12" style="103" customWidth="1"/>
    <col min="1030" max="1030" width="11.109375" style="103" customWidth="1"/>
    <col min="1031" max="1031" width="12.5546875" style="103" customWidth="1"/>
    <col min="1032" max="1033" width="8.5546875" style="103" customWidth="1"/>
    <col min="1034" max="1034" width="9.21875" style="103" customWidth="1"/>
    <col min="1035" max="1280" width="8.88671875" style="103"/>
    <col min="1281" max="1281" width="31.44140625" style="103" customWidth="1"/>
    <col min="1282" max="1282" width="10.44140625" style="103" customWidth="1"/>
    <col min="1283" max="1283" width="10.88671875" style="103" customWidth="1"/>
    <col min="1284" max="1285" width="12" style="103" customWidth="1"/>
    <col min="1286" max="1286" width="11.109375" style="103" customWidth="1"/>
    <col min="1287" max="1287" width="12.5546875" style="103" customWidth="1"/>
    <col min="1288" max="1289" width="8.5546875" style="103" customWidth="1"/>
    <col min="1290" max="1290" width="9.21875" style="103" customWidth="1"/>
    <col min="1291" max="1536" width="8.88671875" style="103"/>
    <col min="1537" max="1537" width="31.44140625" style="103" customWidth="1"/>
    <col min="1538" max="1538" width="10.44140625" style="103" customWidth="1"/>
    <col min="1539" max="1539" width="10.88671875" style="103" customWidth="1"/>
    <col min="1540" max="1541" width="12" style="103" customWidth="1"/>
    <col min="1542" max="1542" width="11.109375" style="103" customWidth="1"/>
    <col min="1543" max="1543" width="12.5546875" style="103" customWidth="1"/>
    <col min="1544" max="1545" width="8.5546875" style="103" customWidth="1"/>
    <col min="1546" max="1546" width="9.21875" style="103" customWidth="1"/>
    <col min="1547" max="1792" width="8.88671875" style="103"/>
    <col min="1793" max="1793" width="31.44140625" style="103" customWidth="1"/>
    <col min="1794" max="1794" width="10.44140625" style="103" customWidth="1"/>
    <col min="1795" max="1795" width="10.88671875" style="103" customWidth="1"/>
    <col min="1796" max="1797" width="12" style="103" customWidth="1"/>
    <col min="1798" max="1798" width="11.109375" style="103" customWidth="1"/>
    <col min="1799" max="1799" width="12.5546875" style="103" customWidth="1"/>
    <col min="1800" max="1801" width="8.5546875" style="103" customWidth="1"/>
    <col min="1802" max="1802" width="9.21875" style="103" customWidth="1"/>
    <col min="1803" max="2048" width="8.88671875" style="103"/>
    <col min="2049" max="2049" width="31.44140625" style="103" customWidth="1"/>
    <col min="2050" max="2050" width="10.44140625" style="103" customWidth="1"/>
    <col min="2051" max="2051" width="10.88671875" style="103" customWidth="1"/>
    <col min="2052" max="2053" width="12" style="103" customWidth="1"/>
    <col min="2054" max="2054" width="11.109375" style="103" customWidth="1"/>
    <col min="2055" max="2055" width="12.5546875" style="103" customWidth="1"/>
    <col min="2056" max="2057" width="8.5546875" style="103" customWidth="1"/>
    <col min="2058" max="2058" width="9.21875" style="103" customWidth="1"/>
    <col min="2059" max="2304" width="8.88671875" style="103"/>
    <col min="2305" max="2305" width="31.44140625" style="103" customWidth="1"/>
    <col min="2306" max="2306" width="10.44140625" style="103" customWidth="1"/>
    <col min="2307" max="2307" width="10.88671875" style="103" customWidth="1"/>
    <col min="2308" max="2309" width="12" style="103" customWidth="1"/>
    <col min="2310" max="2310" width="11.109375" style="103" customWidth="1"/>
    <col min="2311" max="2311" width="12.5546875" style="103" customWidth="1"/>
    <col min="2312" max="2313" width="8.5546875" style="103" customWidth="1"/>
    <col min="2314" max="2314" width="9.21875" style="103" customWidth="1"/>
    <col min="2315" max="2560" width="8.88671875" style="103"/>
    <col min="2561" max="2561" width="31.44140625" style="103" customWidth="1"/>
    <col min="2562" max="2562" width="10.44140625" style="103" customWidth="1"/>
    <col min="2563" max="2563" width="10.88671875" style="103" customWidth="1"/>
    <col min="2564" max="2565" width="12" style="103" customWidth="1"/>
    <col min="2566" max="2566" width="11.109375" style="103" customWidth="1"/>
    <col min="2567" max="2567" width="12.5546875" style="103" customWidth="1"/>
    <col min="2568" max="2569" width="8.5546875" style="103" customWidth="1"/>
    <col min="2570" max="2570" width="9.21875" style="103" customWidth="1"/>
    <col min="2571" max="2816" width="8.88671875" style="103"/>
    <col min="2817" max="2817" width="31.44140625" style="103" customWidth="1"/>
    <col min="2818" max="2818" width="10.44140625" style="103" customWidth="1"/>
    <col min="2819" max="2819" width="10.88671875" style="103" customWidth="1"/>
    <col min="2820" max="2821" width="12" style="103" customWidth="1"/>
    <col min="2822" max="2822" width="11.109375" style="103" customWidth="1"/>
    <col min="2823" max="2823" width="12.5546875" style="103" customWidth="1"/>
    <col min="2824" max="2825" width="8.5546875" style="103" customWidth="1"/>
    <col min="2826" max="2826" width="9.21875" style="103" customWidth="1"/>
    <col min="2827" max="3072" width="8.88671875" style="103"/>
    <col min="3073" max="3073" width="31.44140625" style="103" customWidth="1"/>
    <col min="3074" max="3074" width="10.44140625" style="103" customWidth="1"/>
    <col min="3075" max="3075" width="10.88671875" style="103" customWidth="1"/>
    <col min="3076" max="3077" width="12" style="103" customWidth="1"/>
    <col min="3078" max="3078" width="11.109375" style="103" customWidth="1"/>
    <col min="3079" max="3079" width="12.5546875" style="103" customWidth="1"/>
    <col min="3080" max="3081" width="8.5546875" style="103" customWidth="1"/>
    <col min="3082" max="3082" width="9.21875" style="103" customWidth="1"/>
    <col min="3083" max="3328" width="8.88671875" style="103"/>
    <col min="3329" max="3329" width="31.44140625" style="103" customWidth="1"/>
    <col min="3330" max="3330" width="10.44140625" style="103" customWidth="1"/>
    <col min="3331" max="3331" width="10.88671875" style="103" customWidth="1"/>
    <col min="3332" max="3333" width="12" style="103" customWidth="1"/>
    <col min="3334" max="3334" width="11.109375" style="103" customWidth="1"/>
    <col min="3335" max="3335" width="12.5546875" style="103" customWidth="1"/>
    <col min="3336" max="3337" width="8.5546875" style="103" customWidth="1"/>
    <col min="3338" max="3338" width="9.21875" style="103" customWidth="1"/>
    <col min="3339" max="3584" width="8.88671875" style="103"/>
    <col min="3585" max="3585" width="31.44140625" style="103" customWidth="1"/>
    <col min="3586" max="3586" width="10.44140625" style="103" customWidth="1"/>
    <col min="3587" max="3587" width="10.88671875" style="103" customWidth="1"/>
    <col min="3588" max="3589" width="12" style="103" customWidth="1"/>
    <col min="3590" max="3590" width="11.109375" style="103" customWidth="1"/>
    <col min="3591" max="3591" width="12.5546875" style="103" customWidth="1"/>
    <col min="3592" max="3593" width="8.5546875" style="103" customWidth="1"/>
    <col min="3594" max="3594" width="9.21875" style="103" customWidth="1"/>
    <col min="3595" max="3840" width="8.88671875" style="103"/>
    <col min="3841" max="3841" width="31.44140625" style="103" customWidth="1"/>
    <col min="3842" max="3842" width="10.44140625" style="103" customWidth="1"/>
    <col min="3843" max="3843" width="10.88671875" style="103" customWidth="1"/>
    <col min="3844" max="3845" width="12" style="103" customWidth="1"/>
    <col min="3846" max="3846" width="11.109375" style="103" customWidth="1"/>
    <col min="3847" max="3847" width="12.5546875" style="103" customWidth="1"/>
    <col min="3848" max="3849" width="8.5546875" style="103" customWidth="1"/>
    <col min="3850" max="3850" width="9.21875" style="103" customWidth="1"/>
    <col min="3851" max="4096" width="8.88671875" style="103"/>
    <col min="4097" max="4097" width="31.44140625" style="103" customWidth="1"/>
    <col min="4098" max="4098" width="10.44140625" style="103" customWidth="1"/>
    <col min="4099" max="4099" width="10.88671875" style="103" customWidth="1"/>
    <col min="4100" max="4101" width="12" style="103" customWidth="1"/>
    <col min="4102" max="4102" width="11.109375" style="103" customWidth="1"/>
    <col min="4103" max="4103" width="12.5546875" style="103" customWidth="1"/>
    <col min="4104" max="4105" width="8.5546875" style="103" customWidth="1"/>
    <col min="4106" max="4106" width="9.21875" style="103" customWidth="1"/>
    <col min="4107" max="4352" width="8.88671875" style="103"/>
    <col min="4353" max="4353" width="31.44140625" style="103" customWidth="1"/>
    <col min="4354" max="4354" width="10.44140625" style="103" customWidth="1"/>
    <col min="4355" max="4355" width="10.88671875" style="103" customWidth="1"/>
    <col min="4356" max="4357" width="12" style="103" customWidth="1"/>
    <col min="4358" max="4358" width="11.109375" style="103" customWidth="1"/>
    <col min="4359" max="4359" width="12.5546875" style="103" customWidth="1"/>
    <col min="4360" max="4361" width="8.5546875" style="103" customWidth="1"/>
    <col min="4362" max="4362" width="9.21875" style="103" customWidth="1"/>
    <col min="4363" max="4608" width="8.88671875" style="103"/>
    <col min="4609" max="4609" width="31.44140625" style="103" customWidth="1"/>
    <col min="4610" max="4610" width="10.44140625" style="103" customWidth="1"/>
    <col min="4611" max="4611" width="10.88671875" style="103" customWidth="1"/>
    <col min="4612" max="4613" width="12" style="103" customWidth="1"/>
    <col min="4614" max="4614" width="11.109375" style="103" customWidth="1"/>
    <col min="4615" max="4615" width="12.5546875" style="103" customWidth="1"/>
    <col min="4616" max="4617" width="8.5546875" style="103" customWidth="1"/>
    <col min="4618" max="4618" width="9.21875" style="103" customWidth="1"/>
    <col min="4619" max="4864" width="8.88671875" style="103"/>
    <col min="4865" max="4865" width="31.44140625" style="103" customWidth="1"/>
    <col min="4866" max="4866" width="10.44140625" style="103" customWidth="1"/>
    <col min="4867" max="4867" width="10.88671875" style="103" customWidth="1"/>
    <col min="4868" max="4869" width="12" style="103" customWidth="1"/>
    <col min="4870" max="4870" width="11.109375" style="103" customWidth="1"/>
    <col min="4871" max="4871" width="12.5546875" style="103" customWidth="1"/>
    <col min="4872" max="4873" width="8.5546875" style="103" customWidth="1"/>
    <col min="4874" max="4874" width="9.21875" style="103" customWidth="1"/>
    <col min="4875" max="5120" width="8.88671875" style="103"/>
    <col min="5121" max="5121" width="31.44140625" style="103" customWidth="1"/>
    <col min="5122" max="5122" width="10.44140625" style="103" customWidth="1"/>
    <col min="5123" max="5123" width="10.88671875" style="103" customWidth="1"/>
    <col min="5124" max="5125" width="12" style="103" customWidth="1"/>
    <col min="5126" max="5126" width="11.109375" style="103" customWidth="1"/>
    <col min="5127" max="5127" width="12.5546875" style="103" customWidth="1"/>
    <col min="5128" max="5129" width="8.5546875" style="103" customWidth="1"/>
    <col min="5130" max="5130" width="9.21875" style="103" customWidth="1"/>
    <col min="5131" max="5376" width="8.88671875" style="103"/>
    <col min="5377" max="5377" width="31.44140625" style="103" customWidth="1"/>
    <col min="5378" max="5378" width="10.44140625" style="103" customWidth="1"/>
    <col min="5379" max="5379" width="10.88671875" style="103" customWidth="1"/>
    <col min="5380" max="5381" width="12" style="103" customWidth="1"/>
    <col min="5382" max="5382" width="11.109375" style="103" customWidth="1"/>
    <col min="5383" max="5383" width="12.5546875" style="103" customWidth="1"/>
    <col min="5384" max="5385" width="8.5546875" style="103" customWidth="1"/>
    <col min="5386" max="5386" width="9.21875" style="103" customWidth="1"/>
    <col min="5387" max="5632" width="8.88671875" style="103"/>
    <col min="5633" max="5633" width="31.44140625" style="103" customWidth="1"/>
    <col min="5634" max="5634" width="10.44140625" style="103" customWidth="1"/>
    <col min="5635" max="5635" width="10.88671875" style="103" customWidth="1"/>
    <col min="5636" max="5637" width="12" style="103" customWidth="1"/>
    <col min="5638" max="5638" width="11.109375" style="103" customWidth="1"/>
    <col min="5639" max="5639" width="12.5546875" style="103" customWidth="1"/>
    <col min="5640" max="5641" width="8.5546875" style="103" customWidth="1"/>
    <col min="5642" max="5642" width="9.21875" style="103" customWidth="1"/>
    <col min="5643" max="5888" width="8.88671875" style="103"/>
    <col min="5889" max="5889" width="31.44140625" style="103" customWidth="1"/>
    <col min="5890" max="5890" width="10.44140625" style="103" customWidth="1"/>
    <col min="5891" max="5891" width="10.88671875" style="103" customWidth="1"/>
    <col min="5892" max="5893" width="12" style="103" customWidth="1"/>
    <col min="5894" max="5894" width="11.109375" style="103" customWidth="1"/>
    <col min="5895" max="5895" width="12.5546875" style="103" customWidth="1"/>
    <col min="5896" max="5897" width="8.5546875" style="103" customWidth="1"/>
    <col min="5898" max="5898" width="9.21875" style="103" customWidth="1"/>
    <col min="5899" max="6144" width="8.88671875" style="103"/>
    <col min="6145" max="6145" width="31.44140625" style="103" customWidth="1"/>
    <col min="6146" max="6146" width="10.44140625" style="103" customWidth="1"/>
    <col min="6147" max="6147" width="10.88671875" style="103" customWidth="1"/>
    <col min="6148" max="6149" width="12" style="103" customWidth="1"/>
    <col min="6150" max="6150" width="11.109375" style="103" customWidth="1"/>
    <col min="6151" max="6151" width="12.5546875" style="103" customWidth="1"/>
    <col min="6152" max="6153" width="8.5546875" style="103" customWidth="1"/>
    <col min="6154" max="6154" width="9.21875" style="103" customWidth="1"/>
    <col min="6155" max="6400" width="8.88671875" style="103"/>
    <col min="6401" max="6401" width="31.44140625" style="103" customWidth="1"/>
    <col min="6402" max="6402" width="10.44140625" style="103" customWidth="1"/>
    <col min="6403" max="6403" width="10.88671875" style="103" customWidth="1"/>
    <col min="6404" max="6405" width="12" style="103" customWidth="1"/>
    <col min="6406" max="6406" width="11.109375" style="103" customWidth="1"/>
    <col min="6407" max="6407" width="12.5546875" style="103" customWidth="1"/>
    <col min="6408" max="6409" width="8.5546875" style="103" customWidth="1"/>
    <col min="6410" max="6410" width="9.21875" style="103" customWidth="1"/>
    <col min="6411" max="6656" width="8.88671875" style="103"/>
    <col min="6657" max="6657" width="31.44140625" style="103" customWidth="1"/>
    <col min="6658" max="6658" width="10.44140625" style="103" customWidth="1"/>
    <col min="6659" max="6659" width="10.88671875" style="103" customWidth="1"/>
    <col min="6660" max="6661" width="12" style="103" customWidth="1"/>
    <col min="6662" max="6662" width="11.109375" style="103" customWidth="1"/>
    <col min="6663" max="6663" width="12.5546875" style="103" customWidth="1"/>
    <col min="6664" max="6665" width="8.5546875" style="103" customWidth="1"/>
    <col min="6666" max="6666" width="9.21875" style="103" customWidth="1"/>
    <col min="6667" max="6912" width="8.88671875" style="103"/>
    <col min="6913" max="6913" width="31.44140625" style="103" customWidth="1"/>
    <col min="6914" max="6914" width="10.44140625" style="103" customWidth="1"/>
    <col min="6915" max="6915" width="10.88671875" style="103" customWidth="1"/>
    <col min="6916" max="6917" width="12" style="103" customWidth="1"/>
    <col min="6918" max="6918" width="11.109375" style="103" customWidth="1"/>
    <col min="6919" max="6919" width="12.5546875" style="103" customWidth="1"/>
    <col min="6920" max="6921" width="8.5546875" style="103" customWidth="1"/>
    <col min="6922" max="6922" width="9.21875" style="103" customWidth="1"/>
    <col min="6923" max="7168" width="8.88671875" style="103"/>
    <col min="7169" max="7169" width="31.44140625" style="103" customWidth="1"/>
    <col min="7170" max="7170" width="10.44140625" style="103" customWidth="1"/>
    <col min="7171" max="7171" width="10.88671875" style="103" customWidth="1"/>
    <col min="7172" max="7173" width="12" style="103" customWidth="1"/>
    <col min="7174" max="7174" width="11.109375" style="103" customWidth="1"/>
    <col min="7175" max="7175" width="12.5546875" style="103" customWidth="1"/>
    <col min="7176" max="7177" width="8.5546875" style="103" customWidth="1"/>
    <col min="7178" max="7178" width="9.21875" style="103" customWidth="1"/>
    <col min="7179" max="7424" width="8.88671875" style="103"/>
    <col min="7425" max="7425" width="31.44140625" style="103" customWidth="1"/>
    <col min="7426" max="7426" width="10.44140625" style="103" customWidth="1"/>
    <col min="7427" max="7427" width="10.88671875" style="103" customWidth="1"/>
    <col min="7428" max="7429" width="12" style="103" customWidth="1"/>
    <col min="7430" max="7430" width="11.109375" style="103" customWidth="1"/>
    <col min="7431" max="7431" width="12.5546875" style="103" customWidth="1"/>
    <col min="7432" max="7433" width="8.5546875" style="103" customWidth="1"/>
    <col min="7434" max="7434" width="9.21875" style="103" customWidth="1"/>
    <col min="7435" max="7680" width="8.88671875" style="103"/>
    <col min="7681" max="7681" width="31.44140625" style="103" customWidth="1"/>
    <col min="7682" max="7682" width="10.44140625" style="103" customWidth="1"/>
    <col min="7683" max="7683" width="10.88671875" style="103" customWidth="1"/>
    <col min="7684" max="7685" width="12" style="103" customWidth="1"/>
    <col min="7686" max="7686" width="11.109375" style="103" customWidth="1"/>
    <col min="7687" max="7687" width="12.5546875" style="103" customWidth="1"/>
    <col min="7688" max="7689" width="8.5546875" style="103" customWidth="1"/>
    <col min="7690" max="7690" width="9.21875" style="103" customWidth="1"/>
    <col min="7691" max="7936" width="8.88671875" style="103"/>
    <col min="7937" max="7937" width="31.44140625" style="103" customWidth="1"/>
    <col min="7938" max="7938" width="10.44140625" style="103" customWidth="1"/>
    <col min="7939" max="7939" width="10.88671875" style="103" customWidth="1"/>
    <col min="7940" max="7941" width="12" style="103" customWidth="1"/>
    <col min="7942" max="7942" width="11.109375" style="103" customWidth="1"/>
    <col min="7943" max="7943" width="12.5546875" style="103" customWidth="1"/>
    <col min="7944" max="7945" width="8.5546875" style="103" customWidth="1"/>
    <col min="7946" max="7946" width="9.21875" style="103" customWidth="1"/>
    <col min="7947" max="8192" width="8.88671875" style="103"/>
    <col min="8193" max="8193" width="31.44140625" style="103" customWidth="1"/>
    <col min="8194" max="8194" width="10.44140625" style="103" customWidth="1"/>
    <col min="8195" max="8195" width="10.88671875" style="103" customWidth="1"/>
    <col min="8196" max="8197" width="12" style="103" customWidth="1"/>
    <col min="8198" max="8198" width="11.109375" style="103" customWidth="1"/>
    <col min="8199" max="8199" width="12.5546875" style="103" customWidth="1"/>
    <col min="8200" max="8201" width="8.5546875" style="103" customWidth="1"/>
    <col min="8202" max="8202" width="9.21875" style="103" customWidth="1"/>
    <col min="8203" max="8448" width="8.88671875" style="103"/>
    <col min="8449" max="8449" width="31.44140625" style="103" customWidth="1"/>
    <col min="8450" max="8450" width="10.44140625" style="103" customWidth="1"/>
    <col min="8451" max="8451" width="10.88671875" style="103" customWidth="1"/>
    <col min="8452" max="8453" width="12" style="103" customWidth="1"/>
    <col min="8454" max="8454" width="11.109375" style="103" customWidth="1"/>
    <col min="8455" max="8455" width="12.5546875" style="103" customWidth="1"/>
    <col min="8456" max="8457" width="8.5546875" style="103" customWidth="1"/>
    <col min="8458" max="8458" width="9.21875" style="103" customWidth="1"/>
    <col min="8459" max="8704" width="8.88671875" style="103"/>
    <col min="8705" max="8705" width="31.44140625" style="103" customWidth="1"/>
    <col min="8706" max="8706" width="10.44140625" style="103" customWidth="1"/>
    <col min="8707" max="8707" width="10.88671875" style="103" customWidth="1"/>
    <col min="8708" max="8709" width="12" style="103" customWidth="1"/>
    <col min="8710" max="8710" width="11.109375" style="103" customWidth="1"/>
    <col min="8711" max="8711" width="12.5546875" style="103" customWidth="1"/>
    <col min="8712" max="8713" width="8.5546875" style="103" customWidth="1"/>
    <col min="8714" max="8714" width="9.21875" style="103" customWidth="1"/>
    <col min="8715" max="8960" width="8.88671875" style="103"/>
    <col min="8961" max="8961" width="31.44140625" style="103" customWidth="1"/>
    <col min="8962" max="8962" width="10.44140625" style="103" customWidth="1"/>
    <col min="8963" max="8963" width="10.88671875" style="103" customWidth="1"/>
    <col min="8964" max="8965" width="12" style="103" customWidth="1"/>
    <col min="8966" max="8966" width="11.109375" style="103" customWidth="1"/>
    <col min="8967" max="8967" width="12.5546875" style="103" customWidth="1"/>
    <col min="8968" max="8969" width="8.5546875" style="103" customWidth="1"/>
    <col min="8970" max="8970" width="9.21875" style="103" customWidth="1"/>
    <col min="8971" max="9216" width="8.88671875" style="103"/>
    <col min="9217" max="9217" width="31.44140625" style="103" customWidth="1"/>
    <col min="9218" max="9218" width="10.44140625" style="103" customWidth="1"/>
    <col min="9219" max="9219" width="10.88671875" style="103" customWidth="1"/>
    <col min="9220" max="9221" width="12" style="103" customWidth="1"/>
    <col min="9222" max="9222" width="11.109375" style="103" customWidth="1"/>
    <col min="9223" max="9223" width="12.5546875" style="103" customWidth="1"/>
    <col min="9224" max="9225" width="8.5546875" style="103" customWidth="1"/>
    <col min="9226" max="9226" width="9.21875" style="103" customWidth="1"/>
    <col min="9227" max="9472" width="8.88671875" style="103"/>
    <col min="9473" max="9473" width="31.44140625" style="103" customWidth="1"/>
    <col min="9474" max="9474" width="10.44140625" style="103" customWidth="1"/>
    <col min="9475" max="9475" width="10.88671875" style="103" customWidth="1"/>
    <col min="9476" max="9477" width="12" style="103" customWidth="1"/>
    <col min="9478" max="9478" width="11.109375" style="103" customWidth="1"/>
    <col min="9479" max="9479" width="12.5546875" style="103" customWidth="1"/>
    <col min="9480" max="9481" width="8.5546875" style="103" customWidth="1"/>
    <col min="9482" max="9482" width="9.21875" style="103" customWidth="1"/>
    <col min="9483" max="9728" width="8.88671875" style="103"/>
    <col min="9729" max="9729" width="31.44140625" style="103" customWidth="1"/>
    <col min="9730" max="9730" width="10.44140625" style="103" customWidth="1"/>
    <col min="9731" max="9731" width="10.88671875" style="103" customWidth="1"/>
    <col min="9732" max="9733" width="12" style="103" customWidth="1"/>
    <col min="9734" max="9734" width="11.109375" style="103" customWidth="1"/>
    <col min="9735" max="9735" width="12.5546875" style="103" customWidth="1"/>
    <col min="9736" max="9737" width="8.5546875" style="103" customWidth="1"/>
    <col min="9738" max="9738" width="9.21875" style="103" customWidth="1"/>
    <col min="9739" max="9984" width="8.88671875" style="103"/>
    <col min="9985" max="9985" width="31.44140625" style="103" customWidth="1"/>
    <col min="9986" max="9986" width="10.44140625" style="103" customWidth="1"/>
    <col min="9987" max="9987" width="10.88671875" style="103" customWidth="1"/>
    <col min="9988" max="9989" width="12" style="103" customWidth="1"/>
    <col min="9990" max="9990" width="11.109375" style="103" customWidth="1"/>
    <col min="9991" max="9991" width="12.5546875" style="103" customWidth="1"/>
    <col min="9992" max="9993" width="8.5546875" style="103" customWidth="1"/>
    <col min="9994" max="9994" width="9.21875" style="103" customWidth="1"/>
    <col min="9995" max="10240" width="8.88671875" style="103"/>
    <col min="10241" max="10241" width="31.44140625" style="103" customWidth="1"/>
    <col min="10242" max="10242" width="10.44140625" style="103" customWidth="1"/>
    <col min="10243" max="10243" width="10.88671875" style="103" customWidth="1"/>
    <col min="10244" max="10245" width="12" style="103" customWidth="1"/>
    <col min="10246" max="10246" width="11.109375" style="103" customWidth="1"/>
    <col min="10247" max="10247" width="12.5546875" style="103" customWidth="1"/>
    <col min="10248" max="10249" width="8.5546875" style="103" customWidth="1"/>
    <col min="10250" max="10250" width="9.21875" style="103" customWidth="1"/>
    <col min="10251" max="10496" width="8.88671875" style="103"/>
    <col min="10497" max="10497" width="31.44140625" style="103" customWidth="1"/>
    <col min="10498" max="10498" width="10.44140625" style="103" customWidth="1"/>
    <col min="10499" max="10499" width="10.88671875" style="103" customWidth="1"/>
    <col min="10500" max="10501" width="12" style="103" customWidth="1"/>
    <col min="10502" max="10502" width="11.109375" style="103" customWidth="1"/>
    <col min="10503" max="10503" width="12.5546875" style="103" customWidth="1"/>
    <col min="10504" max="10505" width="8.5546875" style="103" customWidth="1"/>
    <col min="10506" max="10506" width="9.21875" style="103" customWidth="1"/>
    <col min="10507" max="10752" width="8.88671875" style="103"/>
    <col min="10753" max="10753" width="31.44140625" style="103" customWidth="1"/>
    <col min="10754" max="10754" width="10.44140625" style="103" customWidth="1"/>
    <col min="10755" max="10755" width="10.88671875" style="103" customWidth="1"/>
    <col min="10756" max="10757" width="12" style="103" customWidth="1"/>
    <col min="10758" max="10758" width="11.109375" style="103" customWidth="1"/>
    <col min="10759" max="10759" width="12.5546875" style="103" customWidth="1"/>
    <col min="10760" max="10761" width="8.5546875" style="103" customWidth="1"/>
    <col min="10762" max="10762" width="9.21875" style="103" customWidth="1"/>
    <col min="10763" max="11008" width="8.88671875" style="103"/>
    <col min="11009" max="11009" width="31.44140625" style="103" customWidth="1"/>
    <col min="11010" max="11010" width="10.44140625" style="103" customWidth="1"/>
    <col min="11011" max="11011" width="10.88671875" style="103" customWidth="1"/>
    <col min="11012" max="11013" width="12" style="103" customWidth="1"/>
    <col min="11014" max="11014" width="11.109375" style="103" customWidth="1"/>
    <col min="11015" max="11015" width="12.5546875" style="103" customWidth="1"/>
    <col min="11016" max="11017" width="8.5546875" style="103" customWidth="1"/>
    <col min="11018" max="11018" width="9.21875" style="103" customWidth="1"/>
    <col min="11019" max="11264" width="8.88671875" style="103"/>
    <col min="11265" max="11265" width="31.44140625" style="103" customWidth="1"/>
    <col min="11266" max="11266" width="10.44140625" style="103" customWidth="1"/>
    <col min="11267" max="11267" width="10.88671875" style="103" customWidth="1"/>
    <col min="11268" max="11269" width="12" style="103" customWidth="1"/>
    <col min="11270" max="11270" width="11.109375" style="103" customWidth="1"/>
    <col min="11271" max="11271" width="12.5546875" style="103" customWidth="1"/>
    <col min="11272" max="11273" width="8.5546875" style="103" customWidth="1"/>
    <col min="11274" max="11274" width="9.21875" style="103" customWidth="1"/>
    <col min="11275" max="11520" width="8.88671875" style="103"/>
    <col min="11521" max="11521" width="31.44140625" style="103" customWidth="1"/>
    <col min="11522" max="11522" width="10.44140625" style="103" customWidth="1"/>
    <col min="11523" max="11523" width="10.88671875" style="103" customWidth="1"/>
    <col min="11524" max="11525" width="12" style="103" customWidth="1"/>
    <col min="11526" max="11526" width="11.109375" style="103" customWidth="1"/>
    <col min="11527" max="11527" width="12.5546875" style="103" customWidth="1"/>
    <col min="11528" max="11529" width="8.5546875" style="103" customWidth="1"/>
    <col min="11530" max="11530" width="9.21875" style="103" customWidth="1"/>
    <col min="11531" max="11776" width="8.88671875" style="103"/>
    <col min="11777" max="11777" width="31.44140625" style="103" customWidth="1"/>
    <col min="11778" max="11778" width="10.44140625" style="103" customWidth="1"/>
    <col min="11779" max="11779" width="10.88671875" style="103" customWidth="1"/>
    <col min="11780" max="11781" width="12" style="103" customWidth="1"/>
    <col min="11782" max="11782" width="11.109375" style="103" customWidth="1"/>
    <col min="11783" max="11783" width="12.5546875" style="103" customWidth="1"/>
    <col min="11784" max="11785" width="8.5546875" style="103" customWidth="1"/>
    <col min="11786" max="11786" width="9.21875" style="103" customWidth="1"/>
    <col min="11787" max="12032" width="8.88671875" style="103"/>
    <col min="12033" max="12033" width="31.44140625" style="103" customWidth="1"/>
    <col min="12034" max="12034" width="10.44140625" style="103" customWidth="1"/>
    <col min="12035" max="12035" width="10.88671875" style="103" customWidth="1"/>
    <col min="12036" max="12037" width="12" style="103" customWidth="1"/>
    <col min="12038" max="12038" width="11.109375" style="103" customWidth="1"/>
    <col min="12039" max="12039" width="12.5546875" style="103" customWidth="1"/>
    <col min="12040" max="12041" width="8.5546875" style="103" customWidth="1"/>
    <col min="12042" max="12042" width="9.21875" style="103" customWidth="1"/>
    <col min="12043" max="12288" width="8.88671875" style="103"/>
    <col min="12289" max="12289" width="31.44140625" style="103" customWidth="1"/>
    <col min="12290" max="12290" width="10.44140625" style="103" customWidth="1"/>
    <col min="12291" max="12291" width="10.88671875" style="103" customWidth="1"/>
    <col min="12292" max="12293" width="12" style="103" customWidth="1"/>
    <col min="12294" max="12294" width="11.109375" style="103" customWidth="1"/>
    <col min="12295" max="12295" width="12.5546875" style="103" customWidth="1"/>
    <col min="12296" max="12297" width="8.5546875" style="103" customWidth="1"/>
    <col min="12298" max="12298" width="9.21875" style="103" customWidth="1"/>
    <col min="12299" max="12544" width="8.88671875" style="103"/>
    <col min="12545" max="12545" width="31.44140625" style="103" customWidth="1"/>
    <col min="12546" max="12546" width="10.44140625" style="103" customWidth="1"/>
    <col min="12547" max="12547" width="10.88671875" style="103" customWidth="1"/>
    <col min="12548" max="12549" width="12" style="103" customWidth="1"/>
    <col min="12550" max="12550" width="11.109375" style="103" customWidth="1"/>
    <col min="12551" max="12551" width="12.5546875" style="103" customWidth="1"/>
    <col min="12552" max="12553" width="8.5546875" style="103" customWidth="1"/>
    <col min="12554" max="12554" width="9.21875" style="103" customWidth="1"/>
    <col min="12555" max="12800" width="8.88671875" style="103"/>
    <col min="12801" max="12801" width="31.44140625" style="103" customWidth="1"/>
    <col min="12802" max="12802" width="10.44140625" style="103" customWidth="1"/>
    <col min="12803" max="12803" width="10.88671875" style="103" customWidth="1"/>
    <col min="12804" max="12805" width="12" style="103" customWidth="1"/>
    <col min="12806" max="12806" width="11.109375" style="103" customWidth="1"/>
    <col min="12807" max="12807" width="12.5546875" style="103" customWidth="1"/>
    <col min="12808" max="12809" width="8.5546875" style="103" customWidth="1"/>
    <col min="12810" max="12810" width="9.21875" style="103" customWidth="1"/>
    <col min="12811" max="13056" width="8.88671875" style="103"/>
    <col min="13057" max="13057" width="31.44140625" style="103" customWidth="1"/>
    <col min="13058" max="13058" width="10.44140625" style="103" customWidth="1"/>
    <col min="13059" max="13059" width="10.88671875" style="103" customWidth="1"/>
    <col min="13060" max="13061" width="12" style="103" customWidth="1"/>
    <col min="13062" max="13062" width="11.109375" style="103" customWidth="1"/>
    <col min="13063" max="13063" width="12.5546875" style="103" customWidth="1"/>
    <col min="13064" max="13065" width="8.5546875" style="103" customWidth="1"/>
    <col min="13066" max="13066" width="9.21875" style="103" customWidth="1"/>
    <col min="13067" max="13312" width="8.88671875" style="103"/>
    <col min="13313" max="13313" width="31.44140625" style="103" customWidth="1"/>
    <col min="13314" max="13314" width="10.44140625" style="103" customWidth="1"/>
    <col min="13315" max="13315" width="10.88671875" style="103" customWidth="1"/>
    <col min="13316" max="13317" width="12" style="103" customWidth="1"/>
    <col min="13318" max="13318" width="11.109375" style="103" customWidth="1"/>
    <col min="13319" max="13319" width="12.5546875" style="103" customWidth="1"/>
    <col min="13320" max="13321" width="8.5546875" style="103" customWidth="1"/>
    <col min="13322" max="13322" width="9.21875" style="103" customWidth="1"/>
    <col min="13323" max="13568" width="8.88671875" style="103"/>
    <col min="13569" max="13569" width="31.44140625" style="103" customWidth="1"/>
    <col min="13570" max="13570" width="10.44140625" style="103" customWidth="1"/>
    <col min="13571" max="13571" width="10.88671875" style="103" customWidth="1"/>
    <col min="13572" max="13573" width="12" style="103" customWidth="1"/>
    <col min="13574" max="13574" width="11.109375" style="103" customWidth="1"/>
    <col min="13575" max="13575" width="12.5546875" style="103" customWidth="1"/>
    <col min="13576" max="13577" width="8.5546875" style="103" customWidth="1"/>
    <col min="13578" max="13578" width="9.21875" style="103" customWidth="1"/>
    <col min="13579" max="13824" width="8.88671875" style="103"/>
    <col min="13825" max="13825" width="31.44140625" style="103" customWidth="1"/>
    <col min="13826" max="13826" width="10.44140625" style="103" customWidth="1"/>
    <col min="13827" max="13827" width="10.88671875" style="103" customWidth="1"/>
    <col min="13828" max="13829" width="12" style="103" customWidth="1"/>
    <col min="13830" max="13830" width="11.109375" style="103" customWidth="1"/>
    <col min="13831" max="13831" width="12.5546875" style="103" customWidth="1"/>
    <col min="13832" max="13833" width="8.5546875" style="103" customWidth="1"/>
    <col min="13834" max="13834" width="9.21875" style="103" customWidth="1"/>
    <col min="13835" max="14080" width="8.88671875" style="103"/>
    <col min="14081" max="14081" width="31.44140625" style="103" customWidth="1"/>
    <col min="14082" max="14082" width="10.44140625" style="103" customWidth="1"/>
    <col min="14083" max="14083" width="10.88671875" style="103" customWidth="1"/>
    <col min="14084" max="14085" width="12" style="103" customWidth="1"/>
    <col min="14086" max="14086" width="11.109375" style="103" customWidth="1"/>
    <col min="14087" max="14087" width="12.5546875" style="103" customWidth="1"/>
    <col min="14088" max="14089" width="8.5546875" style="103" customWidth="1"/>
    <col min="14090" max="14090" width="9.21875" style="103" customWidth="1"/>
    <col min="14091" max="14336" width="8.88671875" style="103"/>
    <col min="14337" max="14337" width="31.44140625" style="103" customWidth="1"/>
    <col min="14338" max="14338" width="10.44140625" style="103" customWidth="1"/>
    <col min="14339" max="14339" width="10.88671875" style="103" customWidth="1"/>
    <col min="14340" max="14341" width="12" style="103" customWidth="1"/>
    <col min="14342" max="14342" width="11.109375" style="103" customWidth="1"/>
    <col min="14343" max="14343" width="12.5546875" style="103" customWidth="1"/>
    <col min="14344" max="14345" width="8.5546875" style="103" customWidth="1"/>
    <col min="14346" max="14346" width="9.21875" style="103" customWidth="1"/>
    <col min="14347" max="14592" width="8.88671875" style="103"/>
    <col min="14593" max="14593" width="31.44140625" style="103" customWidth="1"/>
    <col min="14594" max="14594" width="10.44140625" style="103" customWidth="1"/>
    <col min="14595" max="14595" width="10.88671875" style="103" customWidth="1"/>
    <col min="14596" max="14597" width="12" style="103" customWidth="1"/>
    <col min="14598" max="14598" width="11.109375" style="103" customWidth="1"/>
    <col min="14599" max="14599" width="12.5546875" style="103" customWidth="1"/>
    <col min="14600" max="14601" width="8.5546875" style="103" customWidth="1"/>
    <col min="14602" max="14602" width="9.21875" style="103" customWidth="1"/>
    <col min="14603" max="14848" width="8.88671875" style="103"/>
    <col min="14849" max="14849" width="31.44140625" style="103" customWidth="1"/>
    <col min="14850" max="14850" width="10.44140625" style="103" customWidth="1"/>
    <col min="14851" max="14851" width="10.88671875" style="103" customWidth="1"/>
    <col min="14852" max="14853" width="12" style="103" customWidth="1"/>
    <col min="14854" max="14854" width="11.109375" style="103" customWidth="1"/>
    <col min="14855" max="14855" width="12.5546875" style="103" customWidth="1"/>
    <col min="14856" max="14857" width="8.5546875" style="103" customWidth="1"/>
    <col min="14858" max="14858" width="9.21875" style="103" customWidth="1"/>
    <col min="14859" max="15104" width="8.88671875" style="103"/>
    <col min="15105" max="15105" width="31.44140625" style="103" customWidth="1"/>
    <col min="15106" max="15106" width="10.44140625" style="103" customWidth="1"/>
    <col min="15107" max="15107" width="10.88671875" style="103" customWidth="1"/>
    <col min="15108" max="15109" width="12" style="103" customWidth="1"/>
    <col min="15110" max="15110" width="11.109375" style="103" customWidth="1"/>
    <col min="15111" max="15111" width="12.5546875" style="103" customWidth="1"/>
    <col min="15112" max="15113" width="8.5546875" style="103" customWidth="1"/>
    <col min="15114" max="15114" width="9.21875" style="103" customWidth="1"/>
    <col min="15115" max="15360" width="8.88671875" style="103"/>
    <col min="15361" max="15361" width="31.44140625" style="103" customWidth="1"/>
    <col min="15362" max="15362" width="10.44140625" style="103" customWidth="1"/>
    <col min="15363" max="15363" width="10.88671875" style="103" customWidth="1"/>
    <col min="15364" max="15365" width="12" style="103" customWidth="1"/>
    <col min="15366" max="15366" width="11.109375" style="103" customWidth="1"/>
    <col min="15367" max="15367" width="12.5546875" style="103" customWidth="1"/>
    <col min="15368" max="15369" width="8.5546875" style="103" customWidth="1"/>
    <col min="15370" max="15370" width="9.21875" style="103" customWidth="1"/>
    <col min="15371" max="15616" width="8.88671875" style="103"/>
    <col min="15617" max="15617" width="31.44140625" style="103" customWidth="1"/>
    <col min="15618" max="15618" width="10.44140625" style="103" customWidth="1"/>
    <col min="15619" max="15619" width="10.88671875" style="103" customWidth="1"/>
    <col min="15620" max="15621" width="12" style="103" customWidth="1"/>
    <col min="15622" max="15622" width="11.109375" style="103" customWidth="1"/>
    <col min="15623" max="15623" width="12.5546875" style="103" customWidth="1"/>
    <col min="15624" max="15625" width="8.5546875" style="103" customWidth="1"/>
    <col min="15626" max="15626" width="9.21875" style="103" customWidth="1"/>
    <col min="15627" max="15872" width="8.88671875" style="103"/>
    <col min="15873" max="15873" width="31.44140625" style="103" customWidth="1"/>
    <col min="15874" max="15874" width="10.44140625" style="103" customWidth="1"/>
    <col min="15875" max="15875" width="10.88671875" style="103" customWidth="1"/>
    <col min="15876" max="15877" width="12" style="103" customWidth="1"/>
    <col min="15878" max="15878" width="11.109375" style="103" customWidth="1"/>
    <col min="15879" max="15879" width="12.5546875" style="103" customWidth="1"/>
    <col min="15880" max="15881" width="8.5546875" style="103" customWidth="1"/>
    <col min="15882" max="15882" width="9.21875" style="103" customWidth="1"/>
    <col min="15883" max="16128" width="8.88671875" style="103"/>
    <col min="16129" max="16129" width="31.44140625" style="103" customWidth="1"/>
    <col min="16130" max="16130" width="10.44140625" style="103" customWidth="1"/>
    <col min="16131" max="16131" width="10.88671875" style="103" customWidth="1"/>
    <col min="16132" max="16133" width="12" style="103" customWidth="1"/>
    <col min="16134" max="16134" width="11.109375" style="103" customWidth="1"/>
    <col min="16135" max="16135" width="12.5546875" style="103" customWidth="1"/>
    <col min="16136" max="16137" width="8.5546875" style="103" customWidth="1"/>
    <col min="16138" max="16138" width="9.21875" style="103" customWidth="1"/>
    <col min="16139" max="16384" width="8.88671875" style="103"/>
  </cols>
  <sheetData>
    <row r="1" spans="1:7">
      <c r="A1" s="11" t="s">
        <v>456</v>
      </c>
    </row>
    <row r="3" spans="1:7" ht="15.75">
      <c r="A3" s="147" t="s">
        <v>397</v>
      </c>
      <c r="B3" s="147"/>
      <c r="C3" s="147"/>
      <c r="D3" s="147"/>
      <c r="E3" s="147"/>
      <c r="F3" s="147"/>
      <c r="G3" s="147"/>
    </row>
    <row r="4" spans="1:7" ht="15.75" thickBot="1">
      <c r="A4" s="25"/>
      <c r="B4" s="22"/>
      <c r="C4" s="22"/>
      <c r="D4" s="22"/>
      <c r="E4" s="22"/>
      <c r="F4" s="22"/>
      <c r="G4" s="104" t="str">
        <f>'[1]2.2.sz.mell  '!I2</f>
        <v>Forintban!</v>
      </c>
    </row>
    <row r="5" spans="1:7" s="105" customFormat="1" ht="36.75" thickBot="1">
      <c r="A5" s="33" t="s">
        <v>398</v>
      </c>
      <c r="B5" s="34" t="s">
        <v>399</v>
      </c>
      <c r="C5" s="34" t="s">
        <v>400</v>
      </c>
      <c r="D5" s="34" t="str">
        <f>+CONCATENATE("Felhasználás   ",LEFT([1]ÖSSZEFÜGGÉSEK!A6,4)-1,". XII. 31-ig")</f>
        <v>Felhasználás   2016. XII. 31-ig</v>
      </c>
      <c r="E5" s="34" t="str">
        <f>+CONCATENATE(LEFT([1]ÖSSZEFÜGGÉSEK!A6,4),". évi",CHAR(10),"eredeti előirányzat")</f>
        <v>2017. évi
eredeti előirányzat</v>
      </c>
      <c r="F5" s="35" t="s">
        <v>286</v>
      </c>
      <c r="G5" s="35" t="s">
        <v>287</v>
      </c>
    </row>
    <row r="6" spans="1:7" s="22" customFormat="1" ht="15.75" thickBot="1">
      <c r="A6" s="106" t="s">
        <v>288</v>
      </c>
      <c r="B6" s="107" t="s">
        <v>289</v>
      </c>
      <c r="C6" s="107" t="s">
        <v>290</v>
      </c>
      <c r="D6" s="107" t="s">
        <v>291</v>
      </c>
      <c r="E6" s="107" t="s">
        <v>401</v>
      </c>
      <c r="F6" s="107" t="s">
        <v>402</v>
      </c>
      <c r="G6" s="108" t="s">
        <v>403</v>
      </c>
    </row>
    <row r="7" spans="1:7">
      <c r="A7" s="138" t="s">
        <v>415</v>
      </c>
      <c r="B7" s="110"/>
      <c r="C7" s="111"/>
      <c r="D7" s="110"/>
      <c r="E7" s="110"/>
      <c r="F7" s="110"/>
      <c r="G7" s="112">
        <f>E7+F7</f>
        <v>0</v>
      </c>
    </row>
    <row r="8" spans="1:7">
      <c r="A8" s="109" t="s">
        <v>471</v>
      </c>
      <c r="B8" s="110">
        <f>2756000+373800</f>
        <v>3129800</v>
      </c>
      <c r="C8" s="111" t="s">
        <v>474</v>
      </c>
      <c r="D8" s="110"/>
      <c r="E8" s="110">
        <v>4358000</v>
      </c>
      <c r="F8" s="110">
        <v>-58350</v>
      </c>
      <c r="G8" s="112">
        <f t="shared" ref="G8:G24" si="0">E8+F8</f>
        <v>4299650</v>
      </c>
    </row>
    <row r="9" spans="1:7">
      <c r="A9" s="109" t="s">
        <v>472</v>
      </c>
      <c r="B9" s="110">
        <v>133350</v>
      </c>
      <c r="C9" s="111" t="s">
        <v>474</v>
      </c>
      <c r="D9" s="110"/>
      <c r="E9" s="110"/>
      <c r="F9" s="110">
        <v>133350</v>
      </c>
      <c r="G9" s="112">
        <f t="shared" si="0"/>
        <v>133350</v>
      </c>
    </row>
    <row r="10" spans="1:7">
      <c r="A10" s="109" t="s">
        <v>476</v>
      </c>
      <c r="B10" s="110"/>
      <c r="C10" s="111" t="s">
        <v>474</v>
      </c>
      <c r="D10" s="110"/>
      <c r="E10" s="110">
        <v>225918000</v>
      </c>
      <c r="F10" s="110">
        <v>-200000000</v>
      </c>
      <c r="G10" s="112">
        <f t="shared" si="0"/>
        <v>25918000</v>
      </c>
    </row>
    <row r="11" spans="1:7">
      <c r="A11" s="109" t="s">
        <v>477</v>
      </c>
      <c r="B11" s="110"/>
      <c r="C11" s="111" t="s">
        <v>474</v>
      </c>
      <c r="D11" s="110"/>
      <c r="E11" s="110">
        <v>1270000</v>
      </c>
      <c r="F11" s="110"/>
      <c r="G11" s="112">
        <f t="shared" si="0"/>
        <v>1270000</v>
      </c>
    </row>
    <row r="12" spans="1:7">
      <c r="A12" s="109" t="s">
        <v>478</v>
      </c>
      <c r="B12" s="110"/>
      <c r="C12" s="111"/>
      <c r="D12" s="110"/>
      <c r="E12" s="110">
        <v>6350000</v>
      </c>
      <c r="F12" s="110"/>
      <c r="G12" s="112">
        <f t="shared" si="0"/>
        <v>6350000</v>
      </c>
    </row>
    <row r="13" spans="1:7">
      <c r="A13" s="109" t="s">
        <v>479</v>
      </c>
      <c r="B13" s="110"/>
      <c r="C13" s="111"/>
      <c r="D13" s="110"/>
      <c r="E13" s="110">
        <v>1270000</v>
      </c>
      <c r="F13" s="110"/>
      <c r="G13" s="112">
        <f t="shared" si="0"/>
        <v>1270000</v>
      </c>
    </row>
    <row r="14" spans="1:7">
      <c r="A14" s="109" t="s">
        <v>480</v>
      </c>
      <c r="B14" s="110"/>
      <c r="C14" s="111"/>
      <c r="D14" s="110"/>
      <c r="E14" s="110">
        <v>635000</v>
      </c>
      <c r="F14" s="110"/>
      <c r="G14" s="112">
        <f t="shared" si="0"/>
        <v>635000</v>
      </c>
    </row>
    <row r="15" spans="1:7">
      <c r="A15" s="109"/>
      <c r="B15" s="110"/>
      <c r="C15" s="111"/>
      <c r="D15" s="110"/>
      <c r="E15" s="110"/>
      <c r="F15" s="110"/>
      <c r="G15" s="112">
        <f t="shared" si="0"/>
        <v>0</v>
      </c>
    </row>
    <row r="16" spans="1:7">
      <c r="A16" s="138" t="s">
        <v>468</v>
      </c>
      <c r="B16" s="110"/>
      <c r="C16" s="111"/>
      <c r="D16" s="110"/>
      <c r="E16" s="110"/>
      <c r="F16" s="110"/>
      <c r="G16" s="112">
        <f t="shared" si="0"/>
        <v>0</v>
      </c>
    </row>
    <row r="17" spans="1:7">
      <c r="A17" s="109" t="s">
        <v>469</v>
      </c>
      <c r="B17" s="110">
        <v>191833</v>
      </c>
      <c r="C17" s="111" t="s">
        <v>474</v>
      </c>
      <c r="D17" s="110">
        <v>0</v>
      </c>
      <c r="E17" s="110">
        <v>0</v>
      </c>
      <c r="F17" s="110">
        <v>191833</v>
      </c>
      <c r="G17" s="112">
        <f t="shared" si="0"/>
        <v>191833</v>
      </c>
    </row>
    <row r="18" spans="1:7">
      <c r="A18" s="109" t="s">
        <v>473</v>
      </c>
      <c r="B18" s="110"/>
      <c r="C18" s="111" t="s">
        <v>474</v>
      </c>
      <c r="D18" s="110">
        <v>0</v>
      </c>
      <c r="E18" s="110">
        <v>1000000</v>
      </c>
      <c r="F18" s="110"/>
      <c r="G18" s="112">
        <f t="shared" si="0"/>
        <v>1000000</v>
      </c>
    </row>
    <row r="19" spans="1:7">
      <c r="A19" s="109" t="s">
        <v>475</v>
      </c>
      <c r="B19" s="110"/>
      <c r="C19" s="111" t="s">
        <v>474</v>
      </c>
      <c r="D19" s="110"/>
      <c r="E19" s="110">
        <v>2540000</v>
      </c>
      <c r="F19" s="110"/>
      <c r="G19" s="112">
        <f t="shared" si="0"/>
        <v>2540000</v>
      </c>
    </row>
    <row r="20" spans="1:7">
      <c r="A20" s="109"/>
      <c r="B20" s="110"/>
      <c r="C20" s="111"/>
      <c r="D20" s="110"/>
      <c r="E20" s="110"/>
      <c r="F20" s="110"/>
      <c r="G20" s="112">
        <f t="shared" si="0"/>
        <v>0</v>
      </c>
    </row>
    <row r="21" spans="1:7">
      <c r="A21" s="109"/>
      <c r="B21" s="110"/>
      <c r="C21" s="111"/>
      <c r="D21" s="110"/>
      <c r="E21" s="110"/>
      <c r="F21" s="110"/>
      <c r="G21" s="112">
        <f t="shared" si="0"/>
        <v>0</v>
      </c>
    </row>
    <row r="22" spans="1:7">
      <c r="A22" s="138" t="s">
        <v>417</v>
      </c>
      <c r="B22" s="110"/>
      <c r="C22" s="111"/>
      <c r="D22" s="110"/>
      <c r="E22" s="110"/>
      <c r="F22" s="110"/>
      <c r="G22" s="112">
        <f t="shared" si="0"/>
        <v>0</v>
      </c>
    </row>
    <row r="23" spans="1:7">
      <c r="A23" s="109" t="s">
        <v>470</v>
      </c>
      <c r="B23" s="110">
        <v>14990</v>
      </c>
      <c r="C23" s="111" t="s">
        <v>474</v>
      </c>
      <c r="D23" s="110"/>
      <c r="E23" s="110"/>
      <c r="F23" s="110">
        <v>14990</v>
      </c>
      <c r="G23" s="112">
        <f t="shared" si="0"/>
        <v>14990</v>
      </c>
    </row>
    <row r="24" spans="1:7" ht="15.75" thickBot="1">
      <c r="A24" s="109"/>
      <c r="B24" s="110"/>
      <c r="C24" s="111"/>
      <c r="D24" s="110"/>
      <c r="E24" s="110"/>
      <c r="F24" s="110"/>
      <c r="G24" s="112">
        <f t="shared" si="0"/>
        <v>0</v>
      </c>
    </row>
    <row r="25" spans="1:7" s="117" customFormat="1" ht="13.5" thickBot="1">
      <c r="A25" s="113" t="s">
        <v>404</v>
      </c>
      <c r="B25" s="114">
        <f>SUM(B7:B24)</f>
        <v>3469973</v>
      </c>
      <c r="C25" s="115"/>
      <c r="D25" s="114">
        <f>SUM(D7:D24)</f>
        <v>0</v>
      </c>
      <c r="E25" s="114">
        <f>SUM(E7:E24)</f>
        <v>243341000</v>
      </c>
      <c r="F25" s="114">
        <f>SUM(F7:F24)</f>
        <v>-199718177</v>
      </c>
      <c r="G25" s="116">
        <f>SUM(G7:G24)</f>
        <v>43622823</v>
      </c>
    </row>
  </sheetData>
  <mergeCells count="1">
    <mergeCell ref="A3:G3"/>
  </mergeCells>
  <pageMargins left="0.25" right="0.25" top="0.75" bottom="0.75" header="0.3" footer="0.3"/>
  <pageSetup paperSize="9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FF0000"/>
  </sheetPr>
  <dimension ref="A1:H142"/>
  <sheetViews>
    <sheetView zoomScaleNormal="100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8" max="8" width="10.6640625" style="126" bestFit="1" customWidth="1"/>
  </cols>
  <sheetData>
    <row r="1" spans="1:8">
      <c r="A1" s="11" t="s">
        <v>266</v>
      </c>
    </row>
    <row r="2" spans="1:8">
      <c r="A2" s="9" t="s">
        <v>267</v>
      </c>
    </row>
    <row r="3" spans="1:8">
      <c r="A3" t="s">
        <v>17</v>
      </c>
    </row>
    <row r="5" spans="1:8" ht="75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272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8.25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5.5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 t="shared" ref="C12:E12" si="2">SUM(C6:C11)</f>
        <v>0</v>
      </c>
      <c r="D12" s="15">
        <f t="shared" si="2"/>
        <v>0</v>
      </c>
      <c r="E12" s="15">
        <f t="shared" si="2"/>
        <v>0</v>
      </c>
      <c r="F12" s="15">
        <f t="shared" si="0"/>
        <v>0</v>
      </c>
      <c r="G12" s="15">
        <f t="shared" ref="G12" si="3">SUM(G6:G11)</f>
        <v>0</v>
      </c>
      <c r="H12" s="124" t="e">
        <f t="shared" si="1"/>
        <v>#DIV/0!</v>
      </c>
    </row>
    <row r="13" spans="1:8" ht="25.5">
      <c r="A13" s="13" t="s">
        <v>67</v>
      </c>
      <c r="B13" s="14" t="s">
        <v>185</v>
      </c>
      <c r="C13" s="15">
        <f t="shared" ref="C13:E13" si="4">SUM(C14:C19)</f>
        <v>7599400</v>
      </c>
      <c r="D13" s="15">
        <f t="shared" si="4"/>
        <v>7610000</v>
      </c>
      <c r="E13" s="15">
        <f t="shared" si="4"/>
        <v>0</v>
      </c>
      <c r="F13" s="15">
        <f t="shared" si="0"/>
        <v>7610000</v>
      </c>
      <c r="G13" s="15">
        <f t="shared" ref="G13" si="5">SUM(G14:G19)</f>
        <v>3797900</v>
      </c>
      <c r="H13" s="124">
        <f t="shared" si="1"/>
        <v>0.49906701708278584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7599400</v>
      </c>
      <c r="D17" s="15">
        <v>7610000</v>
      </c>
      <c r="E17" s="15">
        <v>0</v>
      </c>
      <c r="F17" s="15">
        <f t="shared" si="0"/>
        <v>7610000</v>
      </c>
      <c r="G17" s="15">
        <v>3797900</v>
      </c>
      <c r="H17" s="124">
        <f t="shared" si="1"/>
        <v>0.49906701708278584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 t="shared" ref="C20:G20" si="6">C12+C13</f>
        <v>7599400</v>
      </c>
      <c r="D20" s="18">
        <f t="shared" si="6"/>
        <v>7610000</v>
      </c>
      <c r="E20" s="18">
        <f t="shared" si="6"/>
        <v>0</v>
      </c>
      <c r="F20" s="18">
        <f t="shared" si="0"/>
        <v>7610000</v>
      </c>
      <c r="G20" s="18">
        <f t="shared" si="6"/>
        <v>3797900</v>
      </c>
      <c r="H20" s="125">
        <f t="shared" si="1"/>
        <v>0.49906701708278584</v>
      </c>
    </row>
    <row r="21" spans="1:8" ht="25.5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8.25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5.5">
      <c r="A49" s="16">
        <v>231</v>
      </c>
      <c r="B49" s="17" t="s">
        <v>460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8.25">
      <c r="A50" s="20">
        <v>232</v>
      </c>
      <c r="B50" s="19" t="s">
        <v>459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5.5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5.5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5.5">
      <c r="A56" s="16" t="s">
        <v>253</v>
      </c>
      <c r="B56" s="17" t="s">
        <v>254</v>
      </c>
      <c r="C56" s="18">
        <f t="shared" ref="C56:E56" si="30">C55+C46+C48+C36+C20+C22</f>
        <v>7599400</v>
      </c>
      <c r="D56" s="18">
        <f t="shared" si="30"/>
        <v>7610000</v>
      </c>
      <c r="E56" s="18">
        <f t="shared" si="30"/>
        <v>0</v>
      </c>
      <c r="F56" s="18">
        <f t="shared" si="0"/>
        <v>7610000</v>
      </c>
      <c r="G56" s="18">
        <f t="shared" ref="G56" si="31">G55+G46+G48+G36+G20+G22</f>
        <v>3797900</v>
      </c>
      <c r="H56" s="125">
        <f t="shared" si="1"/>
        <v>0.49906701708278584</v>
      </c>
    </row>
    <row r="57" spans="1:8" ht="25.5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412</v>
      </c>
      <c r="C60" s="15"/>
      <c r="D60" s="15"/>
      <c r="E60" s="15"/>
      <c r="F60" s="15"/>
      <c r="G60" s="15"/>
      <c r="H60" s="124"/>
    </row>
    <row r="61" spans="1:8" ht="25.5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5.5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7599400</v>
      </c>
      <c r="D63" s="18">
        <f t="shared" si="37"/>
        <v>7610000</v>
      </c>
      <c r="E63" s="18">
        <f t="shared" si="37"/>
        <v>0</v>
      </c>
      <c r="F63" s="18">
        <f t="shared" si="0"/>
        <v>7610000</v>
      </c>
      <c r="G63" s="18">
        <f t="shared" ref="G63" si="38">G56+G62</f>
        <v>3797900</v>
      </c>
      <c r="H63" s="125">
        <f t="shared" si="1"/>
        <v>0.49906701708278584</v>
      </c>
    </row>
    <row r="65" spans="1:8" ht="75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272</v>
      </c>
      <c r="G65" s="12" t="s">
        <v>273</v>
      </c>
      <c r="H65" s="123" t="s">
        <v>274</v>
      </c>
    </row>
    <row r="66" spans="1:8" ht="25.5">
      <c r="A66" s="13" t="s">
        <v>31</v>
      </c>
      <c r="B66" s="14" t="s">
        <v>32</v>
      </c>
      <c r="C66" s="15">
        <v>2906440</v>
      </c>
      <c r="D66" s="15">
        <v>4317000</v>
      </c>
      <c r="E66" s="15">
        <v>-1000000</v>
      </c>
      <c r="F66" s="15">
        <f t="shared" si="0"/>
        <v>3317000</v>
      </c>
      <c r="G66" s="15">
        <v>1988055</v>
      </c>
      <c r="H66" s="124">
        <f t="shared" si="1"/>
        <v>0.59935333132348512</v>
      </c>
    </row>
    <row r="67" spans="1:8" ht="25.5">
      <c r="A67" s="21" t="s">
        <v>178</v>
      </c>
      <c r="B67" s="14" t="s">
        <v>282</v>
      </c>
      <c r="C67" s="15"/>
      <c r="D67" s="15"/>
      <c r="E67" s="15">
        <v>100000</v>
      </c>
      <c r="F67" s="15">
        <f t="shared" si="0"/>
        <v>100000</v>
      </c>
      <c r="G67" s="15">
        <v>100000</v>
      </c>
      <c r="H67" s="124"/>
    </row>
    <row r="68" spans="1:8">
      <c r="A68" s="13" t="s">
        <v>33</v>
      </c>
      <c r="B68" s="14" t="s">
        <v>34</v>
      </c>
      <c r="C68" s="15">
        <v>102000</v>
      </c>
      <c r="D68" s="15">
        <v>60000</v>
      </c>
      <c r="E68" s="15"/>
      <c r="F68" s="15">
        <f t="shared" si="0"/>
        <v>60000</v>
      </c>
      <c r="G68" s="15">
        <v>30000</v>
      </c>
      <c r="H68" s="124">
        <f t="shared" si="1"/>
        <v>0.5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>
        <v>24000</v>
      </c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5.5">
      <c r="A71" s="13" t="s">
        <v>39</v>
      </c>
      <c r="B71" s="14" t="s">
        <v>40</v>
      </c>
      <c r="C71" s="15"/>
      <c r="D71" s="15">
        <v>12000</v>
      </c>
      <c r="E71" s="15"/>
      <c r="F71" s="15">
        <f t="shared" si="0"/>
        <v>12000</v>
      </c>
      <c r="G71" s="15"/>
      <c r="H71" s="124">
        <f t="shared" si="1"/>
        <v>0</v>
      </c>
    </row>
    <row r="72" spans="1:8" ht="25.5">
      <c r="A72" s="13" t="s">
        <v>41</v>
      </c>
      <c r="B72" s="14" t="s">
        <v>42</v>
      </c>
      <c r="C72" s="15">
        <f t="shared" ref="C72:E72" si="39">SUM(C66:C71)</f>
        <v>3032440</v>
      </c>
      <c r="D72" s="15">
        <f t="shared" si="39"/>
        <v>4389000</v>
      </c>
      <c r="E72" s="15">
        <f t="shared" si="39"/>
        <v>-900000</v>
      </c>
      <c r="F72" s="15">
        <f t="shared" si="0"/>
        <v>3489000</v>
      </c>
      <c r="G72" s="15">
        <f t="shared" ref="G72" si="40">SUM(G66:G71)</f>
        <v>2118055</v>
      </c>
      <c r="H72" s="124">
        <f t="shared" si="1"/>
        <v>0.60706649469762108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8.25">
      <c r="A74" s="13" t="s">
        <v>45</v>
      </c>
      <c r="B74" s="14" t="s">
        <v>46</v>
      </c>
      <c r="C74" s="15">
        <v>1063500</v>
      </c>
      <c r="D74" s="15"/>
      <c r="E74" s="15">
        <v>531750</v>
      </c>
      <c r="F74" s="15">
        <f t="shared" si="0"/>
        <v>531750</v>
      </c>
      <c r="G74" s="15">
        <v>531750</v>
      </c>
      <c r="H74" s="124">
        <f t="shared" si="1"/>
        <v>1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2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1063500</v>
      </c>
      <c r="D76" s="15">
        <f t="shared" si="43"/>
        <v>0</v>
      </c>
      <c r="E76" s="15">
        <f t="shared" si="43"/>
        <v>531750</v>
      </c>
      <c r="F76" s="15">
        <f t="shared" si="41"/>
        <v>531750</v>
      </c>
      <c r="G76" s="15">
        <f t="shared" ref="G76" si="44">SUM(G73:G75)</f>
        <v>531750</v>
      </c>
      <c r="H76" s="124">
        <f t="shared" si="42"/>
        <v>1</v>
      </c>
    </row>
    <row r="77" spans="1:8">
      <c r="A77" s="16" t="s">
        <v>51</v>
      </c>
      <c r="B77" s="17" t="s">
        <v>52</v>
      </c>
      <c r="C77" s="18">
        <f t="shared" ref="C77:E77" si="45">C72+C76</f>
        <v>4095940</v>
      </c>
      <c r="D77" s="18">
        <f t="shared" si="45"/>
        <v>4389000</v>
      </c>
      <c r="E77" s="18">
        <f t="shared" si="45"/>
        <v>-368250</v>
      </c>
      <c r="F77" s="18">
        <f t="shared" si="41"/>
        <v>4020750</v>
      </c>
      <c r="G77" s="18">
        <f t="shared" ref="G77" si="46">G72+G76</f>
        <v>2649805</v>
      </c>
      <c r="H77" s="125">
        <f t="shared" si="42"/>
        <v>0.65903251880867997</v>
      </c>
    </row>
    <row r="78" spans="1:8" ht="25.5">
      <c r="A78" s="16" t="s">
        <v>53</v>
      </c>
      <c r="B78" s="17" t="s">
        <v>54</v>
      </c>
      <c r="C78" s="18">
        <f t="shared" ref="C78:E78" si="47">SUM(C79:C82)</f>
        <v>1097699</v>
      </c>
      <c r="D78" s="18">
        <f t="shared" si="47"/>
        <v>1002000</v>
      </c>
      <c r="E78" s="18">
        <f t="shared" si="47"/>
        <v>0</v>
      </c>
      <c r="F78" s="18">
        <f t="shared" si="41"/>
        <v>1002000</v>
      </c>
      <c r="G78" s="18">
        <f t="shared" ref="G78" si="48">SUM(G79:G82)</f>
        <v>592627</v>
      </c>
      <c r="H78" s="125">
        <f t="shared" si="42"/>
        <v>0.59144411177644707</v>
      </c>
    </row>
    <row r="79" spans="1:8">
      <c r="A79" s="13" t="s">
        <v>55</v>
      </c>
      <c r="B79" s="14" t="s">
        <v>56</v>
      </c>
      <c r="C79" s="15">
        <v>1049654</v>
      </c>
      <c r="D79" s="15">
        <v>952000</v>
      </c>
      <c r="E79" s="15"/>
      <c r="F79" s="15">
        <f t="shared" si="41"/>
        <v>952000</v>
      </c>
      <c r="G79" s="15">
        <v>579989</v>
      </c>
      <c r="H79" s="124">
        <f t="shared" si="42"/>
        <v>0.60923214285714289</v>
      </c>
    </row>
    <row r="80" spans="1:8">
      <c r="A80" s="13" t="s">
        <v>57</v>
      </c>
      <c r="B80" s="14" t="s">
        <v>58</v>
      </c>
      <c r="C80" s="15">
        <v>27033</v>
      </c>
      <c r="D80" s="15">
        <v>32000</v>
      </c>
      <c r="E80" s="15"/>
      <c r="F80" s="15">
        <f t="shared" si="41"/>
        <v>32000</v>
      </c>
      <c r="G80" s="15">
        <v>6390</v>
      </c>
      <c r="H80" s="124">
        <f t="shared" si="42"/>
        <v>0.19968749999999999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5.5">
      <c r="A82" s="13" t="s">
        <v>61</v>
      </c>
      <c r="B82" s="14" t="s">
        <v>62</v>
      </c>
      <c r="C82" s="15">
        <v>21012</v>
      </c>
      <c r="D82" s="15">
        <v>18000</v>
      </c>
      <c r="E82" s="15"/>
      <c r="F82" s="15">
        <f t="shared" si="41"/>
        <v>18000</v>
      </c>
      <c r="G82" s="15">
        <v>6248</v>
      </c>
      <c r="H82" s="124">
        <f t="shared" si="42"/>
        <v>0.34711111111111109</v>
      </c>
    </row>
    <row r="83" spans="1:8">
      <c r="A83" s="13" t="s">
        <v>63</v>
      </c>
      <c r="B83" s="14" t="s">
        <v>64</v>
      </c>
      <c r="C83" s="15">
        <v>248558</v>
      </c>
      <c r="D83" s="15">
        <v>210000</v>
      </c>
      <c r="E83" s="15"/>
      <c r="F83" s="15">
        <f t="shared" si="41"/>
        <v>210000</v>
      </c>
      <c r="G83" s="15"/>
      <c r="H83" s="124">
        <f t="shared" si="42"/>
        <v>0</v>
      </c>
    </row>
    <row r="84" spans="1:8">
      <c r="A84" s="13" t="s">
        <v>65</v>
      </c>
      <c r="B84" s="14" t="s">
        <v>66</v>
      </c>
      <c r="C84" s="15">
        <v>335769</v>
      </c>
      <c r="D84" s="15">
        <v>340000</v>
      </c>
      <c r="E84" s="15"/>
      <c r="F84" s="15">
        <f t="shared" si="41"/>
        <v>340000</v>
      </c>
      <c r="G84" s="15">
        <v>689</v>
      </c>
      <c r="H84" s="124">
        <f t="shared" si="42"/>
        <v>2.0264705882352941E-3</v>
      </c>
    </row>
    <row r="85" spans="1:8">
      <c r="A85" s="13" t="s">
        <v>67</v>
      </c>
      <c r="B85" s="14" t="s">
        <v>68</v>
      </c>
      <c r="C85" s="15">
        <f t="shared" ref="C85:E85" si="49">SUM(C83:C84)</f>
        <v>584327</v>
      </c>
      <c r="D85" s="15">
        <f t="shared" si="49"/>
        <v>550000</v>
      </c>
      <c r="E85" s="15">
        <f t="shared" si="49"/>
        <v>0</v>
      </c>
      <c r="F85" s="15">
        <f t="shared" si="41"/>
        <v>550000</v>
      </c>
      <c r="G85" s="15">
        <f t="shared" ref="G85" si="50">SUM(G83:G84)</f>
        <v>689</v>
      </c>
      <c r="H85" s="124">
        <f t="shared" si="42"/>
        <v>1.2527272727272728E-3</v>
      </c>
    </row>
    <row r="86" spans="1:8">
      <c r="A86" s="13" t="s">
        <v>69</v>
      </c>
      <c r="B86" s="14" t="s">
        <v>70</v>
      </c>
      <c r="C86" s="15">
        <v>93080</v>
      </c>
      <c r="D86" s="15">
        <v>85000</v>
      </c>
      <c r="E86" s="15"/>
      <c r="F86" s="15">
        <f t="shared" si="41"/>
        <v>85000</v>
      </c>
      <c r="G86" s="15">
        <v>59540</v>
      </c>
      <c r="H86" s="124">
        <f t="shared" si="42"/>
        <v>0.70047058823529407</v>
      </c>
    </row>
    <row r="87" spans="1:8">
      <c r="A87" s="13" t="s">
        <v>71</v>
      </c>
      <c r="B87" s="14" t="s">
        <v>72</v>
      </c>
      <c r="C87" s="15">
        <v>56219</v>
      </c>
      <c r="D87" s="15">
        <v>60000</v>
      </c>
      <c r="E87" s="15"/>
      <c r="F87" s="15">
        <f t="shared" si="41"/>
        <v>60000</v>
      </c>
      <c r="G87" s="15">
        <v>17985</v>
      </c>
      <c r="H87" s="124">
        <f t="shared" si="42"/>
        <v>0.29975000000000002</v>
      </c>
    </row>
    <row r="88" spans="1:8">
      <c r="A88" s="13" t="s">
        <v>73</v>
      </c>
      <c r="B88" s="14" t="s">
        <v>74</v>
      </c>
      <c r="C88" s="15">
        <f t="shared" ref="C88:E88" si="51">SUM(C86:C87)</f>
        <v>149299</v>
      </c>
      <c r="D88" s="15">
        <f t="shared" si="51"/>
        <v>145000</v>
      </c>
      <c r="E88" s="15">
        <f t="shared" si="51"/>
        <v>0</v>
      </c>
      <c r="F88" s="15">
        <f t="shared" si="41"/>
        <v>145000</v>
      </c>
      <c r="G88" s="15">
        <f t="shared" ref="G88" si="52">SUM(G86:G87)</f>
        <v>77525</v>
      </c>
      <c r="H88" s="124">
        <f t="shared" si="42"/>
        <v>0.53465517241379312</v>
      </c>
    </row>
    <row r="89" spans="1:8">
      <c r="A89" s="13" t="s">
        <v>75</v>
      </c>
      <c r="B89" s="14" t="s">
        <v>76</v>
      </c>
      <c r="C89" s="15">
        <v>69373</v>
      </c>
      <c r="D89" s="15">
        <v>100000</v>
      </c>
      <c r="E89" s="15"/>
      <c r="F89" s="15">
        <f t="shared" si="41"/>
        <v>100000</v>
      </c>
      <c r="G89" s="15">
        <v>35697</v>
      </c>
      <c r="H89" s="124">
        <f t="shared" si="42"/>
        <v>0.35697000000000001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276</v>
      </c>
      <c r="B91" s="19" t="s">
        <v>277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735000</v>
      </c>
      <c r="E92" s="15">
        <v>0</v>
      </c>
      <c r="F92" s="15">
        <f t="shared" si="41"/>
        <v>735000</v>
      </c>
      <c r="G92" s="15">
        <v>0</v>
      </c>
      <c r="H92" s="124">
        <f t="shared" si="42"/>
        <v>0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5.5">
      <c r="A95" s="13" t="s">
        <v>85</v>
      </c>
      <c r="B95" s="14" t="s">
        <v>86</v>
      </c>
      <c r="C95" s="15"/>
      <c r="D95" s="15"/>
      <c r="E95" s="15">
        <v>67284</v>
      </c>
      <c r="F95" s="15">
        <f t="shared" si="41"/>
        <v>67284</v>
      </c>
      <c r="G95" s="15">
        <v>67284</v>
      </c>
      <c r="H95" s="124">
        <f t="shared" si="42"/>
        <v>1</v>
      </c>
    </row>
    <row r="96" spans="1:8">
      <c r="A96" s="13" t="s">
        <v>87</v>
      </c>
      <c r="B96" s="14" t="s">
        <v>88</v>
      </c>
      <c r="C96" s="15">
        <v>177638</v>
      </c>
      <c r="D96" s="15">
        <v>220000</v>
      </c>
      <c r="E96" s="15"/>
      <c r="F96" s="15">
        <f t="shared" si="41"/>
        <v>220000</v>
      </c>
      <c r="G96" s="15">
        <v>54167</v>
      </c>
      <c r="H96" s="124">
        <f t="shared" si="42"/>
        <v>0.24621363636363636</v>
      </c>
    </row>
    <row r="97" spans="1:8">
      <c r="A97" s="13" t="s">
        <v>89</v>
      </c>
      <c r="B97" s="14" t="s">
        <v>90</v>
      </c>
      <c r="C97" s="15">
        <v>22040</v>
      </c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5.5">
      <c r="A98" s="13" t="s">
        <v>91</v>
      </c>
      <c r="B98" s="14" t="s">
        <v>92</v>
      </c>
      <c r="C98" s="15">
        <f>C89+C90+C92+C93+C95+C96+C91</f>
        <v>247011</v>
      </c>
      <c r="D98" s="15">
        <f t="shared" ref="D98:G98" si="53">D89+D90+D92+D93+D95+D96+D91</f>
        <v>1055000</v>
      </c>
      <c r="E98" s="15">
        <f t="shared" si="53"/>
        <v>67284</v>
      </c>
      <c r="F98" s="15">
        <f t="shared" si="53"/>
        <v>1122284</v>
      </c>
      <c r="G98" s="15">
        <f t="shared" si="53"/>
        <v>157148</v>
      </c>
      <c r="H98" s="124">
        <f t="shared" si="42"/>
        <v>0.14002516297122652</v>
      </c>
    </row>
    <row r="99" spans="1:8">
      <c r="A99" s="13" t="s">
        <v>280</v>
      </c>
      <c r="B99" s="14" t="s">
        <v>281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5.5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5.5">
      <c r="A102" s="13" t="s">
        <v>97</v>
      </c>
      <c r="B102" s="14" t="s">
        <v>98</v>
      </c>
      <c r="C102" s="15">
        <v>178639</v>
      </c>
      <c r="D102" s="15">
        <v>469000</v>
      </c>
      <c r="E102" s="15"/>
      <c r="F102" s="15">
        <f t="shared" si="41"/>
        <v>469000</v>
      </c>
      <c r="G102" s="15">
        <v>57902</v>
      </c>
      <c r="H102" s="124">
        <f t="shared" si="42"/>
        <v>0.12345842217484009</v>
      </c>
    </row>
    <row r="103" spans="1:8" s="122" customFormat="1">
      <c r="A103" s="13">
        <v>52</v>
      </c>
      <c r="B103" s="14" t="s">
        <v>458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>
        <v>4701</v>
      </c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5.5">
      <c r="A105" s="13" t="s">
        <v>101</v>
      </c>
      <c r="B105" s="14" t="s">
        <v>102</v>
      </c>
      <c r="C105" s="15">
        <f t="shared" ref="C105:E105" si="55">SUM(C102:C104)</f>
        <v>183340</v>
      </c>
      <c r="D105" s="15">
        <f t="shared" si="55"/>
        <v>469000</v>
      </c>
      <c r="E105" s="15">
        <f t="shared" si="55"/>
        <v>0</v>
      </c>
      <c r="F105" s="15">
        <f t="shared" si="41"/>
        <v>469000</v>
      </c>
      <c r="G105" s="15">
        <f t="shared" ref="G105" si="56">SUM(G102:G104)</f>
        <v>57902</v>
      </c>
      <c r="H105" s="124">
        <f t="shared" si="42"/>
        <v>0.12345842217484009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1163977</v>
      </c>
      <c r="D106" s="18">
        <f t="shared" si="57"/>
        <v>2219000</v>
      </c>
      <c r="E106" s="18">
        <f t="shared" si="57"/>
        <v>67284</v>
      </c>
      <c r="F106" s="18">
        <f t="shared" si="41"/>
        <v>2286284</v>
      </c>
      <c r="G106" s="18">
        <f t="shared" ref="G106" si="58">G85+G88+G98+G101+G105</f>
        <v>293264</v>
      </c>
      <c r="H106" s="125">
        <f t="shared" si="42"/>
        <v>0.12827102844615978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5.5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5.5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5.5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8.25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5.5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5.5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5.5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5.5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5.5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5.5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5.5">
      <c r="A119" s="13" t="s">
        <v>129</v>
      </c>
      <c r="B119" s="14" t="s">
        <v>130</v>
      </c>
      <c r="C119" s="15">
        <f t="shared" ref="C119:E119" si="68">SUM(C120:C122)</f>
        <v>8664</v>
      </c>
      <c r="D119" s="15">
        <f t="shared" si="68"/>
        <v>0</v>
      </c>
      <c r="E119" s="15">
        <f t="shared" si="68"/>
        <v>6000</v>
      </c>
      <c r="F119" s="15">
        <f t="shared" si="41"/>
        <v>6000</v>
      </c>
      <c r="G119" s="15">
        <f t="shared" ref="G119" si="69">SUM(G120:G122)</f>
        <v>6000</v>
      </c>
      <c r="H119" s="124">
        <f t="shared" si="42"/>
        <v>1</v>
      </c>
    </row>
    <row r="120" spans="1:8">
      <c r="A120" s="13" t="s">
        <v>131</v>
      </c>
      <c r="B120" s="14" t="s">
        <v>132</v>
      </c>
      <c r="C120" s="15">
        <v>8664</v>
      </c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>
        <v>6000</v>
      </c>
      <c r="F122" s="15">
        <f t="shared" si="41"/>
        <v>6000</v>
      </c>
      <c r="G122" s="15">
        <v>6000</v>
      </c>
      <c r="H122" s="124">
        <f t="shared" si="42"/>
        <v>1</v>
      </c>
    </row>
    <row r="123" spans="1:8">
      <c r="A123" s="13">
        <v>188</v>
      </c>
      <c r="B123" s="14" t="s">
        <v>275</v>
      </c>
      <c r="C123" s="15"/>
      <c r="D123" s="15"/>
      <c r="E123" s="15">
        <v>294966</v>
      </c>
      <c r="F123" s="15">
        <f t="shared" si="41"/>
        <v>294966</v>
      </c>
      <c r="G123" s="15"/>
      <c r="H123" s="124"/>
    </row>
    <row r="124" spans="1:8" ht="38.25">
      <c r="A124" s="16" t="s">
        <v>137</v>
      </c>
      <c r="B124" s="17" t="s">
        <v>138</v>
      </c>
      <c r="C124" s="18">
        <f>C116+C118+C119+C123</f>
        <v>8664</v>
      </c>
      <c r="D124" s="18">
        <f t="shared" ref="D124:G124" si="70">D116+D118+D119+D123</f>
        <v>0</v>
      </c>
      <c r="E124" s="18">
        <f t="shared" si="70"/>
        <v>300966</v>
      </c>
      <c r="F124" s="18">
        <f t="shared" si="70"/>
        <v>300966</v>
      </c>
      <c r="G124" s="18">
        <f t="shared" si="70"/>
        <v>6000</v>
      </c>
      <c r="H124" s="125">
        <f t="shared" si="42"/>
        <v>1.9935806702418214E-2</v>
      </c>
    </row>
    <row r="125" spans="1:8" s="128" customFormat="1">
      <c r="A125" s="20">
        <v>192</v>
      </c>
      <c r="B125" s="19" t="s">
        <v>466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5.5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5.5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5.5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5.5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5.5">
      <c r="A135" s="16" t="s">
        <v>157</v>
      </c>
      <c r="B135" s="17" t="s">
        <v>158</v>
      </c>
      <c r="C135" s="18">
        <f t="shared" ref="C135:E135" si="74">C77+C78+C106+C113+C124+C130+C134</f>
        <v>6366280</v>
      </c>
      <c r="D135" s="18">
        <f t="shared" si="74"/>
        <v>7610000</v>
      </c>
      <c r="E135" s="18">
        <f t="shared" si="74"/>
        <v>0</v>
      </c>
      <c r="F135" s="18">
        <f t="shared" si="41"/>
        <v>7610000</v>
      </c>
      <c r="G135" s="18">
        <f t="shared" ref="G135" si="75">G77+G78+G106+G113+G124+G130+G134</f>
        <v>3541696</v>
      </c>
      <c r="H135" s="125">
        <f t="shared" si="42"/>
        <v>0.46540026281208935</v>
      </c>
    </row>
    <row r="136" spans="1:8" ht="25.5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5.5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5.5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5.5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6366280</v>
      </c>
      <c r="D140" s="18">
        <f t="shared" si="80"/>
        <v>7610000</v>
      </c>
      <c r="E140" s="18">
        <f t="shared" si="80"/>
        <v>0</v>
      </c>
      <c r="F140" s="18">
        <f t="shared" si="41"/>
        <v>7610000</v>
      </c>
      <c r="G140" s="18">
        <f t="shared" ref="G140" si="81">G135+G139</f>
        <v>3541696</v>
      </c>
      <c r="H140" s="125">
        <f t="shared" si="42"/>
        <v>0.46540026281208935</v>
      </c>
    </row>
    <row r="141" spans="1:8" ht="25.5">
      <c r="A141" s="13" t="s">
        <v>169</v>
      </c>
      <c r="B141" s="14" t="s">
        <v>170</v>
      </c>
      <c r="C141" s="15">
        <v>1</v>
      </c>
      <c r="D141" s="15">
        <v>1</v>
      </c>
      <c r="E141" s="15"/>
      <c r="F141" s="15">
        <f t="shared" si="41"/>
        <v>1</v>
      </c>
      <c r="G141" s="15">
        <v>1</v>
      </c>
      <c r="H141" s="124"/>
    </row>
    <row r="142" spans="1:8" ht="25.5">
      <c r="A142" s="13" t="s">
        <v>171</v>
      </c>
      <c r="B142" s="14" t="s">
        <v>172</v>
      </c>
      <c r="C142" s="15">
        <v>0</v>
      </c>
      <c r="D142" s="15">
        <v>0</v>
      </c>
      <c r="E142" s="15">
        <v>0</v>
      </c>
      <c r="F142" s="15">
        <f t="shared" si="41"/>
        <v>0</v>
      </c>
      <c r="G142" s="15">
        <v>0</v>
      </c>
      <c r="H142" s="124"/>
    </row>
  </sheetData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FF0000"/>
  </sheetPr>
  <dimension ref="A1:H141"/>
  <sheetViews>
    <sheetView topLeftCell="A125" zoomScaleNormal="100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9.33203125" customWidth="1"/>
    <col min="6" max="6" width="9.5546875" customWidth="1"/>
    <col min="8" max="8" width="10.6640625" bestFit="1" customWidth="1"/>
  </cols>
  <sheetData>
    <row r="1" spans="1:8">
      <c r="A1" s="11" t="s">
        <v>266</v>
      </c>
    </row>
    <row r="2" spans="1:8">
      <c r="A2" s="9" t="s">
        <v>417</v>
      </c>
    </row>
    <row r="3" spans="1:8">
      <c r="A3" s="120" t="s">
        <v>418</v>
      </c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272</v>
      </c>
      <c r="G5" s="12" t="s">
        <v>273</v>
      </c>
      <c r="H5" s="12" t="s">
        <v>274</v>
      </c>
    </row>
    <row r="6" spans="1:8" ht="25.5">
      <c r="A6" s="13" t="s">
        <v>31</v>
      </c>
      <c r="B6" s="14" t="s">
        <v>173</v>
      </c>
      <c r="C6" s="15">
        <v>0</v>
      </c>
      <c r="D6" s="15"/>
      <c r="E6" s="15">
        <f>Önk.összesen!E6+'Ovi összesen'!E6</f>
        <v>0</v>
      </c>
      <c r="F6" s="15">
        <f>SUM(D6:E6)</f>
        <v>0</v>
      </c>
      <c r="G6" s="15">
        <v>0</v>
      </c>
      <c r="H6" s="135" t="e">
        <f>G6/F6</f>
        <v>#DIV/0!</v>
      </c>
    </row>
    <row r="7" spans="1:8" ht="25.5">
      <c r="A7" s="13" t="s">
        <v>174</v>
      </c>
      <c r="B7" s="14" t="s">
        <v>175</v>
      </c>
      <c r="C7" s="15">
        <v>0</v>
      </c>
      <c r="D7" s="15"/>
      <c r="E7" s="15">
        <f>Önk.összesen!E7+'Ovi összesen'!E7</f>
        <v>0</v>
      </c>
      <c r="F7" s="15">
        <f t="shared" ref="F7:F60" si="0">SUM(D7:E7)</f>
        <v>0</v>
      </c>
      <c r="G7" s="15">
        <v>0</v>
      </c>
      <c r="H7" s="135" t="e">
        <f t="shared" ref="H7:H73" si="1">G7/F7</f>
        <v>#DIV/0!</v>
      </c>
    </row>
    <row r="8" spans="1:8" ht="38.25">
      <c r="A8" s="13" t="s">
        <v>176</v>
      </c>
      <c r="B8" s="14" t="s">
        <v>177</v>
      </c>
      <c r="C8" s="15">
        <v>0</v>
      </c>
      <c r="D8" s="15"/>
      <c r="E8" s="15">
        <f>Önk.összesen!E8+'Ovi összesen'!E8</f>
        <v>0</v>
      </c>
      <c r="F8" s="15">
        <f t="shared" si="0"/>
        <v>0</v>
      </c>
      <c r="G8" s="15">
        <v>0</v>
      </c>
      <c r="H8" s="135" t="e">
        <f t="shared" si="1"/>
        <v>#DIV/0!</v>
      </c>
    </row>
    <row r="9" spans="1:8" ht="25.5">
      <c r="A9" s="13" t="s">
        <v>178</v>
      </c>
      <c r="B9" s="14" t="s">
        <v>179</v>
      </c>
      <c r="C9" s="15">
        <v>0</v>
      </c>
      <c r="D9" s="15"/>
      <c r="E9" s="15">
        <f>Önk.összesen!E9+'Ovi összesen'!E9</f>
        <v>0</v>
      </c>
      <c r="F9" s="15">
        <f t="shared" si="0"/>
        <v>0</v>
      </c>
      <c r="G9" s="15">
        <v>0</v>
      </c>
      <c r="H9" s="135" t="e">
        <f t="shared" si="1"/>
        <v>#DIV/0!</v>
      </c>
    </row>
    <row r="10" spans="1:8" ht="25.5">
      <c r="A10" s="13" t="s">
        <v>180</v>
      </c>
      <c r="B10" s="14" t="s">
        <v>181</v>
      </c>
      <c r="C10" s="15">
        <v>0</v>
      </c>
      <c r="D10" s="15"/>
      <c r="E10" s="15">
        <v>0</v>
      </c>
      <c r="F10" s="15">
        <f t="shared" si="0"/>
        <v>0</v>
      </c>
      <c r="G10" s="15">
        <v>0</v>
      </c>
      <c r="H10" s="135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f>Önk.összesen!D11+'Ovi összesen'!D11</f>
        <v>0</v>
      </c>
      <c r="E11" s="15">
        <v>0</v>
      </c>
      <c r="F11" s="15">
        <f t="shared" si="0"/>
        <v>0</v>
      </c>
      <c r="G11" s="15">
        <v>0</v>
      </c>
      <c r="H11" s="135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>SUM(C6:C11)</f>
        <v>0</v>
      </c>
      <c r="D12" s="15">
        <f t="shared" ref="D12" si="2">SUM(D6:D11)</f>
        <v>0</v>
      </c>
      <c r="E12" s="15">
        <v>0</v>
      </c>
      <c r="F12" s="15">
        <f t="shared" si="0"/>
        <v>0</v>
      </c>
      <c r="G12" s="15">
        <f>SUM(G6:G11)</f>
        <v>0</v>
      </c>
      <c r="H12" s="135" t="e">
        <f t="shared" si="1"/>
        <v>#DIV/0!</v>
      </c>
    </row>
    <row r="13" spans="1:8" ht="25.5">
      <c r="A13" s="13" t="s">
        <v>67</v>
      </c>
      <c r="B13" s="14" t="s">
        <v>185</v>
      </c>
      <c r="C13" s="15">
        <f>SUM(C14:C19)</f>
        <v>953280</v>
      </c>
      <c r="D13" s="15">
        <f t="shared" ref="D13:E13" si="3">SUM(D14:D19)</f>
        <v>200000</v>
      </c>
      <c r="E13" s="15">
        <f t="shared" si="3"/>
        <v>-200000</v>
      </c>
      <c r="F13" s="15">
        <f t="shared" si="0"/>
        <v>0</v>
      </c>
      <c r="G13" s="15">
        <f>SUM(G14:G19)</f>
        <v>0</v>
      </c>
      <c r="H13" s="135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f>Önk.összesen!D14+'Ovi összesen'!D14</f>
        <v>0</v>
      </c>
      <c r="E14" s="15">
        <v>0</v>
      </c>
      <c r="F14" s="15">
        <f t="shared" si="0"/>
        <v>0</v>
      </c>
      <c r="G14" s="15">
        <v>0</v>
      </c>
      <c r="H14" s="135" t="e">
        <f t="shared" si="1"/>
        <v>#DIV/0!</v>
      </c>
    </row>
    <row r="15" spans="1:8" ht="38.25">
      <c r="A15" s="13" t="s">
        <v>73</v>
      </c>
      <c r="B15" s="14" t="s">
        <v>187</v>
      </c>
      <c r="C15" s="15">
        <v>0</v>
      </c>
      <c r="D15" s="15">
        <f>Önk.összesen!D15+'Ovi összesen'!D15</f>
        <v>0</v>
      </c>
      <c r="E15" s="15">
        <f>Önk.összesen!E15+'Ovi összesen'!E15</f>
        <v>0</v>
      </c>
      <c r="F15" s="15">
        <f t="shared" si="0"/>
        <v>0</v>
      </c>
      <c r="G15" s="15">
        <v>0</v>
      </c>
      <c r="H15" s="135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953280</v>
      </c>
      <c r="D16" s="15">
        <v>200000</v>
      </c>
      <c r="E16" s="15">
        <v>-200000</v>
      </c>
      <c r="F16" s="15">
        <f t="shared" si="0"/>
        <v>0</v>
      </c>
      <c r="G16" s="15">
        <v>0</v>
      </c>
      <c r="H16" s="135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f>Önk.összesen!E17+'Ovi összesen'!E17</f>
        <v>0</v>
      </c>
      <c r="F17" s="15">
        <f t="shared" si="0"/>
        <v>0</v>
      </c>
      <c r="G17" s="15">
        <v>0</v>
      </c>
      <c r="H17" s="135" t="e">
        <f t="shared" si="1"/>
        <v>#DIV/0!</v>
      </c>
    </row>
    <row r="18" spans="1:8">
      <c r="A18" s="13" t="s">
        <v>190</v>
      </c>
      <c r="B18" s="14" t="s">
        <v>191</v>
      </c>
      <c r="C18" s="15">
        <v>0</v>
      </c>
      <c r="D18" s="15">
        <v>0</v>
      </c>
      <c r="E18" s="15">
        <f>Önk.összesen!E18+'Ovi összesen'!E18</f>
        <v>0</v>
      </c>
      <c r="F18" s="15">
        <f t="shared" si="0"/>
        <v>0</v>
      </c>
      <c r="G18" s="15">
        <v>0</v>
      </c>
      <c r="H18" s="135" t="e">
        <f t="shared" si="1"/>
        <v>#DIV/0!</v>
      </c>
    </row>
    <row r="19" spans="1:8" ht="25.5">
      <c r="A19" s="13" t="s">
        <v>81</v>
      </c>
      <c r="B19" s="14" t="s">
        <v>192</v>
      </c>
      <c r="C19" s="15">
        <v>0</v>
      </c>
      <c r="D19" s="15">
        <f>Önk.összesen!D19+'Ovi összesen'!D19</f>
        <v>0</v>
      </c>
      <c r="E19" s="15">
        <f>Önk.összesen!E19+'Ovi összesen'!E19</f>
        <v>0</v>
      </c>
      <c r="F19" s="15">
        <f t="shared" si="0"/>
        <v>0</v>
      </c>
      <c r="G19" s="15">
        <f>Önk.összesen!G19+'Ovi összesen'!G19</f>
        <v>0</v>
      </c>
      <c r="H19" s="135" t="e">
        <f t="shared" si="1"/>
        <v>#DIV/0!</v>
      </c>
    </row>
    <row r="20" spans="1:8" ht="38.25">
      <c r="A20" s="16" t="s">
        <v>85</v>
      </c>
      <c r="B20" s="17" t="s">
        <v>193</v>
      </c>
      <c r="C20" s="15">
        <f>C12+C13</f>
        <v>953280</v>
      </c>
      <c r="D20" s="15">
        <f t="shared" ref="D20:G20" si="4">D12+D13</f>
        <v>200000</v>
      </c>
      <c r="E20" s="15">
        <f t="shared" si="4"/>
        <v>-200000</v>
      </c>
      <c r="F20" s="15">
        <f t="shared" si="0"/>
        <v>0</v>
      </c>
      <c r="G20" s="15">
        <f t="shared" si="4"/>
        <v>0</v>
      </c>
      <c r="H20" s="136" t="e">
        <f t="shared" si="1"/>
        <v>#DIV/0!</v>
      </c>
    </row>
    <row r="21" spans="1:8" ht="25.5">
      <c r="A21" s="13" t="s">
        <v>87</v>
      </c>
      <c r="B21" s="14" t="s">
        <v>194</v>
      </c>
      <c r="C21" s="15">
        <v>0</v>
      </c>
      <c r="D21" s="15">
        <f>Önk.összesen!D21+'Ovi összesen'!D21</f>
        <v>0</v>
      </c>
      <c r="E21" s="15">
        <f>Önk.összesen!E21+'Ovi összesen'!E21</f>
        <v>0</v>
      </c>
      <c r="F21" s="15">
        <f t="shared" si="0"/>
        <v>0</v>
      </c>
      <c r="G21" s="15">
        <v>0</v>
      </c>
      <c r="H21" s="135" t="e">
        <f t="shared" si="1"/>
        <v>#DIV/0!</v>
      </c>
    </row>
    <row r="22" spans="1:8" ht="38.25">
      <c r="A22" s="16" t="s">
        <v>195</v>
      </c>
      <c r="B22" s="17" t="s">
        <v>196</v>
      </c>
      <c r="C22" s="15">
        <f>SUM(C21)</f>
        <v>0</v>
      </c>
      <c r="D22" s="15">
        <f t="shared" ref="D22:G22" si="5">SUM(D21)</f>
        <v>0</v>
      </c>
      <c r="E22" s="15">
        <f t="shared" si="5"/>
        <v>0</v>
      </c>
      <c r="F22" s="15">
        <f t="shared" si="0"/>
        <v>0</v>
      </c>
      <c r="G22" s="15">
        <f t="shared" si="5"/>
        <v>0</v>
      </c>
      <c r="H22" s="136" t="e">
        <f t="shared" si="1"/>
        <v>#DIV/0!</v>
      </c>
    </row>
    <row r="23" spans="1:8" ht="25.5">
      <c r="A23" s="13" t="s">
        <v>197</v>
      </c>
      <c r="B23" s="14" t="s">
        <v>198</v>
      </c>
      <c r="C23" s="15">
        <v>0</v>
      </c>
      <c r="D23" s="15">
        <f>Önk.összesen!D23+'Ovi összesen'!D23</f>
        <v>0</v>
      </c>
      <c r="E23" s="15">
        <f>Önk.összesen!E23+'Ovi összesen'!E23</f>
        <v>0</v>
      </c>
      <c r="F23" s="15">
        <f t="shared" si="0"/>
        <v>0</v>
      </c>
      <c r="G23" s="15">
        <v>0</v>
      </c>
      <c r="H23" s="135" t="e">
        <f t="shared" si="1"/>
        <v>#DIV/0!</v>
      </c>
    </row>
    <row r="24" spans="1:8" ht="25.5">
      <c r="A24" s="13" t="s">
        <v>199</v>
      </c>
      <c r="B24" s="14" t="s">
        <v>200</v>
      </c>
      <c r="C24" s="15">
        <v>0</v>
      </c>
      <c r="D24" s="15">
        <f>Önk.összesen!D24+'Ovi összesen'!D24</f>
        <v>0</v>
      </c>
      <c r="E24" s="15">
        <f>Önk.összesen!E24+'Ovi összesen'!E24</f>
        <v>0</v>
      </c>
      <c r="F24" s="15">
        <f t="shared" si="0"/>
        <v>0</v>
      </c>
      <c r="G24" s="15">
        <v>0</v>
      </c>
      <c r="H24" s="135" t="e">
        <f t="shared" si="1"/>
        <v>#DIV/0!</v>
      </c>
    </row>
    <row r="25" spans="1:8">
      <c r="A25" s="13" t="s">
        <v>201</v>
      </c>
      <c r="B25" s="14" t="s">
        <v>202</v>
      </c>
      <c r="C25" s="15">
        <v>0</v>
      </c>
      <c r="D25" s="15">
        <f>Önk.összesen!D25+'Ovi összesen'!D25</f>
        <v>0</v>
      </c>
      <c r="E25" s="15">
        <f>Önk.összesen!E25+'Ovi összesen'!E25</f>
        <v>0</v>
      </c>
      <c r="F25" s="15">
        <f t="shared" si="0"/>
        <v>0</v>
      </c>
      <c r="G25" s="15">
        <f>SUM(G23)</f>
        <v>0</v>
      </c>
      <c r="H25" s="135" t="e">
        <f t="shared" si="1"/>
        <v>#DIV/0!</v>
      </c>
    </row>
    <row r="26" spans="1:8">
      <c r="A26" s="13" t="s">
        <v>203</v>
      </c>
      <c r="B26" s="14" t="s">
        <v>204</v>
      </c>
      <c r="C26" s="15">
        <v>0</v>
      </c>
      <c r="D26" s="15"/>
      <c r="E26" s="15">
        <v>0</v>
      </c>
      <c r="F26" s="15">
        <f t="shared" si="0"/>
        <v>0</v>
      </c>
      <c r="G26" s="15">
        <f>SUM(G27)</f>
        <v>0</v>
      </c>
      <c r="H26" s="135" t="e">
        <f t="shared" si="1"/>
        <v>#DIV/0!</v>
      </c>
    </row>
    <row r="27" spans="1:8">
      <c r="A27" s="13" t="s">
        <v>205</v>
      </c>
      <c r="B27" s="14" t="s">
        <v>206</v>
      </c>
      <c r="C27" s="15">
        <v>0</v>
      </c>
      <c r="D27" s="15"/>
      <c r="E27" s="15">
        <v>0</v>
      </c>
      <c r="F27" s="15">
        <f t="shared" si="0"/>
        <v>0</v>
      </c>
      <c r="G27" s="15">
        <v>0</v>
      </c>
      <c r="H27" s="135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v>0</v>
      </c>
      <c r="D28" s="15"/>
      <c r="E28" s="15">
        <f>Önk.összesen!E28+'Ovi összesen'!E28</f>
        <v>0</v>
      </c>
      <c r="F28" s="15">
        <f t="shared" si="0"/>
        <v>0</v>
      </c>
      <c r="G28" s="15">
        <f>SUM(G29)</f>
        <v>0</v>
      </c>
      <c r="H28" s="135" t="e">
        <f t="shared" si="1"/>
        <v>#DIV/0!</v>
      </c>
    </row>
    <row r="29" spans="1:8" ht="38.25">
      <c r="A29" s="13" t="s">
        <v>119</v>
      </c>
      <c r="B29" s="14" t="s">
        <v>209</v>
      </c>
      <c r="C29" s="15">
        <v>0</v>
      </c>
      <c r="D29" s="15"/>
      <c r="E29" s="15">
        <f>Önk.összesen!E29+'Ovi összesen'!E29</f>
        <v>0</v>
      </c>
      <c r="F29" s="15">
        <f t="shared" si="0"/>
        <v>0</v>
      </c>
      <c r="G29" s="15">
        <v>0</v>
      </c>
      <c r="H29" s="135" t="e">
        <f t="shared" si="1"/>
        <v>#DIV/0!</v>
      </c>
    </row>
    <row r="30" spans="1:8">
      <c r="A30" s="13" t="s">
        <v>210</v>
      </c>
      <c r="B30" s="14" t="s">
        <v>211</v>
      </c>
      <c r="C30" s="15">
        <v>0</v>
      </c>
      <c r="D30" s="15"/>
      <c r="E30" s="15">
        <v>0</v>
      </c>
      <c r="F30" s="15">
        <f t="shared" si="0"/>
        <v>0</v>
      </c>
      <c r="G30" s="15">
        <f>SUM(G31)</f>
        <v>0</v>
      </c>
      <c r="H30" s="135" t="e">
        <f t="shared" si="1"/>
        <v>#DIV/0!</v>
      </c>
    </row>
    <row r="31" spans="1:8" ht="25.5">
      <c r="A31" s="13" t="s">
        <v>212</v>
      </c>
      <c r="B31" s="14" t="s">
        <v>213</v>
      </c>
      <c r="C31" s="15">
        <v>0</v>
      </c>
      <c r="D31" s="15"/>
      <c r="E31" s="15">
        <v>0</v>
      </c>
      <c r="F31" s="15">
        <f t="shared" si="0"/>
        <v>0</v>
      </c>
      <c r="G31" s="15">
        <v>0</v>
      </c>
      <c r="H31" s="135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v>0</v>
      </c>
      <c r="D32" s="15"/>
      <c r="E32" s="15">
        <v>0</v>
      </c>
      <c r="F32" s="15">
        <f t="shared" si="0"/>
        <v>0</v>
      </c>
      <c r="G32" s="15">
        <f>G28+G30</f>
        <v>0</v>
      </c>
      <c r="H32" s="135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v>0</v>
      </c>
      <c r="D33" s="15"/>
      <c r="E33" s="15">
        <v>0</v>
      </c>
      <c r="F33" s="15">
        <f t="shared" si="0"/>
        <v>0</v>
      </c>
      <c r="G33" s="15">
        <f>SUM(G34:G35)</f>
        <v>0</v>
      </c>
      <c r="H33" s="135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/>
      <c r="E34" s="15">
        <f>Önk.összesen!E35+'Ovi összesen'!E34</f>
        <v>0</v>
      </c>
      <c r="F34" s="15">
        <f t="shared" si="0"/>
        <v>0</v>
      </c>
      <c r="G34" s="15">
        <v>0</v>
      </c>
      <c r="H34" s="135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/>
      <c r="E35" s="15">
        <v>0</v>
      </c>
      <c r="F35" s="15">
        <f t="shared" si="0"/>
        <v>0</v>
      </c>
      <c r="G35" s="15">
        <v>0</v>
      </c>
      <c r="H35" s="135" t="e">
        <f t="shared" si="1"/>
        <v>#DIV/0!</v>
      </c>
    </row>
    <row r="36" spans="1:8" ht="25.5">
      <c r="A36" s="16" t="s">
        <v>221</v>
      </c>
      <c r="B36" s="17" t="s">
        <v>222</v>
      </c>
      <c r="C36" s="15">
        <f>C25+C26+C28+C30+C33</f>
        <v>0</v>
      </c>
      <c r="D36" s="15">
        <f t="shared" ref="D36:G36" si="6">D25+D26+D28+D30+D33</f>
        <v>0</v>
      </c>
      <c r="E36" s="15">
        <f t="shared" si="6"/>
        <v>0</v>
      </c>
      <c r="F36" s="15">
        <f t="shared" si="0"/>
        <v>0</v>
      </c>
      <c r="G36" s="15">
        <f t="shared" si="6"/>
        <v>0</v>
      </c>
      <c r="H36" s="136" t="e">
        <f t="shared" si="1"/>
        <v>#DIV/0!</v>
      </c>
    </row>
    <row r="37" spans="1:8">
      <c r="A37" s="13" t="s">
        <v>223</v>
      </c>
      <c r="B37" s="14" t="s">
        <v>224</v>
      </c>
      <c r="C37" s="15">
        <v>0</v>
      </c>
      <c r="D37" s="15">
        <v>0</v>
      </c>
      <c r="E37" s="15">
        <f>Önk.összesen!E38+'Ovi összesen'!E37</f>
        <v>0</v>
      </c>
      <c r="F37" s="15">
        <f t="shared" si="0"/>
        <v>0</v>
      </c>
      <c r="G37" s="15">
        <v>0</v>
      </c>
      <c r="H37" s="135" t="e">
        <f t="shared" si="1"/>
        <v>#DIV/0!</v>
      </c>
    </row>
    <row r="38" spans="1:8">
      <c r="A38" s="13" t="s">
        <v>135</v>
      </c>
      <c r="B38" s="14" t="s">
        <v>225</v>
      </c>
      <c r="C38" s="15">
        <v>40000</v>
      </c>
      <c r="D38" s="15">
        <v>60000</v>
      </c>
      <c r="E38" s="15">
        <f>Önk.összesen!E39+'Ovi összesen'!E38</f>
        <v>0</v>
      </c>
      <c r="F38" s="15">
        <f t="shared" si="0"/>
        <v>60000</v>
      </c>
      <c r="G38" s="15">
        <v>20000</v>
      </c>
      <c r="H38" s="135">
        <f t="shared" si="1"/>
        <v>0.33333333333333331</v>
      </c>
    </row>
    <row r="39" spans="1:8" ht="25.5">
      <c r="A39" s="13" t="s">
        <v>226</v>
      </c>
      <c r="B39" s="14" t="s">
        <v>227</v>
      </c>
      <c r="C39" s="15">
        <v>0</v>
      </c>
      <c r="D39" s="15"/>
      <c r="E39" s="15">
        <v>0</v>
      </c>
      <c r="F39" s="15">
        <f t="shared" si="0"/>
        <v>0</v>
      </c>
      <c r="G39" s="15">
        <v>0</v>
      </c>
      <c r="H39" s="135" t="e">
        <f t="shared" si="1"/>
        <v>#DIV/0!</v>
      </c>
    </row>
    <row r="40" spans="1:8">
      <c r="A40" s="13" t="s">
        <v>228</v>
      </c>
      <c r="B40" s="14" t="s">
        <v>229</v>
      </c>
      <c r="C40" s="15">
        <v>0</v>
      </c>
      <c r="D40" s="15"/>
      <c r="E40" s="15">
        <f>Önk.összesen!E41+'Ovi összesen'!E40</f>
        <v>0</v>
      </c>
      <c r="F40" s="15">
        <f t="shared" si="0"/>
        <v>0</v>
      </c>
      <c r="G40" s="15">
        <v>0</v>
      </c>
      <c r="H40" s="135" t="e">
        <f t="shared" si="1"/>
        <v>#DIV/0!</v>
      </c>
    </row>
    <row r="41" spans="1:8">
      <c r="A41" s="13" t="s">
        <v>145</v>
      </c>
      <c r="B41" s="14" t="s">
        <v>230</v>
      </c>
      <c r="C41" s="15">
        <v>0</v>
      </c>
      <c r="D41" s="15"/>
      <c r="E41" s="15">
        <f>Önk.összesen!E42+'Ovi összesen'!E41</f>
        <v>0</v>
      </c>
      <c r="F41" s="15">
        <f t="shared" si="0"/>
        <v>0</v>
      </c>
      <c r="G41" s="15">
        <v>0</v>
      </c>
      <c r="H41" s="135" t="e">
        <f t="shared" si="1"/>
        <v>#DIV/0!</v>
      </c>
    </row>
    <row r="42" spans="1:8">
      <c r="A42" s="13" t="s">
        <v>147</v>
      </c>
      <c r="B42" s="14" t="s">
        <v>231</v>
      </c>
      <c r="C42" s="15">
        <v>0</v>
      </c>
      <c r="D42" s="15"/>
      <c r="E42" s="15">
        <f>Önk.összesen!E43+'Ovi összesen'!E42</f>
        <v>0</v>
      </c>
      <c r="F42" s="15">
        <f t="shared" si="0"/>
        <v>0</v>
      </c>
      <c r="G42" s="15">
        <v>0</v>
      </c>
      <c r="H42" s="135" t="e">
        <f t="shared" si="1"/>
        <v>#DIV/0!</v>
      </c>
    </row>
    <row r="43" spans="1:8" ht="25.5">
      <c r="A43" s="13" t="s">
        <v>155</v>
      </c>
      <c r="B43" s="14" t="s">
        <v>232</v>
      </c>
      <c r="C43" s="15">
        <v>5306</v>
      </c>
      <c r="D43" s="15">
        <v>5000</v>
      </c>
      <c r="E43" s="15">
        <v>0</v>
      </c>
      <c r="F43" s="15">
        <f t="shared" si="0"/>
        <v>5000</v>
      </c>
      <c r="G43" s="15">
        <v>544</v>
      </c>
      <c r="H43" s="135">
        <f t="shared" si="1"/>
        <v>0.10879999999999999</v>
      </c>
    </row>
    <row r="44" spans="1:8" ht="25.5">
      <c r="A44" s="13" t="s">
        <v>233</v>
      </c>
      <c r="B44" s="14" t="s">
        <v>234</v>
      </c>
      <c r="C44" s="15">
        <f>SUM(C43)</f>
        <v>5306</v>
      </c>
      <c r="D44" s="15">
        <f t="shared" ref="D44:G44" si="7">SUM(D43)</f>
        <v>5000</v>
      </c>
      <c r="E44" s="15">
        <f t="shared" si="7"/>
        <v>0</v>
      </c>
      <c r="F44" s="15">
        <f t="shared" si="0"/>
        <v>5000</v>
      </c>
      <c r="G44" s="15">
        <f t="shared" si="7"/>
        <v>544</v>
      </c>
      <c r="H44" s="135">
        <f t="shared" si="1"/>
        <v>0.10879999999999999</v>
      </c>
    </row>
    <row r="45" spans="1:8">
      <c r="A45" s="13" t="s">
        <v>235</v>
      </c>
      <c r="B45" s="14" t="s">
        <v>236</v>
      </c>
      <c r="C45" s="15">
        <v>14</v>
      </c>
      <c r="D45" s="15">
        <v>0</v>
      </c>
      <c r="E45" s="15">
        <v>0</v>
      </c>
      <c r="F45" s="15">
        <f t="shared" si="0"/>
        <v>0</v>
      </c>
      <c r="G45" s="15">
        <v>1950</v>
      </c>
      <c r="H45" s="135" t="e">
        <f t="shared" si="1"/>
        <v>#DIV/0!</v>
      </c>
    </row>
    <row r="46" spans="1:8" ht="38.25">
      <c r="A46" s="16" t="s">
        <v>237</v>
      </c>
      <c r="B46" s="17" t="s">
        <v>238</v>
      </c>
      <c r="C46" s="15">
        <f>C37+C38+C39+C40+C41+C42+C44+C45</f>
        <v>45320</v>
      </c>
      <c r="D46" s="15">
        <f t="shared" ref="D46:G46" si="8">D37+D38+D39+D40+D41+D42+D44+D45</f>
        <v>65000</v>
      </c>
      <c r="E46" s="15">
        <f t="shared" si="8"/>
        <v>0</v>
      </c>
      <c r="F46" s="15">
        <f t="shared" si="0"/>
        <v>65000</v>
      </c>
      <c r="G46" s="15">
        <f t="shared" si="8"/>
        <v>22494</v>
      </c>
      <c r="H46" s="136">
        <f t="shared" si="1"/>
        <v>0.34606153846153848</v>
      </c>
    </row>
    <row r="47" spans="1:8">
      <c r="A47" s="13" t="s">
        <v>239</v>
      </c>
      <c r="B47" s="14" t="s">
        <v>240</v>
      </c>
      <c r="C47" s="15">
        <v>0</v>
      </c>
      <c r="D47" s="15"/>
      <c r="E47" s="15">
        <v>0</v>
      </c>
      <c r="F47" s="15">
        <f t="shared" si="0"/>
        <v>0</v>
      </c>
      <c r="G47" s="15">
        <v>0</v>
      </c>
      <c r="H47" s="135" t="e">
        <f t="shared" si="1"/>
        <v>#DIV/0!</v>
      </c>
    </row>
    <row r="48" spans="1:8" ht="25.5">
      <c r="A48" s="16" t="s">
        <v>241</v>
      </c>
      <c r="B48" s="17" t="s">
        <v>242</v>
      </c>
      <c r="C48" s="15">
        <f>SUM(C47)</f>
        <v>0</v>
      </c>
      <c r="D48" s="15">
        <f t="shared" ref="D48:G48" si="9">SUM(D47)</f>
        <v>0</v>
      </c>
      <c r="E48" s="15">
        <f t="shared" si="9"/>
        <v>0</v>
      </c>
      <c r="F48" s="15">
        <f t="shared" si="0"/>
        <v>0</v>
      </c>
      <c r="G48" s="15">
        <f t="shared" si="9"/>
        <v>0</v>
      </c>
      <c r="H48" s="136" t="e">
        <f t="shared" si="1"/>
        <v>#DIV/0!</v>
      </c>
    </row>
    <row r="49" spans="1:8" ht="25.5">
      <c r="A49" s="13" t="s">
        <v>243</v>
      </c>
      <c r="B49" s="14" t="s">
        <v>244</v>
      </c>
      <c r="C49" s="15">
        <f>SUM(C50:C52)</f>
        <v>43000</v>
      </c>
      <c r="D49" s="15">
        <f t="shared" ref="D49:G49" si="10">SUM(D50:D52)</f>
        <v>0</v>
      </c>
      <c r="E49" s="15">
        <f t="shared" si="10"/>
        <v>0</v>
      </c>
      <c r="F49" s="15">
        <f t="shared" si="0"/>
        <v>0</v>
      </c>
      <c r="G49" s="15">
        <f t="shared" si="10"/>
        <v>0</v>
      </c>
      <c r="H49" s="135" t="e">
        <f t="shared" si="1"/>
        <v>#DIV/0!</v>
      </c>
    </row>
    <row r="50" spans="1:8">
      <c r="A50" s="13" t="s">
        <v>245</v>
      </c>
      <c r="B50" s="14" t="s">
        <v>246</v>
      </c>
      <c r="C50" s="15">
        <v>21500</v>
      </c>
      <c r="D50" s="15">
        <f>Önk.összesen!D54+'Ovi összesen'!D50</f>
        <v>0</v>
      </c>
      <c r="E50" s="15">
        <v>0</v>
      </c>
      <c r="F50" s="15">
        <f t="shared" si="0"/>
        <v>0</v>
      </c>
      <c r="G50" s="15">
        <v>0</v>
      </c>
      <c r="H50" s="135" t="e">
        <f t="shared" si="1"/>
        <v>#DIV/0!</v>
      </c>
    </row>
    <row r="51" spans="1:8">
      <c r="A51" s="13" t="s">
        <v>247</v>
      </c>
      <c r="B51" s="14" t="s">
        <v>248</v>
      </c>
      <c r="C51" s="15"/>
      <c r="D51" s="15"/>
      <c r="E51" s="15">
        <f>Önk.összesen!E55+'Ovi összesen'!E51</f>
        <v>0</v>
      </c>
      <c r="F51" s="15">
        <f t="shared" si="0"/>
        <v>0</v>
      </c>
      <c r="G51" s="15">
        <v>0</v>
      </c>
      <c r="H51" s="135" t="e">
        <f t="shared" si="1"/>
        <v>#DIV/0!</v>
      </c>
    </row>
    <row r="52" spans="1:8">
      <c r="A52" s="13" t="s">
        <v>249</v>
      </c>
      <c r="B52" s="14" t="s">
        <v>250</v>
      </c>
      <c r="C52" s="15">
        <v>21500</v>
      </c>
      <c r="D52" s="15"/>
      <c r="E52" s="15">
        <v>0</v>
      </c>
      <c r="F52" s="15">
        <f t="shared" si="0"/>
        <v>0</v>
      </c>
      <c r="G52" s="15">
        <v>0</v>
      </c>
      <c r="H52" s="135" t="e">
        <f t="shared" si="1"/>
        <v>#DIV/0!</v>
      </c>
    </row>
    <row r="53" spans="1:8" ht="25.5">
      <c r="A53" s="16" t="s">
        <v>251</v>
      </c>
      <c r="B53" s="17" t="s">
        <v>252</v>
      </c>
      <c r="C53" s="15">
        <f>SUM(C49)</f>
        <v>43000</v>
      </c>
      <c r="D53" s="15">
        <f t="shared" ref="D53:G53" si="11">SUM(D49)</f>
        <v>0</v>
      </c>
      <c r="E53" s="15">
        <f t="shared" si="11"/>
        <v>0</v>
      </c>
      <c r="F53" s="15">
        <f t="shared" si="0"/>
        <v>0</v>
      </c>
      <c r="G53" s="15">
        <f t="shared" si="11"/>
        <v>0</v>
      </c>
      <c r="H53" s="136" t="e">
        <f t="shared" si="1"/>
        <v>#DIV/0!</v>
      </c>
    </row>
    <row r="54" spans="1:8" ht="25.5">
      <c r="A54" s="16" t="s">
        <v>253</v>
      </c>
      <c r="B54" s="17" t="s">
        <v>254</v>
      </c>
      <c r="C54" s="15">
        <f>C20+C22+C36+C46+C48+C53</f>
        <v>1041600</v>
      </c>
      <c r="D54" s="15">
        <f t="shared" ref="D54:F54" si="12">D20+D22+D36+D46+D48+D53</f>
        <v>265000</v>
      </c>
      <c r="E54" s="15">
        <f t="shared" si="12"/>
        <v>-200000</v>
      </c>
      <c r="F54" s="15">
        <f t="shared" si="12"/>
        <v>65000</v>
      </c>
      <c r="G54" s="15">
        <f t="shared" ref="G54" si="13">G20+G22+G36+G46+G48+G53</f>
        <v>22494</v>
      </c>
      <c r="H54" s="136">
        <f t="shared" si="1"/>
        <v>0.34606153846153848</v>
      </c>
    </row>
    <row r="55" spans="1:8" ht="25.5">
      <c r="A55" s="13" t="s">
        <v>255</v>
      </c>
      <c r="B55" s="14" t="s">
        <v>256</v>
      </c>
      <c r="C55" s="15">
        <v>2559355</v>
      </c>
      <c r="D55" s="15">
        <v>5719000</v>
      </c>
      <c r="E55" s="15">
        <v>-3149530</v>
      </c>
      <c r="F55" s="15">
        <f t="shared" si="0"/>
        <v>2569470</v>
      </c>
      <c r="G55" s="15">
        <v>2569470</v>
      </c>
      <c r="H55" s="135">
        <f t="shared" si="1"/>
        <v>1</v>
      </c>
    </row>
    <row r="56" spans="1:8">
      <c r="A56" s="13" t="s">
        <v>163</v>
      </c>
      <c r="B56" s="14" t="s">
        <v>257</v>
      </c>
      <c r="C56" s="15">
        <f>SUM(C55)</f>
        <v>2559355</v>
      </c>
      <c r="D56" s="15">
        <f t="shared" ref="D56:E56" si="14">SUM(D55)</f>
        <v>5719000</v>
      </c>
      <c r="E56" s="15">
        <f t="shared" si="14"/>
        <v>-3149530</v>
      </c>
      <c r="F56" s="15">
        <f t="shared" si="0"/>
        <v>2569470</v>
      </c>
      <c r="G56" s="15">
        <f>SUM(G55)</f>
        <v>2569470</v>
      </c>
      <c r="H56" s="135">
        <f t="shared" si="1"/>
        <v>1</v>
      </c>
    </row>
    <row r="57" spans="1:8">
      <c r="A57" s="13" t="s">
        <v>258</v>
      </c>
      <c r="B57" s="14" t="s">
        <v>259</v>
      </c>
      <c r="C57" s="15">
        <v>0</v>
      </c>
      <c r="D57" s="15">
        <v>0</v>
      </c>
      <c r="E57" s="15"/>
      <c r="F57" s="15">
        <f t="shared" si="0"/>
        <v>0</v>
      </c>
      <c r="G57" s="15"/>
      <c r="H57" s="135" t="e">
        <f t="shared" si="1"/>
        <v>#DIV/0!</v>
      </c>
    </row>
    <row r="58" spans="1:8">
      <c r="A58" s="13">
        <v>300</v>
      </c>
      <c r="B58" s="19" t="s">
        <v>412</v>
      </c>
      <c r="C58" s="15">
        <v>45161927</v>
      </c>
      <c r="D58" s="15">
        <v>44901000</v>
      </c>
      <c r="E58" s="15">
        <f>Önk.összesen!E63+'Ovi összesen'!E58</f>
        <v>0</v>
      </c>
      <c r="F58" s="15">
        <f t="shared" si="0"/>
        <v>44901000</v>
      </c>
      <c r="G58" s="15">
        <v>25016180</v>
      </c>
      <c r="H58" s="135">
        <f t="shared" si="1"/>
        <v>0.5571408209171288</v>
      </c>
    </row>
    <row r="59" spans="1:8" ht="25.5">
      <c r="A59" s="13" t="s">
        <v>260</v>
      </c>
      <c r="B59" s="14" t="s">
        <v>261</v>
      </c>
      <c r="C59" s="15">
        <f>C56+C57+C58</f>
        <v>47721282</v>
      </c>
      <c r="D59" s="15">
        <f t="shared" ref="D59:G59" si="15">D56+D57+D58</f>
        <v>50620000</v>
      </c>
      <c r="E59" s="15">
        <f t="shared" si="15"/>
        <v>-3149530</v>
      </c>
      <c r="F59" s="15">
        <f t="shared" si="0"/>
        <v>47470470</v>
      </c>
      <c r="G59" s="15">
        <f t="shared" si="15"/>
        <v>27585650</v>
      </c>
      <c r="H59" s="135">
        <f t="shared" si="1"/>
        <v>0.58111179434288307</v>
      </c>
    </row>
    <row r="60" spans="1:8" ht="25.5">
      <c r="A60" s="16" t="s">
        <v>262</v>
      </c>
      <c r="B60" s="17" t="s">
        <v>263</v>
      </c>
      <c r="C60" s="15">
        <f>C59</f>
        <v>47721282</v>
      </c>
      <c r="D60" s="15">
        <f t="shared" ref="D60:G60" si="16">D59</f>
        <v>50620000</v>
      </c>
      <c r="E60" s="15">
        <f t="shared" si="16"/>
        <v>-3149530</v>
      </c>
      <c r="F60" s="15">
        <f t="shared" si="0"/>
        <v>47470470</v>
      </c>
      <c r="G60" s="15">
        <f t="shared" si="16"/>
        <v>27585650</v>
      </c>
      <c r="H60" s="136">
        <f t="shared" si="1"/>
        <v>0.58111179434288307</v>
      </c>
    </row>
    <row r="61" spans="1:8">
      <c r="A61" s="16" t="s">
        <v>264</v>
      </c>
      <c r="B61" s="17" t="s">
        <v>265</v>
      </c>
      <c r="C61" s="15">
        <f>C54+C60</f>
        <v>48762882</v>
      </c>
      <c r="D61" s="15">
        <f t="shared" ref="D61:G61" si="17">D54+D60</f>
        <v>50885000</v>
      </c>
      <c r="E61" s="15">
        <f t="shared" si="17"/>
        <v>-3349530</v>
      </c>
      <c r="F61" s="15">
        <f t="shared" si="17"/>
        <v>47535470</v>
      </c>
      <c r="G61" s="15">
        <f t="shared" si="17"/>
        <v>27608144</v>
      </c>
      <c r="H61" s="136">
        <f t="shared" si="1"/>
        <v>0.58079038663128812</v>
      </c>
    </row>
    <row r="63" spans="1:8" ht="60">
      <c r="A63" s="12" t="s">
        <v>0</v>
      </c>
      <c r="B63" s="12" t="s">
        <v>1</v>
      </c>
      <c r="C63" s="12" t="s">
        <v>269</v>
      </c>
      <c r="D63" s="12" t="s">
        <v>270</v>
      </c>
      <c r="E63" s="12" t="s">
        <v>271</v>
      </c>
      <c r="F63" s="12" t="s">
        <v>272</v>
      </c>
      <c r="G63" s="12" t="s">
        <v>273</v>
      </c>
      <c r="H63" s="12" t="s">
        <v>274</v>
      </c>
    </row>
    <row r="64" spans="1:8" ht="25.5">
      <c r="A64" s="13" t="s">
        <v>31</v>
      </c>
      <c r="B64" s="14" t="s">
        <v>32</v>
      </c>
      <c r="C64" s="15">
        <v>24717386</v>
      </c>
      <c r="D64" s="15">
        <v>29709000</v>
      </c>
      <c r="E64" s="15">
        <v>-2149000</v>
      </c>
      <c r="F64" s="15">
        <f>SUM(D64:E64)</f>
        <v>27560000</v>
      </c>
      <c r="G64" s="15">
        <v>14638584</v>
      </c>
      <c r="H64" s="135">
        <f t="shared" si="1"/>
        <v>0.53115326560232223</v>
      </c>
    </row>
    <row r="65" spans="1:8" s="134" customFormat="1">
      <c r="A65" s="21" t="s">
        <v>176</v>
      </c>
      <c r="B65" s="14" t="s">
        <v>467</v>
      </c>
      <c r="C65" s="15"/>
      <c r="D65" s="15"/>
      <c r="E65" s="15">
        <v>106000</v>
      </c>
      <c r="F65" s="15">
        <f t="shared" ref="F65:F66" si="18">SUM(D65:E65)</f>
        <v>106000</v>
      </c>
      <c r="G65" s="15">
        <v>106000</v>
      </c>
      <c r="H65" s="135"/>
    </row>
    <row r="66" spans="1:8" ht="25.5">
      <c r="A66" s="21" t="s">
        <v>178</v>
      </c>
      <c r="B66" s="14" t="s">
        <v>282</v>
      </c>
      <c r="C66" s="15">
        <f>Önk.összesen!C70+'Ovi összesen'!C65</f>
        <v>0</v>
      </c>
      <c r="D66" s="15">
        <v>0</v>
      </c>
      <c r="E66" s="15">
        <v>1285000</v>
      </c>
      <c r="F66" s="15">
        <f t="shared" si="18"/>
        <v>1285000</v>
      </c>
      <c r="G66" s="15">
        <v>1285000</v>
      </c>
      <c r="H66" s="135"/>
    </row>
    <row r="67" spans="1:8">
      <c r="A67" s="13" t="s">
        <v>33</v>
      </c>
      <c r="B67" s="14" t="s">
        <v>34</v>
      </c>
      <c r="C67" s="15">
        <v>1734885</v>
      </c>
      <c r="D67" s="15">
        <v>1639000</v>
      </c>
      <c r="E67" s="15">
        <f>Önk.összesen!E71+'Ovi összesen'!E66</f>
        <v>0</v>
      </c>
      <c r="F67" s="15">
        <f t="shared" ref="F67:F131" si="19">SUM(D67:E67)</f>
        <v>1639000</v>
      </c>
      <c r="G67" s="15">
        <v>1219683</v>
      </c>
      <c r="H67" s="135">
        <f t="shared" si="1"/>
        <v>0.74416290420988407</v>
      </c>
    </row>
    <row r="68" spans="1:8">
      <c r="A68" s="13" t="s">
        <v>35</v>
      </c>
      <c r="B68" s="14" t="s">
        <v>36</v>
      </c>
      <c r="C68" s="15">
        <v>744922</v>
      </c>
      <c r="D68" s="15">
        <v>1439000</v>
      </c>
      <c r="E68" s="15">
        <f>Önk.összesen!E72+'Ovi összesen'!E67</f>
        <v>0</v>
      </c>
      <c r="F68" s="15">
        <f t="shared" si="19"/>
        <v>1439000</v>
      </c>
      <c r="G68" s="15">
        <v>642775</v>
      </c>
      <c r="H68" s="135">
        <f t="shared" si="1"/>
        <v>0.446681723419041</v>
      </c>
    </row>
    <row r="69" spans="1:8">
      <c r="A69" s="13" t="s">
        <v>37</v>
      </c>
      <c r="B69" s="14" t="s">
        <v>38</v>
      </c>
      <c r="C69" s="15">
        <v>126000</v>
      </c>
      <c r="D69" s="15">
        <v>0</v>
      </c>
      <c r="E69" s="15">
        <f>Önk.összesen!E73+'Ovi összesen'!E68</f>
        <v>0</v>
      </c>
      <c r="F69" s="15">
        <f t="shared" si="19"/>
        <v>0</v>
      </c>
      <c r="G69" s="15">
        <v>0</v>
      </c>
      <c r="H69" s="135" t="e">
        <f t="shared" si="1"/>
        <v>#DIV/0!</v>
      </c>
    </row>
    <row r="70" spans="1:8" ht="25.5">
      <c r="A70" s="13" t="s">
        <v>39</v>
      </c>
      <c r="B70" s="14" t="s">
        <v>40</v>
      </c>
      <c r="C70" s="15">
        <v>404626</v>
      </c>
      <c r="D70" s="15">
        <v>225000</v>
      </c>
      <c r="E70" s="15">
        <f>Önk.összesen!E74+'Ovi összesen'!E69</f>
        <v>0</v>
      </c>
      <c r="F70" s="15">
        <f t="shared" si="19"/>
        <v>225000</v>
      </c>
      <c r="G70" s="15">
        <v>105039</v>
      </c>
      <c r="H70" s="135">
        <f t="shared" si="1"/>
        <v>0.46683999999999998</v>
      </c>
    </row>
    <row r="71" spans="1:8" ht="25.5">
      <c r="A71" s="13" t="s">
        <v>41</v>
      </c>
      <c r="B71" s="14" t="s">
        <v>42</v>
      </c>
      <c r="C71" s="15">
        <f>SUM(C64:C70)</f>
        <v>27727819</v>
      </c>
      <c r="D71" s="15">
        <f t="shared" ref="D71:G71" si="20">SUM(D64:D70)</f>
        <v>33012000</v>
      </c>
      <c r="E71" s="15">
        <f t="shared" si="20"/>
        <v>-758000</v>
      </c>
      <c r="F71" s="15">
        <f t="shared" si="19"/>
        <v>32254000</v>
      </c>
      <c r="G71" s="15">
        <f t="shared" si="20"/>
        <v>17997081</v>
      </c>
      <c r="H71" s="135">
        <f t="shared" si="1"/>
        <v>0.55797981645687356</v>
      </c>
    </row>
    <row r="72" spans="1:8">
      <c r="A72" s="13" t="s">
        <v>43</v>
      </c>
      <c r="B72" s="14" t="s">
        <v>44</v>
      </c>
      <c r="C72" s="15">
        <v>0</v>
      </c>
      <c r="D72" s="15">
        <v>0</v>
      </c>
      <c r="E72" s="15">
        <f>Önk.összesen!E76+'Ovi összesen'!E71</f>
        <v>0</v>
      </c>
      <c r="F72" s="15">
        <f t="shared" si="19"/>
        <v>0</v>
      </c>
      <c r="G72" s="15">
        <v>0</v>
      </c>
      <c r="H72" s="135" t="e">
        <f t="shared" si="1"/>
        <v>#DIV/0!</v>
      </c>
    </row>
    <row r="73" spans="1:8" ht="38.25">
      <c r="A73" s="13" t="s">
        <v>45</v>
      </c>
      <c r="B73" s="14" t="s">
        <v>46</v>
      </c>
      <c r="C73" s="15">
        <v>776222</v>
      </c>
      <c r="D73" s="15">
        <v>0</v>
      </c>
      <c r="E73" s="15">
        <v>144000</v>
      </c>
      <c r="F73" s="15">
        <f t="shared" si="19"/>
        <v>144000</v>
      </c>
      <c r="G73" s="15">
        <v>144000</v>
      </c>
      <c r="H73" s="135">
        <f t="shared" si="1"/>
        <v>1</v>
      </c>
    </row>
    <row r="74" spans="1:8">
      <c r="A74" s="13" t="s">
        <v>47</v>
      </c>
      <c r="B74" s="14" t="s">
        <v>48</v>
      </c>
      <c r="C74" s="15">
        <v>405377</v>
      </c>
      <c r="D74" s="15">
        <v>20000</v>
      </c>
      <c r="E74" s="15">
        <f>Önk.összesen!E78+'Ovi összesen'!E73</f>
        <v>0</v>
      </c>
      <c r="F74" s="15">
        <f t="shared" si="19"/>
        <v>20000</v>
      </c>
      <c r="G74" s="15">
        <v>17197</v>
      </c>
      <c r="H74" s="135">
        <f t="shared" ref="H74:H139" si="21">G74/F74</f>
        <v>0.85985</v>
      </c>
    </row>
    <row r="75" spans="1:8">
      <c r="A75" s="13" t="s">
        <v>49</v>
      </c>
      <c r="B75" s="14" t="s">
        <v>50</v>
      </c>
      <c r="C75" s="15">
        <f>SUM(C72:C74)</f>
        <v>1181599</v>
      </c>
      <c r="D75" s="15">
        <f t="shared" ref="D75:E75" si="22">SUM(D72:D74)</f>
        <v>20000</v>
      </c>
      <c r="E75" s="15">
        <f t="shared" si="22"/>
        <v>144000</v>
      </c>
      <c r="F75" s="15">
        <f t="shared" si="19"/>
        <v>164000</v>
      </c>
      <c r="G75" s="15">
        <v>161197</v>
      </c>
      <c r="H75" s="135">
        <f t="shared" si="21"/>
        <v>0.98290853658536581</v>
      </c>
    </row>
    <row r="76" spans="1:8">
      <c r="A76" s="16" t="s">
        <v>51</v>
      </c>
      <c r="B76" s="17" t="s">
        <v>52</v>
      </c>
      <c r="C76" s="15">
        <f>C71+C75</f>
        <v>28909418</v>
      </c>
      <c r="D76" s="15">
        <f t="shared" ref="D76:G76" si="23">D71+D75</f>
        <v>33032000</v>
      </c>
      <c r="E76" s="15">
        <f t="shared" si="23"/>
        <v>-614000</v>
      </c>
      <c r="F76" s="15">
        <f t="shared" si="19"/>
        <v>32418000</v>
      </c>
      <c r="G76" s="15">
        <f t="shared" si="23"/>
        <v>18158278</v>
      </c>
      <c r="H76" s="136">
        <f t="shared" si="21"/>
        <v>0.56012949595903505</v>
      </c>
    </row>
    <row r="77" spans="1:8" ht="25.5">
      <c r="A77" s="16" t="s">
        <v>53</v>
      </c>
      <c r="B77" s="17" t="s">
        <v>54</v>
      </c>
      <c r="C77" s="15">
        <f>SUM(C78:C81)</f>
        <v>7764921</v>
      </c>
      <c r="D77" s="15">
        <f t="shared" ref="D77:G77" si="24">SUM(D78:D81)</f>
        <v>7147000</v>
      </c>
      <c r="E77" s="15">
        <f t="shared" si="24"/>
        <v>-135530</v>
      </c>
      <c r="F77" s="15">
        <f t="shared" si="19"/>
        <v>7011470</v>
      </c>
      <c r="G77" s="15">
        <f t="shared" si="24"/>
        <v>4199371</v>
      </c>
      <c r="H77" s="136">
        <f t="shared" si="21"/>
        <v>0.59892875531094047</v>
      </c>
    </row>
    <row r="78" spans="1:8">
      <c r="A78" s="13" t="s">
        <v>55</v>
      </c>
      <c r="B78" s="14" t="s">
        <v>56</v>
      </c>
      <c r="C78" s="15">
        <v>7046688</v>
      </c>
      <c r="D78" s="15">
        <v>6586000</v>
      </c>
      <c r="E78" s="15">
        <v>-153819</v>
      </c>
      <c r="F78" s="15">
        <f t="shared" si="19"/>
        <v>6432181</v>
      </c>
      <c r="G78" s="15">
        <v>3746025</v>
      </c>
      <c r="H78" s="135">
        <f t="shared" si="21"/>
        <v>0.58238799561144194</v>
      </c>
    </row>
    <row r="79" spans="1:8">
      <c r="A79" s="13" t="s">
        <v>57</v>
      </c>
      <c r="B79" s="14" t="s">
        <v>58</v>
      </c>
      <c r="C79" s="15">
        <v>372752</v>
      </c>
      <c r="D79" s="15">
        <v>271000</v>
      </c>
      <c r="E79" s="15">
        <v>0</v>
      </c>
      <c r="F79" s="15">
        <f t="shared" si="19"/>
        <v>271000</v>
      </c>
      <c r="G79" s="15">
        <v>213038</v>
      </c>
      <c r="H79" s="135">
        <f t="shared" si="21"/>
        <v>0.78611808118081183</v>
      </c>
    </row>
    <row r="80" spans="1:8">
      <c r="A80" s="13" t="s">
        <v>59</v>
      </c>
      <c r="B80" s="14" t="s">
        <v>60</v>
      </c>
      <c r="C80" s="15"/>
      <c r="D80" s="15">
        <v>0</v>
      </c>
      <c r="E80" s="15">
        <v>18289</v>
      </c>
      <c r="F80" s="15">
        <f t="shared" si="19"/>
        <v>18289</v>
      </c>
      <c r="G80" s="15">
        <v>18289</v>
      </c>
      <c r="H80" s="135">
        <f t="shared" si="21"/>
        <v>1</v>
      </c>
    </row>
    <row r="81" spans="1:8" ht="25.5">
      <c r="A81" s="13" t="s">
        <v>61</v>
      </c>
      <c r="B81" s="14" t="s">
        <v>62</v>
      </c>
      <c r="C81" s="15">
        <v>345481</v>
      </c>
      <c r="D81" s="15">
        <v>290000</v>
      </c>
      <c r="E81" s="15">
        <v>0</v>
      </c>
      <c r="F81" s="15">
        <f t="shared" si="19"/>
        <v>290000</v>
      </c>
      <c r="G81" s="15">
        <v>222019</v>
      </c>
      <c r="H81" s="135">
        <f t="shared" si="21"/>
        <v>0.7655827586206897</v>
      </c>
    </row>
    <row r="82" spans="1:8">
      <c r="A82" s="13" t="s">
        <v>63</v>
      </c>
      <c r="B82" s="14" t="s">
        <v>64</v>
      </c>
      <c r="C82" s="15">
        <v>288323</v>
      </c>
      <c r="D82" s="15">
        <v>300000</v>
      </c>
      <c r="E82" s="15">
        <f>Önk.összesen!E86+'Ovi összesen'!E81</f>
        <v>0</v>
      </c>
      <c r="F82" s="15">
        <f t="shared" si="19"/>
        <v>300000</v>
      </c>
      <c r="G82" s="15">
        <v>70985</v>
      </c>
      <c r="H82" s="135">
        <f t="shared" si="21"/>
        <v>0.23661666666666667</v>
      </c>
    </row>
    <row r="83" spans="1:8">
      <c r="A83" s="13" t="s">
        <v>65</v>
      </c>
      <c r="B83" s="14" t="s">
        <v>66</v>
      </c>
      <c r="C83" s="15">
        <v>1497106</v>
      </c>
      <c r="D83" s="15">
        <v>1523000</v>
      </c>
      <c r="E83" s="15">
        <v>-1098510</v>
      </c>
      <c r="F83" s="15">
        <f t="shared" si="19"/>
        <v>424490</v>
      </c>
      <c r="G83" s="15">
        <v>269653</v>
      </c>
      <c r="H83" s="135">
        <f t="shared" si="21"/>
        <v>0.63523993498080045</v>
      </c>
    </row>
    <row r="84" spans="1:8">
      <c r="A84" s="13" t="s">
        <v>67</v>
      </c>
      <c r="B84" s="14" t="s">
        <v>68</v>
      </c>
      <c r="C84" s="15">
        <f>SUM(C82:C83)</f>
        <v>1785429</v>
      </c>
      <c r="D84" s="15">
        <f t="shared" ref="D84:G84" si="25">SUM(D82:D83)</f>
        <v>1823000</v>
      </c>
      <c r="E84" s="15">
        <f t="shared" si="25"/>
        <v>-1098510</v>
      </c>
      <c r="F84" s="15">
        <f t="shared" si="25"/>
        <v>724490</v>
      </c>
      <c r="G84" s="15">
        <f t="shared" si="25"/>
        <v>340638</v>
      </c>
      <c r="H84" s="135">
        <f t="shared" si="21"/>
        <v>0.47017626192217976</v>
      </c>
    </row>
    <row r="85" spans="1:8">
      <c r="A85" s="13" t="s">
        <v>69</v>
      </c>
      <c r="B85" s="14" t="s">
        <v>70</v>
      </c>
      <c r="C85" s="15">
        <v>2233459</v>
      </c>
      <c r="D85" s="15">
        <v>2300000</v>
      </c>
      <c r="E85" s="15">
        <v>0</v>
      </c>
      <c r="F85" s="15">
        <f t="shared" si="19"/>
        <v>2300000</v>
      </c>
      <c r="G85" s="15">
        <v>1289680</v>
      </c>
      <c r="H85" s="135">
        <f t="shared" si="21"/>
        <v>0.56073043478260864</v>
      </c>
    </row>
    <row r="86" spans="1:8">
      <c r="A86" s="13" t="s">
        <v>71</v>
      </c>
      <c r="B86" s="14" t="s">
        <v>72</v>
      </c>
      <c r="C86" s="15">
        <v>318125</v>
      </c>
      <c r="D86" s="15">
        <v>310000</v>
      </c>
      <c r="E86" s="15">
        <f>Önk.összesen!E90+'Ovi összesen'!E85</f>
        <v>0</v>
      </c>
      <c r="F86" s="15">
        <f t="shared" si="19"/>
        <v>310000</v>
      </c>
      <c r="G86" s="15">
        <v>73559</v>
      </c>
      <c r="H86" s="135">
        <f t="shared" si="21"/>
        <v>0.23728709677419355</v>
      </c>
    </row>
    <row r="87" spans="1:8">
      <c r="A87" s="13" t="s">
        <v>73</v>
      </c>
      <c r="B87" s="14" t="s">
        <v>74</v>
      </c>
      <c r="C87" s="15">
        <f>SUM(C85:C86)</f>
        <v>2551584</v>
      </c>
      <c r="D87" s="15">
        <f t="shared" ref="D87:G87" si="26">SUM(D85:D86)</f>
        <v>2610000</v>
      </c>
      <c r="E87" s="15">
        <f t="shared" si="26"/>
        <v>0</v>
      </c>
      <c r="F87" s="15">
        <f t="shared" si="19"/>
        <v>2610000</v>
      </c>
      <c r="G87" s="15">
        <f t="shared" si="26"/>
        <v>1363239</v>
      </c>
      <c r="H87" s="135">
        <f t="shared" si="21"/>
        <v>0.52231379310344828</v>
      </c>
    </row>
    <row r="88" spans="1:8">
      <c r="A88" s="13" t="s">
        <v>75</v>
      </c>
      <c r="B88" s="14" t="s">
        <v>76</v>
      </c>
      <c r="C88" s="15">
        <v>1029145</v>
      </c>
      <c r="D88" s="15">
        <v>970000</v>
      </c>
      <c r="E88" s="15">
        <f>Önk.összesen!E92+'Ovi összesen'!E87</f>
        <v>0</v>
      </c>
      <c r="F88" s="15">
        <f t="shared" si="19"/>
        <v>970000</v>
      </c>
      <c r="G88" s="15">
        <v>355491</v>
      </c>
      <c r="H88" s="135">
        <f t="shared" si="21"/>
        <v>0.36648556701030927</v>
      </c>
    </row>
    <row r="89" spans="1:8">
      <c r="A89" s="13" t="s">
        <v>77</v>
      </c>
      <c r="B89" s="14" t="s">
        <v>78</v>
      </c>
      <c r="C89" s="15">
        <v>0</v>
      </c>
      <c r="D89" s="15">
        <v>0</v>
      </c>
      <c r="E89" s="15">
        <f>Önk.összesen!E93+'Ovi összesen'!E88</f>
        <v>0</v>
      </c>
      <c r="F89" s="15">
        <f t="shared" si="19"/>
        <v>0</v>
      </c>
      <c r="G89" s="15">
        <v>0</v>
      </c>
      <c r="H89" s="135" t="e">
        <f t="shared" si="21"/>
        <v>#DIV/0!</v>
      </c>
    </row>
    <row r="90" spans="1:8">
      <c r="A90" s="20" t="s">
        <v>276</v>
      </c>
      <c r="B90" s="19" t="s">
        <v>277</v>
      </c>
      <c r="C90" s="15">
        <v>154256</v>
      </c>
      <c r="D90" s="15">
        <v>200000</v>
      </c>
      <c r="E90" s="15">
        <v>-124644</v>
      </c>
      <c r="F90" s="15">
        <f t="shared" si="19"/>
        <v>75356</v>
      </c>
      <c r="G90" s="15">
        <v>75356</v>
      </c>
      <c r="H90" s="135"/>
    </row>
    <row r="91" spans="1:8">
      <c r="A91" s="13" t="s">
        <v>79</v>
      </c>
      <c r="B91" s="14" t="s">
        <v>80</v>
      </c>
      <c r="C91" s="15">
        <v>8394</v>
      </c>
      <c r="D91" s="15">
        <v>100000</v>
      </c>
      <c r="E91" s="15">
        <v>0</v>
      </c>
      <c r="F91" s="15">
        <f t="shared" si="19"/>
        <v>100000</v>
      </c>
      <c r="G91" s="15">
        <v>8394</v>
      </c>
      <c r="H91" s="135">
        <f t="shared" si="21"/>
        <v>8.3940000000000001E-2</v>
      </c>
    </row>
    <row r="92" spans="1:8">
      <c r="A92" s="13" t="s">
        <v>81</v>
      </c>
      <c r="B92" s="14" t="s">
        <v>82</v>
      </c>
      <c r="C92" s="15">
        <v>0</v>
      </c>
      <c r="D92" s="15">
        <v>0</v>
      </c>
      <c r="E92" s="15">
        <f>Önk.összesen!E96+'Ovi összesen'!E91</f>
        <v>0</v>
      </c>
      <c r="F92" s="15">
        <f t="shared" si="19"/>
        <v>0</v>
      </c>
      <c r="G92" s="15">
        <v>0</v>
      </c>
      <c r="H92" s="135" t="e">
        <f t="shared" si="21"/>
        <v>#DIV/0!</v>
      </c>
    </row>
    <row r="93" spans="1:8">
      <c r="A93" s="13" t="s">
        <v>83</v>
      </c>
      <c r="B93" s="14" t="s">
        <v>84</v>
      </c>
      <c r="C93" s="15">
        <v>0</v>
      </c>
      <c r="D93" s="15">
        <v>0</v>
      </c>
      <c r="E93" s="15">
        <f>Önk.összesen!E97+'Ovi összesen'!E92</f>
        <v>0</v>
      </c>
      <c r="F93" s="15">
        <f t="shared" si="19"/>
        <v>0</v>
      </c>
      <c r="G93" s="15">
        <f>Önk.összesen!G97+'Ovi összesen'!G92</f>
        <v>0</v>
      </c>
      <c r="H93" s="135" t="e">
        <f t="shared" si="21"/>
        <v>#DIV/0!</v>
      </c>
    </row>
    <row r="94" spans="1:8" ht="25.5">
      <c r="A94" s="13" t="s">
        <v>85</v>
      </c>
      <c r="B94" s="14" t="s">
        <v>86</v>
      </c>
      <c r="C94" s="15">
        <v>0</v>
      </c>
      <c r="D94" s="15">
        <v>400000</v>
      </c>
      <c r="E94" s="15">
        <v>8166</v>
      </c>
      <c r="F94" s="15">
        <f t="shared" si="19"/>
        <v>408166</v>
      </c>
      <c r="G94" s="15">
        <v>408166</v>
      </c>
      <c r="H94" s="135">
        <f t="shared" si="21"/>
        <v>1</v>
      </c>
    </row>
    <row r="95" spans="1:8">
      <c r="A95" s="13" t="s">
        <v>87</v>
      </c>
      <c r="B95" s="14" t="s">
        <v>88</v>
      </c>
      <c r="C95" s="15">
        <v>1555266</v>
      </c>
      <c r="D95" s="15">
        <v>1500000</v>
      </c>
      <c r="E95" s="15">
        <v>-26217</v>
      </c>
      <c r="F95" s="15">
        <f t="shared" si="19"/>
        <v>1473783</v>
      </c>
      <c r="G95" s="15">
        <v>723898</v>
      </c>
      <c r="H95" s="135">
        <f t="shared" si="21"/>
        <v>0.49118357315832795</v>
      </c>
    </row>
    <row r="96" spans="1:8">
      <c r="A96" s="13" t="s">
        <v>89</v>
      </c>
      <c r="B96" s="14" t="s">
        <v>90</v>
      </c>
      <c r="C96" s="15">
        <v>0</v>
      </c>
      <c r="D96" s="15">
        <v>0</v>
      </c>
      <c r="E96" s="15">
        <f>Önk.összesen!E100+'Ovi összesen'!E95</f>
        <v>0</v>
      </c>
      <c r="F96" s="15">
        <f t="shared" si="19"/>
        <v>0</v>
      </c>
      <c r="G96" s="15">
        <f>Önk.összesen!G100+'Ovi összesen'!G95</f>
        <v>0</v>
      </c>
      <c r="H96" s="135" t="e">
        <f t="shared" si="21"/>
        <v>#DIV/0!</v>
      </c>
    </row>
    <row r="97" spans="1:8" ht="25.5">
      <c r="A97" s="13" t="s">
        <v>91</v>
      </c>
      <c r="B97" s="14" t="s">
        <v>92</v>
      </c>
      <c r="C97" s="15">
        <f>C88+C89+C90+C91+C92+C94+C95</f>
        <v>2747061</v>
      </c>
      <c r="D97" s="15">
        <f t="shared" ref="D97:G97" si="27">D88+D89+D90+D91+D92+D94+D95</f>
        <v>3170000</v>
      </c>
      <c r="E97" s="15">
        <f t="shared" si="27"/>
        <v>-142695</v>
      </c>
      <c r="F97" s="15">
        <f t="shared" si="19"/>
        <v>3027305</v>
      </c>
      <c r="G97" s="15">
        <f t="shared" si="27"/>
        <v>1571305</v>
      </c>
      <c r="H97" s="135">
        <f t="shared" si="21"/>
        <v>0.51904416634597439</v>
      </c>
    </row>
    <row r="98" spans="1:8">
      <c r="A98" s="13" t="s">
        <v>280</v>
      </c>
      <c r="B98" s="14" t="s">
        <v>281</v>
      </c>
      <c r="C98" s="15">
        <v>37899</v>
      </c>
      <c r="D98" s="15">
        <v>43000</v>
      </c>
      <c r="E98" s="15">
        <v>30154</v>
      </c>
      <c r="F98" s="15">
        <f t="shared" si="19"/>
        <v>73154</v>
      </c>
      <c r="G98" s="15">
        <v>73154</v>
      </c>
      <c r="H98" s="135"/>
    </row>
    <row r="99" spans="1:8">
      <c r="A99" s="13" t="s">
        <v>93</v>
      </c>
      <c r="B99" s="14" t="s">
        <v>94</v>
      </c>
      <c r="C99" s="15">
        <v>0</v>
      </c>
      <c r="D99" s="15">
        <v>0</v>
      </c>
      <c r="E99" s="15">
        <v>0</v>
      </c>
      <c r="F99" s="15">
        <f t="shared" si="19"/>
        <v>0</v>
      </c>
      <c r="G99" s="15">
        <v>0</v>
      </c>
      <c r="H99" s="135" t="e">
        <f t="shared" si="21"/>
        <v>#DIV/0!</v>
      </c>
    </row>
    <row r="100" spans="1:8" ht="25.5">
      <c r="A100" s="13" t="s">
        <v>95</v>
      </c>
      <c r="B100" s="14" t="s">
        <v>96</v>
      </c>
      <c r="C100" s="15">
        <f>SUM(C98:C99)</f>
        <v>37899</v>
      </c>
      <c r="D100" s="15">
        <f t="shared" ref="D100:G100" si="28">SUM(D98:D99)</f>
        <v>43000</v>
      </c>
      <c r="E100" s="15">
        <f t="shared" si="28"/>
        <v>30154</v>
      </c>
      <c r="F100" s="15">
        <f t="shared" si="19"/>
        <v>73154</v>
      </c>
      <c r="G100" s="15">
        <f t="shared" si="28"/>
        <v>73154</v>
      </c>
      <c r="H100" s="135">
        <f t="shared" si="21"/>
        <v>1</v>
      </c>
    </row>
    <row r="101" spans="1:8" ht="25.5">
      <c r="A101" s="13" t="s">
        <v>97</v>
      </c>
      <c r="B101" s="14" t="s">
        <v>98</v>
      </c>
      <c r="C101" s="15">
        <v>1447060</v>
      </c>
      <c r="D101" s="15">
        <v>2060000</v>
      </c>
      <c r="E101" s="15">
        <v>-410000</v>
      </c>
      <c r="F101" s="15">
        <f t="shared" si="19"/>
        <v>1650000</v>
      </c>
      <c r="G101" s="15">
        <v>597141</v>
      </c>
      <c r="H101" s="135">
        <f t="shared" si="21"/>
        <v>0.36190363636363637</v>
      </c>
    </row>
    <row r="102" spans="1:8">
      <c r="A102" s="13" t="s">
        <v>99</v>
      </c>
      <c r="B102" s="14" t="s">
        <v>100</v>
      </c>
      <c r="C102" s="15">
        <v>50163</v>
      </c>
      <c r="D102" s="15">
        <v>0</v>
      </c>
      <c r="E102" s="15">
        <v>6061</v>
      </c>
      <c r="F102" s="15">
        <f t="shared" si="19"/>
        <v>6061</v>
      </c>
      <c r="G102" s="15">
        <v>1965</v>
      </c>
      <c r="H102" s="135">
        <f t="shared" si="21"/>
        <v>0.32420392674476162</v>
      </c>
    </row>
    <row r="103" spans="1:8" ht="25.5">
      <c r="A103" s="13" t="s">
        <v>101</v>
      </c>
      <c r="B103" s="14" t="s">
        <v>102</v>
      </c>
      <c r="C103" s="15">
        <f>SUM(C101:C102)</f>
        <v>1497223</v>
      </c>
      <c r="D103" s="15">
        <f t="shared" ref="D103:G103" si="29">SUM(D101:D102)</f>
        <v>2060000</v>
      </c>
      <c r="E103" s="15">
        <f t="shared" si="29"/>
        <v>-403939</v>
      </c>
      <c r="F103" s="15">
        <f t="shared" si="19"/>
        <v>1656061</v>
      </c>
      <c r="G103" s="15">
        <f t="shared" si="29"/>
        <v>599106</v>
      </c>
      <c r="H103" s="135">
        <f t="shared" si="21"/>
        <v>0.36176565959828777</v>
      </c>
    </row>
    <row r="104" spans="1:8">
      <c r="A104" s="16" t="s">
        <v>103</v>
      </c>
      <c r="B104" s="17" t="s">
        <v>104</v>
      </c>
      <c r="C104" s="15">
        <f>C84+C87+C97+C100+C103</f>
        <v>8619196</v>
      </c>
      <c r="D104" s="15">
        <f t="shared" ref="D104:G104" si="30">D84+D87+D97+D100+D103</f>
        <v>9706000</v>
      </c>
      <c r="E104" s="15">
        <f t="shared" si="30"/>
        <v>-1614990</v>
      </c>
      <c r="F104" s="15">
        <f t="shared" si="19"/>
        <v>8091010</v>
      </c>
      <c r="G104" s="15">
        <f t="shared" si="30"/>
        <v>3947442</v>
      </c>
      <c r="H104" s="136">
        <f t="shared" si="21"/>
        <v>0.4878800050920713</v>
      </c>
    </row>
    <row r="105" spans="1:8">
      <c r="A105" s="13" t="s">
        <v>105</v>
      </c>
      <c r="B105" s="14" t="s">
        <v>106</v>
      </c>
      <c r="C105" s="15">
        <f>SUM(C106)</f>
        <v>184080</v>
      </c>
      <c r="D105" s="15">
        <f t="shared" ref="D105:G105" si="31">SUM(D106)</f>
        <v>400000</v>
      </c>
      <c r="E105" s="15">
        <f t="shared" si="31"/>
        <v>-400000</v>
      </c>
      <c r="F105" s="15">
        <f t="shared" si="19"/>
        <v>0</v>
      </c>
      <c r="G105" s="15">
        <f t="shared" si="31"/>
        <v>0</v>
      </c>
      <c r="H105" s="135" t="e">
        <f t="shared" si="21"/>
        <v>#DIV/0!</v>
      </c>
    </row>
    <row r="106" spans="1:8" ht="25.5">
      <c r="A106" s="13" t="s">
        <v>107</v>
      </c>
      <c r="B106" s="14" t="s">
        <v>108</v>
      </c>
      <c r="C106" s="15">
        <v>184080</v>
      </c>
      <c r="D106" s="15">
        <v>400000</v>
      </c>
      <c r="E106" s="15">
        <v>-400000</v>
      </c>
      <c r="F106" s="15">
        <f t="shared" si="19"/>
        <v>0</v>
      </c>
      <c r="G106" s="15">
        <f>Önk.összesen!G112+'Ovi összesen'!G106</f>
        <v>0</v>
      </c>
      <c r="H106" s="135" t="e">
        <f t="shared" si="21"/>
        <v>#DIV/0!</v>
      </c>
    </row>
    <row r="107" spans="1:8" ht="25.5">
      <c r="A107" s="13">
        <v>93</v>
      </c>
      <c r="B107" s="14" t="s">
        <v>419</v>
      </c>
      <c r="C107" s="15">
        <f>SUM(C108)</f>
        <v>470000</v>
      </c>
      <c r="D107" s="15">
        <f t="shared" ref="D107:G107" si="32">SUM(D108)</f>
        <v>600000</v>
      </c>
      <c r="E107" s="15">
        <f t="shared" si="32"/>
        <v>-600000</v>
      </c>
      <c r="F107" s="15">
        <f t="shared" si="32"/>
        <v>0</v>
      </c>
      <c r="G107" s="15">
        <f t="shared" si="32"/>
        <v>0</v>
      </c>
      <c r="H107" s="135"/>
    </row>
    <row r="108" spans="1:8" ht="25.5">
      <c r="A108" s="13">
        <v>96</v>
      </c>
      <c r="B108" s="14" t="s">
        <v>420</v>
      </c>
      <c r="C108" s="15">
        <v>470000</v>
      </c>
      <c r="D108" s="15">
        <v>600000</v>
      </c>
      <c r="E108" s="15">
        <v>-600000</v>
      </c>
      <c r="F108" s="15"/>
      <c r="G108" s="15"/>
      <c r="H108" s="135"/>
    </row>
    <row r="109" spans="1:8" ht="25.5">
      <c r="A109" s="13" t="s">
        <v>109</v>
      </c>
      <c r="B109" s="14" t="s">
        <v>110</v>
      </c>
      <c r="C109" s="15">
        <v>0</v>
      </c>
      <c r="D109" s="15">
        <v>0</v>
      </c>
      <c r="E109" s="15">
        <f>Önk.összesen!E115+'Ovi összesen'!E109</f>
        <v>0</v>
      </c>
      <c r="F109" s="15">
        <f t="shared" si="19"/>
        <v>0</v>
      </c>
      <c r="G109" s="15">
        <v>0</v>
      </c>
      <c r="H109" s="135" t="e">
        <f t="shared" si="21"/>
        <v>#DIV/0!</v>
      </c>
    </row>
    <row r="110" spans="1:8" ht="25.5">
      <c r="A110" s="13" t="s">
        <v>111</v>
      </c>
      <c r="B110" s="14" t="s">
        <v>112</v>
      </c>
      <c r="C110" s="15">
        <v>0</v>
      </c>
      <c r="D110" s="15">
        <v>0</v>
      </c>
      <c r="E110" s="15">
        <f>Önk.összesen!E116+'Ovi összesen'!E110</f>
        <v>0</v>
      </c>
      <c r="F110" s="15">
        <f t="shared" si="19"/>
        <v>0</v>
      </c>
      <c r="G110" s="15">
        <v>0</v>
      </c>
      <c r="H110" s="135" t="e">
        <f t="shared" si="21"/>
        <v>#DIV/0!</v>
      </c>
    </row>
    <row r="111" spans="1:8">
      <c r="A111" s="13" t="s">
        <v>113</v>
      </c>
      <c r="B111" s="14" t="s">
        <v>114</v>
      </c>
      <c r="C111" s="15">
        <v>0</v>
      </c>
      <c r="D111" s="15">
        <v>0</v>
      </c>
      <c r="E111" s="15">
        <f>Önk.összesen!E117+'Ovi összesen'!E111</f>
        <v>0</v>
      </c>
      <c r="F111" s="15">
        <f t="shared" si="19"/>
        <v>0</v>
      </c>
      <c r="G111" s="15">
        <v>0</v>
      </c>
      <c r="H111" s="135" t="e">
        <f t="shared" si="21"/>
        <v>#DIV/0!</v>
      </c>
    </row>
    <row r="112" spans="1:8" ht="38.25">
      <c r="A112" s="13" t="s">
        <v>115</v>
      </c>
      <c r="B112" s="14" t="s">
        <v>116</v>
      </c>
      <c r="C112" s="15">
        <v>0</v>
      </c>
      <c r="D112" s="15">
        <v>0</v>
      </c>
      <c r="E112" s="15">
        <f>Önk.összesen!E118+'Ovi összesen'!E112</f>
        <v>0</v>
      </c>
      <c r="F112" s="15">
        <f t="shared" si="19"/>
        <v>0</v>
      </c>
      <c r="G112" s="15">
        <v>0</v>
      </c>
      <c r="H112" s="135" t="e">
        <f t="shared" si="21"/>
        <v>#DIV/0!</v>
      </c>
    </row>
    <row r="113" spans="1:8" ht="25.5">
      <c r="A113" s="16" t="s">
        <v>117</v>
      </c>
      <c r="B113" s="17" t="s">
        <v>118</v>
      </c>
      <c r="C113" s="15">
        <f>C106+C109+C107</f>
        <v>654080</v>
      </c>
      <c r="D113" s="15">
        <f t="shared" ref="D113:G113" si="33">D106+D109+D107</f>
        <v>1000000</v>
      </c>
      <c r="E113" s="15">
        <f t="shared" si="33"/>
        <v>-1000000</v>
      </c>
      <c r="F113" s="15">
        <f t="shared" si="33"/>
        <v>0</v>
      </c>
      <c r="G113" s="15">
        <f t="shared" si="33"/>
        <v>0</v>
      </c>
      <c r="H113" s="136" t="e">
        <f t="shared" si="21"/>
        <v>#DIV/0!</v>
      </c>
    </row>
    <row r="114" spans="1:8" ht="25.5">
      <c r="A114" s="13" t="s">
        <v>119</v>
      </c>
      <c r="B114" s="14" t="s">
        <v>120</v>
      </c>
      <c r="C114" s="15"/>
      <c r="D114" s="15">
        <v>0</v>
      </c>
      <c r="E114" s="15">
        <v>0</v>
      </c>
      <c r="F114" s="15">
        <f t="shared" si="19"/>
        <v>0</v>
      </c>
      <c r="G114" s="15">
        <f>Önk.összesen!G120+'Ovi összesen'!G114</f>
        <v>0</v>
      </c>
      <c r="H114" s="135" t="e">
        <f t="shared" si="21"/>
        <v>#DIV/0!</v>
      </c>
    </row>
    <row r="115" spans="1:8" ht="25.5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19"/>
        <v>0</v>
      </c>
      <c r="G115" s="15">
        <f>Önk.összesen!G121+'Ovi összesen'!G115</f>
        <v>0</v>
      </c>
      <c r="H115" s="135" t="e">
        <f t="shared" si="21"/>
        <v>#DIV/0!</v>
      </c>
    </row>
    <row r="116" spans="1:8" ht="25.5">
      <c r="A116" s="13" t="s">
        <v>123</v>
      </c>
      <c r="B116" s="14" t="s">
        <v>124</v>
      </c>
      <c r="C116" s="15">
        <f>SUM(C114:C115)</f>
        <v>0</v>
      </c>
      <c r="D116" s="15">
        <f t="shared" ref="D116:G116" si="34">SUM(D114:D115)</f>
        <v>0</v>
      </c>
      <c r="E116" s="15">
        <f t="shared" si="34"/>
        <v>0</v>
      </c>
      <c r="F116" s="15">
        <f t="shared" si="19"/>
        <v>0</v>
      </c>
      <c r="G116" s="15">
        <f t="shared" si="34"/>
        <v>0</v>
      </c>
      <c r="H116" s="135" t="e">
        <f t="shared" si="21"/>
        <v>#DIV/0!</v>
      </c>
    </row>
    <row r="117" spans="1:8" ht="25.5">
      <c r="A117" s="13" t="s">
        <v>125</v>
      </c>
      <c r="B117" s="14" t="s">
        <v>126</v>
      </c>
      <c r="C117" s="15">
        <f>SUM(C118)</f>
        <v>0</v>
      </c>
      <c r="D117" s="15">
        <f t="shared" ref="D117:G117" si="35">SUM(D118)</f>
        <v>0</v>
      </c>
      <c r="E117" s="15">
        <f t="shared" si="35"/>
        <v>0</v>
      </c>
      <c r="F117" s="15">
        <f t="shared" si="19"/>
        <v>0</v>
      </c>
      <c r="G117" s="15">
        <f t="shared" si="35"/>
        <v>0</v>
      </c>
      <c r="H117" s="135" t="e">
        <f t="shared" si="21"/>
        <v>#DIV/0!</v>
      </c>
    </row>
    <row r="118" spans="1:8" ht="25.5">
      <c r="A118" s="13" t="s">
        <v>127</v>
      </c>
      <c r="B118" s="14" t="s">
        <v>128</v>
      </c>
      <c r="C118" s="15">
        <v>0</v>
      </c>
      <c r="D118" s="15">
        <v>0</v>
      </c>
      <c r="E118" s="15">
        <v>0</v>
      </c>
      <c r="F118" s="15">
        <f t="shared" si="19"/>
        <v>0</v>
      </c>
      <c r="G118" s="15">
        <v>0</v>
      </c>
      <c r="H118" s="135" t="e">
        <f t="shared" si="21"/>
        <v>#DIV/0!</v>
      </c>
    </row>
    <row r="119" spans="1:8" ht="25.5">
      <c r="A119" s="13" t="s">
        <v>129</v>
      </c>
      <c r="B119" s="14" t="s">
        <v>130</v>
      </c>
      <c r="C119" s="15">
        <f>SUM(C120:C122)</f>
        <v>0</v>
      </c>
      <c r="D119" s="15">
        <f t="shared" ref="D119:G119" si="36">SUM(D120:D122)</f>
        <v>0</v>
      </c>
      <c r="E119" s="15">
        <f t="shared" si="36"/>
        <v>0</v>
      </c>
      <c r="F119" s="15">
        <f t="shared" si="19"/>
        <v>0</v>
      </c>
      <c r="G119" s="15">
        <f t="shared" si="36"/>
        <v>0</v>
      </c>
      <c r="H119" s="135" t="e">
        <f t="shared" si="21"/>
        <v>#DIV/0!</v>
      </c>
    </row>
    <row r="120" spans="1:8">
      <c r="A120" s="13" t="s">
        <v>131</v>
      </c>
      <c r="B120" s="14" t="s">
        <v>132</v>
      </c>
      <c r="C120" s="15">
        <v>0</v>
      </c>
      <c r="D120" s="15">
        <v>0</v>
      </c>
      <c r="E120" s="15">
        <v>0</v>
      </c>
      <c r="F120" s="15">
        <f t="shared" si="19"/>
        <v>0</v>
      </c>
      <c r="G120" s="15">
        <v>0</v>
      </c>
      <c r="H120" s="135" t="e">
        <f t="shared" si="21"/>
        <v>#DIV/0!</v>
      </c>
    </row>
    <row r="121" spans="1:8">
      <c r="A121" s="13" t="s">
        <v>133</v>
      </c>
      <c r="B121" s="14" t="s">
        <v>134</v>
      </c>
      <c r="C121" s="15">
        <v>0</v>
      </c>
      <c r="D121" s="15">
        <v>0</v>
      </c>
      <c r="E121" s="15">
        <v>0</v>
      </c>
      <c r="F121" s="15">
        <f t="shared" si="19"/>
        <v>0</v>
      </c>
      <c r="G121" s="15">
        <f>Önk.összesen!G127+'Ovi összesen'!G121</f>
        <v>0</v>
      </c>
      <c r="H121" s="135" t="e">
        <f t="shared" si="21"/>
        <v>#DIV/0!</v>
      </c>
    </row>
    <row r="122" spans="1:8">
      <c r="A122" s="13" t="s">
        <v>135</v>
      </c>
      <c r="B122" s="14" t="s">
        <v>136</v>
      </c>
      <c r="C122" s="15">
        <v>0</v>
      </c>
      <c r="D122" s="15">
        <v>0</v>
      </c>
      <c r="E122" s="15">
        <v>0</v>
      </c>
      <c r="F122" s="15">
        <f t="shared" si="19"/>
        <v>0</v>
      </c>
      <c r="G122" s="15">
        <v>0</v>
      </c>
      <c r="H122" s="135" t="e">
        <f t="shared" si="21"/>
        <v>#DIV/0!</v>
      </c>
    </row>
    <row r="123" spans="1:8">
      <c r="A123" s="13">
        <v>188</v>
      </c>
      <c r="B123" s="14" t="s">
        <v>275</v>
      </c>
      <c r="C123" s="15">
        <v>0</v>
      </c>
      <c r="D123" s="15">
        <v>0</v>
      </c>
      <c r="E123" s="15">
        <v>0</v>
      </c>
      <c r="F123" s="15">
        <f t="shared" si="19"/>
        <v>0</v>
      </c>
      <c r="G123" s="15">
        <f>Önk.összesen!G129+'Ovi összesen'!G123</f>
        <v>0</v>
      </c>
      <c r="H123" s="135"/>
    </row>
    <row r="124" spans="1:8" ht="38.25">
      <c r="A124" s="16" t="s">
        <v>137</v>
      </c>
      <c r="B124" s="17" t="s">
        <v>138</v>
      </c>
      <c r="C124" s="15">
        <f>C116+C117+C119+C123</f>
        <v>0</v>
      </c>
      <c r="D124" s="15">
        <f t="shared" ref="D124:G124" si="37">D116+D117+D119+D123</f>
        <v>0</v>
      </c>
      <c r="E124" s="15">
        <f t="shared" si="37"/>
        <v>0</v>
      </c>
      <c r="F124" s="15">
        <f t="shared" si="19"/>
        <v>0</v>
      </c>
      <c r="G124" s="15">
        <f t="shared" si="37"/>
        <v>0</v>
      </c>
      <c r="H124" s="136" t="e">
        <f t="shared" si="21"/>
        <v>#DIV/0!</v>
      </c>
    </row>
    <row r="125" spans="1:8">
      <c r="A125" s="13" t="s">
        <v>139</v>
      </c>
      <c r="B125" s="14" t="s">
        <v>140</v>
      </c>
      <c r="C125" s="15">
        <v>0</v>
      </c>
      <c r="D125" s="15">
        <v>0</v>
      </c>
      <c r="E125" s="15">
        <v>0</v>
      </c>
      <c r="F125" s="15">
        <f t="shared" si="19"/>
        <v>0</v>
      </c>
      <c r="G125" s="15">
        <f>Önk.összesen!G132+'Ovi összesen'!G125</f>
        <v>0</v>
      </c>
      <c r="H125" s="135" t="e">
        <f t="shared" si="21"/>
        <v>#DIV/0!</v>
      </c>
    </row>
    <row r="126" spans="1:8" ht="25.5">
      <c r="A126" s="13" t="s">
        <v>141</v>
      </c>
      <c r="B126" s="14" t="s">
        <v>142</v>
      </c>
      <c r="C126" s="15">
        <v>0</v>
      </c>
      <c r="D126" s="15">
        <v>0</v>
      </c>
      <c r="E126" s="15">
        <v>0</v>
      </c>
      <c r="F126" s="15">
        <f t="shared" si="19"/>
        <v>0</v>
      </c>
      <c r="G126" s="15">
        <v>0</v>
      </c>
      <c r="H126" s="135" t="e">
        <f t="shared" si="21"/>
        <v>#DIV/0!</v>
      </c>
    </row>
    <row r="127" spans="1:8" ht="25.5">
      <c r="A127" s="13" t="s">
        <v>143</v>
      </c>
      <c r="B127" s="14" t="s">
        <v>144</v>
      </c>
      <c r="C127" s="15">
        <v>193541</v>
      </c>
      <c r="D127" s="15">
        <v>0</v>
      </c>
      <c r="E127" s="15">
        <v>11803</v>
      </c>
      <c r="F127" s="15">
        <f t="shared" si="19"/>
        <v>11803</v>
      </c>
      <c r="G127" s="15">
        <v>11803</v>
      </c>
      <c r="H127" s="135">
        <f t="shared" si="21"/>
        <v>1</v>
      </c>
    </row>
    <row r="128" spans="1:8" ht="25.5">
      <c r="A128" s="13" t="s">
        <v>145</v>
      </c>
      <c r="B128" s="14" t="s">
        <v>146</v>
      </c>
      <c r="C128" s="15">
        <v>52256</v>
      </c>
      <c r="D128" s="15">
        <v>0</v>
      </c>
      <c r="E128" s="15">
        <v>3187</v>
      </c>
      <c r="F128" s="15">
        <f t="shared" si="19"/>
        <v>3187</v>
      </c>
      <c r="G128" s="15">
        <v>3187</v>
      </c>
      <c r="H128" s="135">
        <f t="shared" si="21"/>
        <v>1</v>
      </c>
    </row>
    <row r="129" spans="1:8">
      <c r="A129" s="16" t="s">
        <v>147</v>
      </c>
      <c r="B129" s="17" t="s">
        <v>148</v>
      </c>
      <c r="C129" s="15">
        <f>SUM(C125:C128)</f>
        <v>245797</v>
      </c>
      <c r="D129" s="15">
        <f t="shared" ref="D129:G129" si="38">SUM(D125:D128)</f>
        <v>0</v>
      </c>
      <c r="E129" s="15">
        <f t="shared" si="38"/>
        <v>14990</v>
      </c>
      <c r="F129" s="15">
        <f t="shared" si="19"/>
        <v>14990</v>
      </c>
      <c r="G129" s="15">
        <f t="shared" si="38"/>
        <v>14990</v>
      </c>
      <c r="H129" s="136">
        <f t="shared" si="21"/>
        <v>1</v>
      </c>
    </row>
    <row r="130" spans="1:8">
      <c r="A130" s="13" t="s">
        <v>149</v>
      </c>
      <c r="B130" s="14" t="s">
        <v>150</v>
      </c>
      <c r="C130" s="15"/>
      <c r="D130" s="15"/>
      <c r="E130" s="15">
        <v>0</v>
      </c>
      <c r="F130" s="15">
        <f t="shared" si="19"/>
        <v>0</v>
      </c>
      <c r="G130" s="15">
        <v>0</v>
      </c>
      <c r="H130" s="135" t="e">
        <f t="shared" si="21"/>
        <v>#DIV/0!</v>
      </c>
    </row>
    <row r="131" spans="1:8">
      <c r="A131" s="13" t="s">
        <v>151</v>
      </c>
      <c r="B131" s="14" t="s">
        <v>152</v>
      </c>
      <c r="C131" s="15"/>
      <c r="D131" s="15"/>
      <c r="E131" s="15">
        <f>Önk.összesen!E138+'Ovi összesen'!E131</f>
        <v>0</v>
      </c>
      <c r="F131" s="15">
        <f t="shared" si="19"/>
        <v>0</v>
      </c>
      <c r="G131" s="15">
        <f>Önk.összesen!G138+'Ovi összesen'!G131</f>
        <v>0</v>
      </c>
      <c r="H131" s="135" t="e">
        <f t="shared" si="21"/>
        <v>#DIV/0!</v>
      </c>
    </row>
    <row r="132" spans="1:8" ht="25.5">
      <c r="A132" s="13" t="s">
        <v>153</v>
      </c>
      <c r="B132" s="14" t="s">
        <v>154</v>
      </c>
      <c r="C132" s="15"/>
      <c r="D132" s="15"/>
      <c r="E132" s="15">
        <v>0</v>
      </c>
      <c r="F132" s="15">
        <f t="shared" ref="F132:F141" si="39">SUM(D132:E132)</f>
        <v>0</v>
      </c>
      <c r="G132" s="15">
        <v>0</v>
      </c>
      <c r="H132" s="135" t="e">
        <f t="shared" si="21"/>
        <v>#DIV/0!</v>
      </c>
    </row>
    <row r="133" spans="1:8">
      <c r="A133" s="16" t="s">
        <v>155</v>
      </c>
      <c r="B133" s="17" t="s">
        <v>156</v>
      </c>
      <c r="C133" s="15">
        <f>SUM(C130:C132)</f>
        <v>0</v>
      </c>
      <c r="D133" s="15">
        <f t="shared" ref="D133:G133" si="40">SUM(D130:D132)</f>
        <v>0</v>
      </c>
      <c r="E133" s="15">
        <f t="shared" si="40"/>
        <v>0</v>
      </c>
      <c r="F133" s="15">
        <f t="shared" si="39"/>
        <v>0</v>
      </c>
      <c r="G133" s="15">
        <f t="shared" si="40"/>
        <v>0</v>
      </c>
      <c r="H133" s="136" t="e">
        <f t="shared" si="21"/>
        <v>#DIV/0!</v>
      </c>
    </row>
    <row r="134" spans="1:8" ht="25.5">
      <c r="A134" s="16" t="s">
        <v>157</v>
      </c>
      <c r="B134" s="17" t="s">
        <v>158</v>
      </c>
      <c r="C134" s="15">
        <f>C76+C77+C104+C113+C124+C129+C133</f>
        <v>46193412</v>
      </c>
      <c r="D134" s="15">
        <f>D76+D77+D104+D113+D124+D129+D133</f>
        <v>50885000</v>
      </c>
      <c r="E134" s="15">
        <f>E76+E77+E104+E113+E124+E129+E133</f>
        <v>-3349530</v>
      </c>
      <c r="F134" s="15">
        <f t="shared" si="39"/>
        <v>47535470</v>
      </c>
      <c r="G134" s="15">
        <f>G76+G77+G104+G113+G124+G129+G133</f>
        <v>26320081</v>
      </c>
      <c r="H134" s="136">
        <f t="shared" si="21"/>
        <v>0.55369350508157378</v>
      </c>
    </row>
    <row r="135" spans="1:8" ht="25.5">
      <c r="A135" s="13" t="s">
        <v>159</v>
      </c>
      <c r="B135" s="14" t="s">
        <v>160</v>
      </c>
      <c r="C135" s="15">
        <v>0</v>
      </c>
      <c r="D135" s="15">
        <v>0</v>
      </c>
      <c r="E135" s="15">
        <v>0</v>
      </c>
      <c r="F135" s="15">
        <f t="shared" si="39"/>
        <v>0</v>
      </c>
      <c r="G135" s="15">
        <v>0</v>
      </c>
      <c r="H135" s="135" t="e">
        <f t="shared" si="21"/>
        <v>#DIV/0!</v>
      </c>
    </row>
    <row r="136" spans="1:8" ht="25.5">
      <c r="A136" s="13" t="s">
        <v>161</v>
      </c>
      <c r="B136" s="14" t="s">
        <v>162</v>
      </c>
      <c r="C136" s="15">
        <v>0</v>
      </c>
      <c r="D136" s="15">
        <v>0</v>
      </c>
      <c r="E136" s="15">
        <f>Önk.összesen!E144+'Ovi összesen'!E136</f>
        <v>0</v>
      </c>
      <c r="F136" s="15">
        <f t="shared" si="39"/>
        <v>0</v>
      </c>
      <c r="G136" s="15">
        <v>0</v>
      </c>
      <c r="H136" s="135" t="e">
        <f t="shared" si="21"/>
        <v>#DIV/0!</v>
      </c>
    </row>
    <row r="137" spans="1:8" ht="25.5">
      <c r="A137" s="13" t="s">
        <v>163</v>
      </c>
      <c r="B137" s="14" t="s">
        <v>164</v>
      </c>
      <c r="C137" s="15">
        <f>SUM(C135:C136)</f>
        <v>0</v>
      </c>
      <c r="D137" s="15">
        <f t="shared" ref="D137:G137" si="41">SUM(D135:D136)</f>
        <v>0</v>
      </c>
      <c r="E137" s="15">
        <f t="shared" si="41"/>
        <v>0</v>
      </c>
      <c r="F137" s="15">
        <f t="shared" si="39"/>
        <v>0</v>
      </c>
      <c r="G137" s="15">
        <f t="shared" si="41"/>
        <v>0</v>
      </c>
      <c r="H137" s="135" t="e">
        <f t="shared" si="21"/>
        <v>#DIV/0!</v>
      </c>
    </row>
    <row r="138" spans="1:8" ht="25.5">
      <c r="A138" s="16" t="s">
        <v>165</v>
      </c>
      <c r="B138" s="17" t="s">
        <v>166</v>
      </c>
      <c r="C138" s="15">
        <f>SUM(C137)</f>
        <v>0</v>
      </c>
      <c r="D138" s="15">
        <f t="shared" ref="D138:H138" si="42">SUM(D137)</f>
        <v>0</v>
      </c>
      <c r="E138" s="15">
        <f t="shared" si="42"/>
        <v>0</v>
      </c>
      <c r="F138" s="15">
        <f t="shared" si="39"/>
        <v>0</v>
      </c>
      <c r="G138" s="15">
        <f t="shared" si="42"/>
        <v>0</v>
      </c>
      <c r="H138" s="135" t="e">
        <f t="shared" si="42"/>
        <v>#DIV/0!</v>
      </c>
    </row>
    <row r="139" spans="1:8">
      <c r="A139" s="16" t="s">
        <v>167</v>
      </c>
      <c r="B139" s="17" t="s">
        <v>168</v>
      </c>
      <c r="C139" s="15">
        <f>C134+C138</f>
        <v>46193412</v>
      </c>
      <c r="D139" s="15">
        <f t="shared" ref="D139:G139" si="43">D134+D138</f>
        <v>50885000</v>
      </c>
      <c r="E139" s="15">
        <f t="shared" si="43"/>
        <v>-3349530</v>
      </c>
      <c r="F139" s="15">
        <f t="shared" si="39"/>
        <v>47535470</v>
      </c>
      <c r="G139" s="15">
        <f t="shared" si="43"/>
        <v>26320081</v>
      </c>
      <c r="H139" s="136">
        <f t="shared" si="21"/>
        <v>0.55369350508157378</v>
      </c>
    </row>
    <row r="140" spans="1:8" ht="25.5">
      <c r="A140" s="13" t="s">
        <v>169</v>
      </c>
      <c r="B140" s="14" t="s">
        <v>170</v>
      </c>
      <c r="C140" s="15">
        <v>10</v>
      </c>
      <c r="D140" s="15">
        <v>10</v>
      </c>
      <c r="E140" s="15" t="e">
        <f>Önk.összesen!#REF!+'Ovi összesen'!#REF!</f>
        <v>#REF!</v>
      </c>
      <c r="F140" s="15" t="e">
        <f t="shared" si="39"/>
        <v>#REF!</v>
      </c>
      <c r="G140" s="15" t="e">
        <f>Önk.összesen!#REF!+'Ovi összesen'!#REF!</f>
        <v>#REF!</v>
      </c>
      <c r="H140" s="135"/>
    </row>
    <row r="141" spans="1:8" ht="25.5">
      <c r="A141" s="13" t="s">
        <v>171</v>
      </c>
      <c r="B141" s="14" t="s">
        <v>172</v>
      </c>
      <c r="C141" s="15">
        <v>1</v>
      </c>
      <c r="D141" s="15">
        <v>1</v>
      </c>
      <c r="E141" s="15" t="e">
        <f>Önk.összesen!#REF!+'Ovi összesen'!#REF!</f>
        <v>#REF!</v>
      </c>
      <c r="F141" s="15" t="e">
        <f t="shared" si="39"/>
        <v>#REF!</v>
      </c>
      <c r="G141" s="15" t="e">
        <f>Önk.összesen!#REF!+'Ovi összesen'!#REF!</f>
        <v>#REF!</v>
      </c>
      <c r="H141" s="135"/>
    </row>
  </sheetData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FF0000"/>
  </sheetPr>
  <dimension ref="A1:AE72"/>
  <sheetViews>
    <sheetView topLeftCell="A52" zoomScaleNormal="100" workbookViewId="0">
      <selection activeCell="M17" sqref="M17"/>
    </sheetView>
  </sheetViews>
  <sheetFormatPr defaultRowHeight="15"/>
  <cols>
    <col min="1" max="1" width="6.33203125" customWidth="1"/>
    <col min="2" max="2" width="31.88671875" customWidth="1"/>
    <col min="3" max="31" width="25.5546875" customWidth="1"/>
    <col min="257" max="257" width="6.33203125" customWidth="1"/>
    <col min="258" max="258" width="31.88671875" customWidth="1"/>
    <col min="259" max="287" width="25.5546875" customWidth="1"/>
    <col min="513" max="513" width="6.33203125" customWidth="1"/>
    <col min="514" max="514" width="31.88671875" customWidth="1"/>
    <col min="515" max="543" width="25.5546875" customWidth="1"/>
    <col min="769" max="769" width="6.33203125" customWidth="1"/>
    <col min="770" max="770" width="31.88671875" customWidth="1"/>
    <col min="771" max="799" width="25.5546875" customWidth="1"/>
    <col min="1025" max="1025" width="6.33203125" customWidth="1"/>
    <col min="1026" max="1026" width="31.88671875" customWidth="1"/>
    <col min="1027" max="1055" width="25.5546875" customWidth="1"/>
    <col min="1281" max="1281" width="6.33203125" customWidth="1"/>
    <col min="1282" max="1282" width="31.88671875" customWidth="1"/>
    <col min="1283" max="1311" width="25.5546875" customWidth="1"/>
    <col min="1537" max="1537" width="6.33203125" customWidth="1"/>
    <col min="1538" max="1538" width="31.88671875" customWidth="1"/>
    <col min="1539" max="1567" width="25.5546875" customWidth="1"/>
    <col min="1793" max="1793" width="6.33203125" customWidth="1"/>
    <col min="1794" max="1794" width="31.88671875" customWidth="1"/>
    <col min="1795" max="1823" width="25.5546875" customWidth="1"/>
    <col min="2049" max="2049" width="6.33203125" customWidth="1"/>
    <col min="2050" max="2050" width="31.88671875" customWidth="1"/>
    <col min="2051" max="2079" width="25.5546875" customWidth="1"/>
    <col min="2305" max="2305" width="6.33203125" customWidth="1"/>
    <col min="2306" max="2306" width="31.88671875" customWidth="1"/>
    <col min="2307" max="2335" width="25.5546875" customWidth="1"/>
    <col min="2561" max="2561" width="6.33203125" customWidth="1"/>
    <col min="2562" max="2562" width="31.88671875" customWidth="1"/>
    <col min="2563" max="2591" width="25.5546875" customWidth="1"/>
    <col min="2817" max="2817" width="6.33203125" customWidth="1"/>
    <col min="2818" max="2818" width="31.88671875" customWidth="1"/>
    <col min="2819" max="2847" width="25.5546875" customWidth="1"/>
    <col min="3073" max="3073" width="6.33203125" customWidth="1"/>
    <col min="3074" max="3074" width="31.88671875" customWidth="1"/>
    <col min="3075" max="3103" width="25.5546875" customWidth="1"/>
    <col min="3329" max="3329" width="6.33203125" customWidth="1"/>
    <col min="3330" max="3330" width="31.88671875" customWidth="1"/>
    <col min="3331" max="3359" width="25.5546875" customWidth="1"/>
    <col min="3585" max="3585" width="6.33203125" customWidth="1"/>
    <col min="3586" max="3586" width="31.88671875" customWidth="1"/>
    <col min="3587" max="3615" width="25.5546875" customWidth="1"/>
    <col min="3841" max="3841" width="6.33203125" customWidth="1"/>
    <col min="3842" max="3842" width="31.88671875" customWidth="1"/>
    <col min="3843" max="3871" width="25.5546875" customWidth="1"/>
    <col min="4097" max="4097" width="6.33203125" customWidth="1"/>
    <col min="4098" max="4098" width="31.88671875" customWidth="1"/>
    <col min="4099" max="4127" width="25.5546875" customWidth="1"/>
    <col min="4353" max="4353" width="6.33203125" customWidth="1"/>
    <col min="4354" max="4354" width="31.88671875" customWidth="1"/>
    <col min="4355" max="4383" width="25.5546875" customWidth="1"/>
    <col min="4609" max="4609" width="6.33203125" customWidth="1"/>
    <col min="4610" max="4610" width="31.88671875" customWidth="1"/>
    <col min="4611" max="4639" width="25.5546875" customWidth="1"/>
    <col min="4865" max="4865" width="6.33203125" customWidth="1"/>
    <col min="4866" max="4866" width="31.88671875" customWidth="1"/>
    <col min="4867" max="4895" width="25.5546875" customWidth="1"/>
    <col min="5121" max="5121" width="6.33203125" customWidth="1"/>
    <col min="5122" max="5122" width="31.88671875" customWidth="1"/>
    <col min="5123" max="5151" width="25.5546875" customWidth="1"/>
    <col min="5377" max="5377" width="6.33203125" customWidth="1"/>
    <col min="5378" max="5378" width="31.88671875" customWidth="1"/>
    <col min="5379" max="5407" width="25.5546875" customWidth="1"/>
    <col min="5633" max="5633" width="6.33203125" customWidth="1"/>
    <col min="5634" max="5634" width="31.88671875" customWidth="1"/>
    <col min="5635" max="5663" width="25.5546875" customWidth="1"/>
    <col min="5889" max="5889" width="6.33203125" customWidth="1"/>
    <col min="5890" max="5890" width="31.88671875" customWidth="1"/>
    <col min="5891" max="5919" width="25.5546875" customWidth="1"/>
    <col min="6145" max="6145" width="6.33203125" customWidth="1"/>
    <col min="6146" max="6146" width="31.88671875" customWidth="1"/>
    <col min="6147" max="6175" width="25.5546875" customWidth="1"/>
    <col min="6401" max="6401" width="6.33203125" customWidth="1"/>
    <col min="6402" max="6402" width="31.88671875" customWidth="1"/>
    <col min="6403" max="6431" width="25.5546875" customWidth="1"/>
    <col min="6657" max="6657" width="6.33203125" customWidth="1"/>
    <col min="6658" max="6658" width="31.88671875" customWidth="1"/>
    <col min="6659" max="6687" width="25.5546875" customWidth="1"/>
    <col min="6913" max="6913" width="6.33203125" customWidth="1"/>
    <col min="6914" max="6914" width="31.88671875" customWidth="1"/>
    <col min="6915" max="6943" width="25.5546875" customWidth="1"/>
    <col min="7169" max="7169" width="6.33203125" customWidth="1"/>
    <col min="7170" max="7170" width="31.88671875" customWidth="1"/>
    <col min="7171" max="7199" width="25.5546875" customWidth="1"/>
    <col min="7425" max="7425" width="6.33203125" customWidth="1"/>
    <col min="7426" max="7426" width="31.88671875" customWidth="1"/>
    <col min="7427" max="7455" width="25.5546875" customWidth="1"/>
    <col min="7681" max="7681" width="6.33203125" customWidth="1"/>
    <col min="7682" max="7682" width="31.88671875" customWidth="1"/>
    <col min="7683" max="7711" width="25.5546875" customWidth="1"/>
    <col min="7937" max="7937" width="6.33203125" customWidth="1"/>
    <col min="7938" max="7938" width="31.88671875" customWidth="1"/>
    <col min="7939" max="7967" width="25.5546875" customWidth="1"/>
    <col min="8193" max="8193" width="6.33203125" customWidth="1"/>
    <col min="8194" max="8194" width="31.88671875" customWidth="1"/>
    <col min="8195" max="8223" width="25.5546875" customWidth="1"/>
    <col min="8449" max="8449" width="6.33203125" customWidth="1"/>
    <col min="8450" max="8450" width="31.88671875" customWidth="1"/>
    <col min="8451" max="8479" width="25.5546875" customWidth="1"/>
    <col min="8705" max="8705" width="6.33203125" customWidth="1"/>
    <col min="8706" max="8706" width="31.88671875" customWidth="1"/>
    <col min="8707" max="8735" width="25.5546875" customWidth="1"/>
    <col min="8961" max="8961" width="6.33203125" customWidth="1"/>
    <col min="8962" max="8962" width="31.88671875" customWidth="1"/>
    <col min="8963" max="8991" width="25.5546875" customWidth="1"/>
    <col min="9217" max="9217" width="6.33203125" customWidth="1"/>
    <col min="9218" max="9218" width="31.88671875" customWidth="1"/>
    <col min="9219" max="9247" width="25.5546875" customWidth="1"/>
    <col min="9473" max="9473" width="6.33203125" customWidth="1"/>
    <col min="9474" max="9474" width="31.88671875" customWidth="1"/>
    <col min="9475" max="9503" width="25.5546875" customWidth="1"/>
    <col min="9729" max="9729" width="6.33203125" customWidth="1"/>
    <col min="9730" max="9730" width="31.88671875" customWidth="1"/>
    <col min="9731" max="9759" width="25.5546875" customWidth="1"/>
    <col min="9985" max="9985" width="6.33203125" customWidth="1"/>
    <col min="9986" max="9986" width="31.88671875" customWidth="1"/>
    <col min="9987" max="10015" width="25.5546875" customWidth="1"/>
    <col min="10241" max="10241" width="6.33203125" customWidth="1"/>
    <col min="10242" max="10242" width="31.88671875" customWidth="1"/>
    <col min="10243" max="10271" width="25.5546875" customWidth="1"/>
    <col min="10497" max="10497" width="6.33203125" customWidth="1"/>
    <col min="10498" max="10498" width="31.88671875" customWidth="1"/>
    <col min="10499" max="10527" width="25.5546875" customWidth="1"/>
    <col min="10753" max="10753" width="6.33203125" customWidth="1"/>
    <col min="10754" max="10754" width="31.88671875" customWidth="1"/>
    <col min="10755" max="10783" width="25.5546875" customWidth="1"/>
    <col min="11009" max="11009" width="6.33203125" customWidth="1"/>
    <col min="11010" max="11010" width="31.88671875" customWidth="1"/>
    <col min="11011" max="11039" width="25.5546875" customWidth="1"/>
    <col min="11265" max="11265" width="6.33203125" customWidth="1"/>
    <col min="11266" max="11266" width="31.88671875" customWidth="1"/>
    <col min="11267" max="11295" width="25.5546875" customWidth="1"/>
    <col min="11521" max="11521" width="6.33203125" customWidth="1"/>
    <col min="11522" max="11522" width="31.88671875" customWidth="1"/>
    <col min="11523" max="11551" width="25.5546875" customWidth="1"/>
    <col min="11777" max="11777" width="6.33203125" customWidth="1"/>
    <col min="11778" max="11778" width="31.88671875" customWidth="1"/>
    <col min="11779" max="11807" width="25.5546875" customWidth="1"/>
    <col min="12033" max="12033" width="6.33203125" customWidth="1"/>
    <col min="12034" max="12034" width="31.88671875" customWidth="1"/>
    <col min="12035" max="12063" width="25.5546875" customWidth="1"/>
    <col min="12289" max="12289" width="6.33203125" customWidth="1"/>
    <col min="12290" max="12290" width="31.88671875" customWidth="1"/>
    <col min="12291" max="12319" width="25.5546875" customWidth="1"/>
    <col min="12545" max="12545" width="6.33203125" customWidth="1"/>
    <col min="12546" max="12546" width="31.88671875" customWidth="1"/>
    <col min="12547" max="12575" width="25.5546875" customWidth="1"/>
    <col min="12801" max="12801" width="6.33203125" customWidth="1"/>
    <col min="12802" max="12802" width="31.88671875" customWidth="1"/>
    <col min="12803" max="12831" width="25.5546875" customWidth="1"/>
    <col min="13057" max="13057" width="6.33203125" customWidth="1"/>
    <col min="13058" max="13058" width="31.88671875" customWidth="1"/>
    <col min="13059" max="13087" width="25.5546875" customWidth="1"/>
    <col min="13313" max="13313" width="6.33203125" customWidth="1"/>
    <col min="13314" max="13314" width="31.88671875" customWidth="1"/>
    <col min="13315" max="13343" width="25.5546875" customWidth="1"/>
    <col min="13569" max="13569" width="6.33203125" customWidth="1"/>
    <col min="13570" max="13570" width="31.88671875" customWidth="1"/>
    <col min="13571" max="13599" width="25.5546875" customWidth="1"/>
    <col min="13825" max="13825" width="6.33203125" customWidth="1"/>
    <col min="13826" max="13826" width="31.88671875" customWidth="1"/>
    <col min="13827" max="13855" width="25.5546875" customWidth="1"/>
    <col min="14081" max="14081" width="6.33203125" customWidth="1"/>
    <col min="14082" max="14082" width="31.88671875" customWidth="1"/>
    <col min="14083" max="14111" width="25.5546875" customWidth="1"/>
    <col min="14337" max="14337" width="6.33203125" customWidth="1"/>
    <col min="14338" max="14338" width="31.88671875" customWidth="1"/>
    <col min="14339" max="14367" width="25.5546875" customWidth="1"/>
    <col min="14593" max="14593" width="6.33203125" customWidth="1"/>
    <col min="14594" max="14594" width="31.88671875" customWidth="1"/>
    <col min="14595" max="14623" width="25.5546875" customWidth="1"/>
    <col min="14849" max="14849" width="6.33203125" customWidth="1"/>
    <col min="14850" max="14850" width="31.88671875" customWidth="1"/>
    <col min="14851" max="14879" width="25.5546875" customWidth="1"/>
    <col min="15105" max="15105" width="6.33203125" customWidth="1"/>
    <col min="15106" max="15106" width="31.88671875" customWidth="1"/>
    <col min="15107" max="15135" width="25.5546875" customWidth="1"/>
    <col min="15361" max="15361" width="6.33203125" customWidth="1"/>
    <col min="15362" max="15362" width="31.88671875" customWidth="1"/>
    <col min="15363" max="15391" width="25.5546875" customWidth="1"/>
    <col min="15617" max="15617" width="6.33203125" customWidth="1"/>
    <col min="15618" max="15618" width="31.88671875" customWidth="1"/>
    <col min="15619" max="15647" width="25.5546875" customWidth="1"/>
    <col min="15873" max="15873" width="6.33203125" customWidth="1"/>
    <col min="15874" max="15874" width="31.88671875" customWidth="1"/>
    <col min="15875" max="15903" width="25.5546875" customWidth="1"/>
    <col min="16129" max="16129" width="6.33203125" customWidth="1"/>
    <col min="16130" max="16130" width="31.88671875" customWidth="1"/>
    <col min="16131" max="16159" width="25.5546875" customWidth="1"/>
  </cols>
  <sheetData>
    <row r="1" spans="1:31" ht="75">
      <c r="A1" s="1" t="s">
        <v>0</v>
      </c>
      <c r="B1" s="1" t="s">
        <v>1</v>
      </c>
      <c r="C1" s="1"/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ht="25.5">
      <c r="A2" s="2" t="s">
        <v>31</v>
      </c>
      <c r="B2" s="3" t="s">
        <v>32</v>
      </c>
      <c r="C2" s="4">
        <v>36618429</v>
      </c>
      <c r="D2" s="4">
        <v>300597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22658427</v>
      </c>
      <c r="M2" s="4">
        <v>0</v>
      </c>
      <c r="N2" s="4">
        <v>0</v>
      </c>
      <c r="O2" s="4">
        <v>0</v>
      </c>
      <c r="P2" s="4">
        <v>2545847</v>
      </c>
      <c r="Q2" s="4">
        <v>0</v>
      </c>
      <c r="R2" s="4">
        <v>2906440</v>
      </c>
      <c r="S2" s="4">
        <v>0</v>
      </c>
      <c r="T2" s="4">
        <v>0</v>
      </c>
      <c r="U2" s="4">
        <v>3435005</v>
      </c>
      <c r="V2" s="4">
        <v>0</v>
      </c>
      <c r="W2" s="4">
        <v>1623059</v>
      </c>
      <c r="X2" s="4">
        <v>1603563</v>
      </c>
      <c r="Y2" s="4">
        <v>1545491</v>
      </c>
      <c r="Z2" s="4">
        <v>0</v>
      </c>
      <c r="AA2" s="4">
        <v>0</v>
      </c>
      <c r="AB2" s="4">
        <v>0</v>
      </c>
      <c r="AC2" s="4">
        <v>0</v>
      </c>
      <c r="AD2" s="4">
        <v>0</v>
      </c>
      <c r="AE2" s="4">
        <v>0</v>
      </c>
    </row>
    <row r="3" spans="1:31">
      <c r="A3" s="2" t="s">
        <v>33</v>
      </c>
      <c r="B3" s="3" t="s">
        <v>34</v>
      </c>
      <c r="C3" s="4">
        <v>943500</v>
      </c>
      <c r="D3" s="4">
        <v>294000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147500</v>
      </c>
      <c r="Q3" s="4">
        <v>0</v>
      </c>
      <c r="R3" s="4">
        <v>102000</v>
      </c>
      <c r="S3" s="4">
        <v>0</v>
      </c>
      <c r="T3" s="4">
        <v>0</v>
      </c>
      <c r="U3" s="4">
        <v>170000</v>
      </c>
      <c r="V3" s="4">
        <v>0</v>
      </c>
      <c r="W3" s="4">
        <v>72500</v>
      </c>
      <c r="X3" s="4">
        <v>72500</v>
      </c>
      <c r="Y3" s="4">
        <v>85000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</row>
    <row r="4" spans="1:31">
      <c r="A4" s="2" t="s">
        <v>35</v>
      </c>
      <c r="B4" s="3" t="s">
        <v>36</v>
      </c>
      <c r="C4" s="4">
        <v>75447</v>
      </c>
      <c r="D4" s="4">
        <v>15183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60264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</row>
    <row r="5" spans="1:31">
      <c r="A5" s="2" t="s">
        <v>37</v>
      </c>
      <c r="B5" s="3" t="s">
        <v>38</v>
      </c>
      <c r="C5" s="4">
        <v>91000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19000</v>
      </c>
      <c r="Q5" s="4">
        <v>0</v>
      </c>
      <c r="R5" s="4">
        <v>24000</v>
      </c>
      <c r="S5" s="4">
        <v>0</v>
      </c>
      <c r="T5" s="4">
        <v>0</v>
      </c>
      <c r="U5" s="4">
        <v>24000</v>
      </c>
      <c r="V5" s="4">
        <v>0</v>
      </c>
      <c r="W5" s="4">
        <v>9000</v>
      </c>
      <c r="X5" s="4">
        <v>9000</v>
      </c>
      <c r="Y5" s="4">
        <v>6000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</row>
    <row r="6" spans="1:31" ht="25.5">
      <c r="A6" s="2" t="s">
        <v>39</v>
      </c>
      <c r="B6" s="3" t="s">
        <v>40</v>
      </c>
      <c r="C6" s="4">
        <v>1123445</v>
      </c>
      <c r="D6" s="4">
        <v>0</v>
      </c>
      <c r="E6" s="4">
        <v>0</v>
      </c>
      <c r="F6" s="4">
        <v>0</v>
      </c>
      <c r="G6" s="4">
        <v>0</v>
      </c>
      <c r="H6" s="4">
        <v>240314</v>
      </c>
      <c r="I6" s="4">
        <v>0</v>
      </c>
      <c r="J6" s="4">
        <v>0</v>
      </c>
      <c r="K6" s="4">
        <v>0</v>
      </c>
      <c r="L6" s="4">
        <v>552272</v>
      </c>
      <c r="M6" s="4">
        <v>0</v>
      </c>
      <c r="N6" s="4">
        <v>0</v>
      </c>
      <c r="O6" s="4">
        <v>0</v>
      </c>
      <c r="P6" s="4">
        <v>250723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12900</v>
      </c>
      <c r="X6" s="4">
        <v>12900</v>
      </c>
      <c r="Y6" s="4">
        <v>54336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</row>
    <row r="7" spans="1:31" ht="25.5">
      <c r="A7" s="2" t="s">
        <v>41</v>
      </c>
      <c r="B7" s="3" t="s">
        <v>42</v>
      </c>
      <c r="C7" s="4">
        <v>38851821</v>
      </c>
      <c r="D7" s="4">
        <v>609780</v>
      </c>
      <c r="E7" s="4">
        <v>0</v>
      </c>
      <c r="F7" s="4">
        <v>0</v>
      </c>
      <c r="G7" s="4">
        <v>0</v>
      </c>
      <c r="H7" s="4">
        <v>240314</v>
      </c>
      <c r="I7" s="4">
        <v>0</v>
      </c>
      <c r="J7" s="4">
        <v>0</v>
      </c>
      <c r="K7" s="4">
        <v>0</v>
      </c>
      <c r="L7" s="4">
        <v>23210699</v>
      </c>
      <c r="M7" s="4">
        <v>0</v>
      </c>
      <c r="N7" s="4">
        <v>0</v>
      </c>
      <c r="O7" s="4">
        <v>0</v>
      </c>
      <c r="P7" s="4">
        <v>2963070</v>
      </c>
      <c r="Q7" s="4">
        <v>0</v>
      </c>
      <c r="R7" s="4">
        <v>3032440</v>
      </c>
      <c r="S7" s="4">
        <v>0</v>
      </c>
      <c r="T7" s="4">
        <v>0</v>
      </c>
      <c r="U7" s="4">
        <v>3689269</v>
      </c>
      <c r="V7" s="4">
        <v>0</v>
      </c>
      <c r="W7" s="4">
        <v>1717459</v>
      </c>
      <c r="X7" s="4">
        <v>1697963</v>
      </c>
      <c r="Y7" s="4">
        <v>1690827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</row>
    <row r="8" spans="1:31">
      <c r="A8" s="2" t="s">
        <v>43</v>
      </c>
      <c r="B8" s="3" t="s">
        <v>44</v>
      </c>
      <c r="C8" s="4">
        <v>9129590</v>
      </c>
      <c r="D8" s="4">
        <v>9129590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</row>
    <row r="9" spans="1:31" ht="38.25">
      <c r="A9" s="2" t="s">
        <v>45</v>
      </c>
      <c r="B9" s="3" t="s">
        <v>46</v>
      </c>
      <c r="C9" s="4">
        <v>2606542</v>
      </c>
      <c r="D9" s="4">
        <v>980007</v>
      </c>
      <c r="E9" s="4">
        <v>0</v>
      </c>
      <c r="F9" s="4">
        <v>0</v>
      </c>
      <c r="G9" s="4">
        <v>0</v>
      </c>
      <c r="H9" s="4">
        <v>16855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56180</v>
      </c>
      <c r="Q9" s="4">
        <v>0</v>
      </c>
      <c r="R9" s="4">
        <v>1063500</v>
      </c>
      <c r="S9" s="4">
        <v>0</v>
      </c>
      <c r="T9" s="4">
        <v>450000</v>
      </c>
      <c r="U9" s="4">
        <v>40000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</row>
    <row r="10" spans="1:31">
      <c r="A10" s="2" t="s">
        <v>47</v>
      </c>
      <c r="B10" s="3" t="s">
        <v>48</v>
      </c>
      <c r="C10" s="4">
        <v>674229</v>
      </c>
      <c r="D10" s="4">
        <v>399415</v>
      </c>
      <c r="E10" s="4">
        <v>0</v>
      </c>
      <c r="F10" s="4">
        <v>0</v>
      </c>
      <c r="G10" s="4">
        <v>5571</v>
      </c>
      <c r="H10" s="4">
        <v>181762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87481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</row>
    <row r="11" spans="1:31">
      <c r="A11" s="2" t="s">
        <v>49</v>
      </c>
      <c r="B11" s="3" t="s">
        <v>50</v>
      </c>
      <c r="C11" s="4">
        <v>12410361</v>
      </c>
      <c r="D11" s="4">
        <v>10509012</v>
      </c>
      <c r="E11" s="4">
        <v>0</v>
      </c>
      <c r="F11" s="4">
        <v>0</v>
      </c>
      <c r="G11" s="4">
        <v>5571</v>
      </c>
      <c r="H11" s="4">
        <v>198617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56180</v>
      </c>
      <c r="Q11" s="4">
        <v>0</v>
      </c>
      <c r="R11" s="4">
        <v>1063500</v>
      </c>
      <c r="S11" s="4">
        <v>0</v>
      </c>
      <c r="T11" s="4">
        <v>450000</v>
      </c>
      <c r="U11" s="4">
        <v>127481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</row>
    <row r="12" spans="1:31">
      <c r="A12" s="5" t="s">
        <v>51</v>
      </c>
      <c r="B12" s="6" t="s">
        <v>52</v>
      </c>
      <c r="C12" s="7">
        <v>51262182</v>
      </c>
      <c r="D12" s="7">
        <v>11118792</v>
      </c>
      <c r="E12" s="7">
        <v>0</v>
      </c>
      <c r="F12" s="7">
        <v>0</v>
      </c>
      <c r="G12" s="7">
        <v>5571</v>
      </c>
      <c r="H12" s="7">
        <v>438931</v>
      </c>
      <c r="I12" s="7">
        <v>0</v>
      </c>
      <c r="J12" s="7">
        <v>0</v>
      </c>
      <c r="K12" s="7">
        <v>0</v>
      </c>
      <c r="L12" s="7">
        <v>23210699</v>
      </c>
      <c r="M12" s="7">
        <v>0</v>
      </c>
      <c r="N12" s="7">
        <v>0</v>
      </c>
      <c r="O12" s="7">
        <v>0</v>
      </c>
      <c r="P12" s="7">
        <v>3019250</v>
      </c>
      <c r="Q12" s="7">
        <v>0</v>
      </c>
      <c r="R12" s="7">
        <v>4095940</v>
      </c>
      <c r="S12" s="7">
        <v>0</v>
      </c>
      <c r="T12" s="7">
        <v>450000</v>
      </c>
      <c r="U12" s="7">
        <v>3816750</v>
      </c>
      <c r="V12" s="7">
        <v>0</v>
      </c>
      <c r="W12" s="7">
        <v>1717459</v>
      </c>
      <c r="X12" s="7">
        <v>1697963</v>
      </c>
      <c r="Y12" s="7">
        <v>1690827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</row>
    <row r="13" spans="1:31" ht="25.5">
      <c r="A13" s="5" t="s">
        <v>53</v>
      </c>
      <c r="B13" s="6" t="s">
        <v>54</v>
      </c>
      <c r="C13" s="7">
        <v>13328043</v>
      </c>
      <c r="D13" s="7">
        <v>3015494</v>
      </c>
      <c r="E13" s="7">
        <v>0</v>
      </c>
      <c r="F13" s="7">
        <v>0</v>
      </c>
      <c r="G13" s="7">
        <v>2784</v>
      </c>
      <c r="H13" s="7">
        <v>159828</v>
      </c>
      <c r="I13" s="7">
        <v>0</v>
      </c>
      <c r="J13" s="7">
        <v>0</v>
      </c>
      <c r="K13" s="7">
        <v>0</v>
      </c>
      <c r="L13" s="7">
        <v>5561973</v>
      </c>
      <c r="M13" s="7">
        <v>0</v>
      </c>
      <c r="N13" s="7">
        <v>0</v>
      </c>
      <c r="O13" s="7">
        <v>0</v>
      </c>
      <c r="P13" s="7">
        <v>919935</v>
      </c>
      <c r="Q13" s="7">
        <v>0</v>
      </c>
      <c r="R13" s="7">
        <v>1097699</v>
      </c>
      <c r="S13" s="7">
        <v>0</v>
      </c>
      <c r="T13" s="7">
        <v>109356</v>
      </c>
      <c r="U13" s="7">
        <v>1059579</v>
      </c>
      <c r="V13" s="7">
        <v>0</v>
      </c>
      <c r="W13" s="7">
        <v>469876</v>
      </c>
      <c r="X13" s="7">
        <v>464846</v>
      </c>
      <c r="Y13" s="7">
        <v>466673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</row>
    <row r="14" spans="1:31">
      <c r="A14" s="2" t="s">
        <v>55</v>
      </c>
      <c r="B14" s="3" t="s">
        <v>56</v>
      </c>
      <c r="C14" s="4">
        <v>12400329</v>
      </c>
      <c r="D14" s="4">
        <v>2616068</v>
      </c>
      <c r="E14" s="4">
        <v>0</v>
      </c>
      <c r="F14" s="4">
        <v>0</v>
      </c>
      <c r="G14" s="4">
        <v>0</v>
      </c>
      <c r="H14" s="4">
        <v>68983</v>
      </c>
      <c r="I14" s="4">
        <v>0</v>
      </c>
      <c r="J14" s="4">
        <v>0</v>
      </c>
      <c r="K14" s="4">
        <v>0</v>
      </c>
      <c r="L14" s="4">
        <v>5450037</v>
      </c>
      <c r="M14" s="4">
        <v>0</v>
      </c>
      <c r="N14" s="4">
        <v>0</v>
      </c>
      <c r="O14" s="4">
        <v>0</v>
      </c>
      <c r="P14" s="4">
        <v>854310</v>
      </c>
      <c r="Q14" s="4">
        <v>0</v>
      </c>
      <c r="R14" s="4">
        <v>1049654</v>
      </c>
      <c r="S14" s="4">
        <v>0</v>
      </c>
      <c r="T14" s="4">
        <v>109356</v>
      </c>
      <c r="U14" s="4">
        <v>943650</v>
      </c>
      <c r="V14" s="4">
        <v>0</v>
      </c>
      <c r="W14" s="4">
        <v>439983</v>
      </c>
      <c r="X14" s="4">
        <v>434715</v>
      </c>
      <c r="Y14" s="4">
        <v>433573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</row>
    <row r="15" spans="1:31">
      <c r="A15" s="2" t="s">
        <v>57</v>
      </c>
      <c r="B15" s="3" t="s">
        <v>58</v>
      </c>
      <c r="C15" s="4">
        <v>546455</v>
      </c>
      <c r="D15" s="4">
        <v>308049</v>
      </c>
      <c r="E15" s="4">
        <v>0</v>
      </c>
      <c r="F15" s="4">
        <v>0</v>
      </c>
      <c r="G15" s="4">
        <v>1790</v>
      </c>
      <c r="H15" s="4">
        <v>58400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35003</v>
      </c>
      <c r="Q15" s="4">
        <v>0</v>
      </c>
      <c r="R15" s="4">
        <v>27033</v>
      </c>
      <c r="S15" s="4">
        <v>0</v>
      </c>
      <c r="T15" s="4">
        <v>0</v>
      </c>
      <c r="U15" s="4">
        <v>67095</v>
      </c>
      <c r="V15" s="4">
        <v>0</v>
      </c>
      <c r="W15" s="4">
        <v>15680</v>
      </c>
      <c r="X15" s="4">
        <v>15840</v>
      </c>
      <c r="Y15" s="4">
        <v>17565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</row>
    <row r="16" spans="1:31">
      <c r="A16" s="2" t="s">
        <v>59</v>
      </c>
      <c r="B16" s="3" t="s">
        <v>60</v>
      </c>
      <c r="C16" s="4">
        <v>111936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111936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</row>
    <row r="17" spans="1:31" ht="25.5">
      <c r="A17" s="2" t="s">
        <v>61</v>
      </c>
      <c r="B17" s="3" t="s">
        <v>62</v>
      </c>
      <c r="C17" s="4">
        <v>269323</v>
      </c>
      <c r="D17" s="4">
        <v>91377</v>
      </c>
      <c r="E17" s="4">
        <v>0</v>
      </c>
      <c r="F17" s="4">
        <v>0</v>
      </c>
      <c r="G17" s="4">
        <v>994</v>
      </c>
      <c r="H17" s="4">
        <v>32445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30622</v>
      </c>
      <c r="Q17" s="4">
        <v>0</v>
      </c>
      <c r="R17" s="4">
        <v>21012</v>
      </c>
      <c r="S17" s="4">
        <v>0</v>
      </c>
      <c r="T17" s="4">
        <v>0</v>
      </c>
      <c r="U17" s="4">
        <v>48834</v>
      </c>
      <c r="V17" s="4">
        <v>0</v>
      </c>
      <c r="W17" s="4">
        <v>14213</v>
      </c>
      <c r="X17" s="4">
        <v>14291</v>
      </c>
      <c r="Y17" s="4">
        <v>15535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</row>
    <row r="18" spans="1:31">
      <c r="A18" s="2" t="s">
        <v>63</v>
      </c>
      <c r="B18" s="3" t="s">
        <v>64</v>
      </c>
      <c r="C18" s="4">
        <v>615929</v>
      </c>
      <c r="D18" s="4">
        <v>178993</v>
      </c>
      <c r="E18" s="4">
        <v>0</v>
      </c>
      <c r="F18" s="4">
        <v>0</v>
      </c>
      <c r="G18" s="4">
        <v>27235</v>
      </c>
      <c r="H18" s="4">
        <v>8622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248558</v>
      </c>
      <c r="S18" s="4">
        <v>0</v>
      </c>
      <c r="T18" s="4">
        <v>3087</v>
      </c>
      <c r="U18" s="4">
        <v>38611</v>
      </c>
      <c r="V18" s="4">
        <v>0</v>
      </c>
      <c r="W18" s="4">
        <v>0</v>
      </c>
      <c r="X18" s="4">
        <v>0</v>
      </c>
      <c r="Y18" s="4">
        <v>110823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</row>
    <row r="19" spans="1:31">
      <c r="A19" s="2" t="s">
        <v>65</v>
      </c>
      <c r="B19" s="3" t="s">
        <v>66</v>
      </c>
      <c r="C19" s="4">
        <v>14470779</v>
      </c>
      <c r="D19" s="4">
        <v>1053222</v>
      </c>
      <c r="E19" s="4">
        <v>0</v>
      </c>
      <c r="F19" s="4">
        <v>75665</v>
      </c>
      <c r="G19" s="4">
        <v>787354</v>
      </c>
      <c r="H19" s="4">
        <v>5732</v>
      </c>
      <c r="I19" s="4">
        <v>0</v>
      </c>
      <c r="J19" s="4">
        <v>0</v>
      </c>
      <c r="K19" s="4">
        <v>31400</v>
      </c>
      <c r="L19" s="4">
        <v>3155582</v>
      </c>
      <c r="M19" s="4">
        <v>841484</v>
      </c>
      <c r="N19" s="4">
        <v>0</v>
      </c>
      <c r="O19" s="4">
        <v>969688</v>
      </c>
      <c r="P19" s="4">
        <v>3753991</v>
      </c>
      <c r="Q19" s="4">
        <v>547</v>
      </c>
      <c r="R19" s="4">
        <v>335769</v>
      </c>
      <c r="S19" s="4">
        <v>315642</v>
      </c>
      <c r="T19" s="4">
        <v>0</v>
      </c>
      <c r="U19" s="4">
        <v>881545</v>
      </c>
      <c r="V19" s="4">
        <v>0</v>
      </c>
      <c r="W19" s="4">
        <v>571023</v>
      </c>
      <c r="X19" s="4">
        <v>576379</v>
      </c>
      <c r="Y19" s="4">
        <v>1115756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</row>
    <row r="20" spans="1:31">
      <c r="A20" s="2" t="s">
        <v>67</v>
      </c>
      <c r="B20" s="3" t="s">
        <v>68</v>
      </c>
      <c r="C20" s="4">
        <v>15086708</v>
      </c>
      <c r="D20" s="4">
        <v>1232215</v>
      </c>
      <c r="E20" s="4">
        <v>0</v>
      </c>
      <c r="F20" s="4">
        <v>75665</v>
      </c>
      <c r="G20" s="4">
        <v>814589</v>
      </c>
      <c r="H20" s="4">
        <v>14354</v>
      </c>
      <c r="I20" s="4">
        <v>0</v>
      </c>
      <c r="J20" s="4">
        <v>0</v>
      </c>
      <c r="K20" s="4">
        <v>31400</v>
      </c>
      <c r="L20" s="4">
        <v>3155582</v>
      </c>
      <c r="M20" s="4">
        <v>841484</v>
      </c>
      <c r="N20" s="4">
        <v>0</v>
      </c>
      <c r="O20" s="4">
        <v>969688</v>
      </c>
      <c r="P20" s="4">
        <v>3753991</v>
      </c>
      <c r="Q20" s="4">
        <v>547</v>
      </c>
      <c r="R20" s="4">
        <v>584327</v>
      </c>
      <c r="S20" s="4">
        <v>315642</v>
      </c>
      <c r="T20" s="4">
        <v>3087</v>
      </c>
      <c r="U20" s="4">
        <v>920156</v>
      </c>
      <c r="V20" s="4">
        <v>0</v>
      </c>
      <c r="W20" s="4">
        <v>571023</v>
      </c>
      <c r="X20" s="4">
        <v>576379</v>
      </c>
      <c r="Y20" s="4">
        <v>1226579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</row>
    <row r="21" spans="1:31" ht="25.5">
      <c r="A21" s="2" t="s">
        <v>69</v>
      </c>
      <c r="B21" s="3" t="s">
        <v>70</v>
      </c>
      <c r="C21" s="4">
        <v>2398407</v>
      </c>
      <c r="D21" s="4">
        <v>1980337</v>
      </c>
      <c r="E21" s="4">
        <v>0</v>
      </c>
      <c r="F21" s="4">
        <v>0</v>
      </c>
      <c r="G21" s="4">
        <v>53503</v>
      </c>
      <c r="H21" s="4">
        <v>0</v>
      </c>
      <c r="I21" s="4">
        <v>0</v>
      </c>
      <c r="J21" s="4">
        <v>0</v>
      </c>
      <c r="K21" s="4">
        <v>93080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93080</v>
      </c>
      <c r="S21" s="4">
        <v>0</v>
      </c>
      <c r="T21" s="4">
        <v>0</v>
      </c>
      <c r="U21" s="4">
        <v>76932</v>
      </c>
      <c r="V21" s="4">
        <v>0</v>
      </c>
      <c r="W21" s="4">
        <v>46125</v>
      </c>
      <c r="X21" s="4">
        <v>55350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</row>
    <row r="22" spans="1:31">
      <c r="A22" s="2" t="s">
        <v>71</v>
      </c>
      <c r="B22" s="3" t="s">
        <v>72</v>
      </c>
      <c r="C22" s="4">
        <v>535831</v>
      </c>
      <c r="D22" s="4">
        <v>23379</v>
      </c>
      <c r="E22" s="4">
        <v>0</v>
      </c>
      <c r="F22" s="4">
        <v>0</v>
      </c>
      <c r="G22" s="4">
        <v>10901</v>
      </c>
      <c r="H22" s="4">
        <v>0</v>
      </c>
      <c r="I22" s="4">
        <v>0</v>
      </c>
      <c r="J22" s="4">
        <v>0</v>
      </c>
      <c r="K22" s="4">
        <v>6971</v>
      </c>
      <c r="L22" s="4">
        <v>0</v>
      </c>
      <c r="M22" s="4">
        <v>0</v>
      </c>
      <c r="N22" s="4">
        <v>0</v>
      </c>
      <c r="O22" s="4">
        <v>0</v>
      </c>
      <c r="P22" s="4">
        <v>80367</v>
      </c>
      <c r="Q22" s="4">
        <v>0</v>
      </c>
      <c r="R22" s="4">
        <v>56219</v>
      </c>
      <c r="S22" s="4">
        <v>0</v>
      </c>
      <c r="T22" s="4">
        <v>0</v>
      </c>
      <c r="U22" s="4">
        <v>152598</v>
      </c>
      <c r="V22" s="4">
        <v>0</v>
      </c>
      <c r="W22" s="4">
        <v>111195</v>
      </c>
      <c r="X22" s="4">
        <v>94201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</row>
    <row r="23" spans="1:31">
      <c r="A23" s="2" t="s">
        <v>73</v>
      </c>
      <c r="B23" s="3" t="s">
        <v>74</v>
      </c>
      <c r="C23" s="4">
        <v>2934238</v>
      </c>
      <c r="D23" s="4">
        <v>2003716</v>
      </c>
      <c r="E23" s="4">
        <v>0</v>
      </c>
      <c r="F23" s="4">
        <v>0</v>
      </c>
      <c r="G23" s="4">
        <v>64404</v>
      </c>
      <c r="H23" s="4">
        <v>0</v>
      </c>
      <c r="I23" s="4">
        <v>0</v>
      </c>
      <c r="J23" s="4">
        <v>0</v>
      </c>
      <c r="K23" s="4">
        <v>100051</v>
      </c>
      <c r="L23" s="4">
        <v>0</v>
      </c>
      <c r="M23" s="4">
        <v>0</v>
      </c>
      <c r="N23" s="4">
        <v>0</v>
      </c>
      <c r="O23" s="4">
        <v>0</v>
      </c>
      <c r="P23" s="4">
        <v>80367</v>
      </c>
      <c r="Q23" s="4">
        <v>0</v>
      </c>
      <c r="R23" s="4">
        <v>149299</v>
      </c>
      <c r="S23" s="4">
        <v>0</v>
      </c>
      <c r="T23" s="4">
        <v>0</v>
      </c>
      <c r="U23" s="4">
        <v>229530</v>
      </c>
      <c r="V23" s="4">
        <v>0</v>
      </c>
      <c r="W23" s="4">
        <v>157320</v>
      </c>
      <c r="X23" s="4">
        <v>149551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</row>
    <row r="24" spans="1:31">
      <c r="A24" s="2" t="s">
        <v>75</v>
      </c>
      <c r="B24" s="3" t="s">
        <v>76</v>
      </c>
      <c r="C24" s="4">
        <v>11921411</v>
      </c>
      <c r="D24" s="4">
        <v>5038</v>
      </c>
      <c r="E24" s="4">
        <v>0</v>
      </c>
      <c r="F24" s="4">
        <v>36417</v>
      </c>
      <c r="G24" s="4">
        <v>616863</v>
      </c>
      <c r="H24" s="4">
        <v>0</v>
      </c>
      <c r="I24" s="4">
        <v>0</v>
      </c>
      <c r="J24" s="4">
        <v>0</v>
      </c>
      <c r="K24" s="4">
        <v>6266</v>
      </c>
      <c r="L24" s="4">
        <v>0</v>
      </c>
      <c r="M24" s="4">
        <v>0</v>
      </c>
      <c r="N24" s="4">
        <v>3553556</v>
      </c>
      <c r="O24" s="4">
        <v>0</v>
      </c>
      <c r="P24" s="4">
        <v>43540</v>
      </c>
      <c r="Q24" s="4">
        <v>106784</v>
      </c>
      <c r="R24" s="4">
        <v>69373</v>
      </c>
      <c r="S24" s="4">
        <v>0</v>
      </c>
      <c r="T24" s="4">
        <v>0</v>
      </c>
      <c r="U24" s="4">
        <v>2620569</v>
      </c>
      <c r="V24" s="4">
        <v>0</v>
      </c>
      <c r="W24" s="4">
        <v>2414125</v>
      </c>
      <c r="X24" s="4">
        <v>2448880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</row>
    <row r="25" spans="1:31">
      <c r="A25" s="2" t="s">
        <v>77</v>
      </c>
      <c r="B25" s="3" t="s">
        <v>78</v>
      </c>
      <c r="C25" s="4">
        <v>11249952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11249952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</row>
    <row r="26" spans="1:31">
      <c r="A26" s="2" t="s">
        <v>79</v>
      </c>
      <c r="B26" s="3" t="s">
        <v>80</v>
      </c>
      <c r="C26" s="4">
        <v>1011545</v>
      </c>
      <c r="D26" s="4">
        <v>0</v>
      </c>
      <c r="E26" s="4">
        <v>0</v>
      </c>
      <c r="F26" s="4">
        <v>0</v>
      </c>
      <c r="G26" s="4">
        <v>8000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8008</v>
      </c>
      <c r="P26" s="4">
        <v>746527</v>
      </c>
      <c r="Q26" s="4">
        <v>9000</v>
      </c>
      <c r="R26" s="4">
        <v>0</v>
      </c>
      <c r="S26" s="4">
        <v>0</v>
      </c>
      <c r="T26" s="4">
        <v>0</v>
      </c>
      <c r="U26" s="4">
        <v>78993</v>
      </c>
      <c r="V26" s="4">
        <v>0</v>
      </c>
      <c r="W26" s="4">
        <v>0</v>
      </c>
      <c r="X26" s="4">
        <v>161017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</row>
    <row r="27" spans="1:31">
      <c r="A27" s="2" t="s">
        <v>81</v>
      </c>
      <c r="B27" s="3" t="s">
        <v>82</v>
      </c>
      <c r="C27" s="4">
        <v>2050590</v>
      </c>
      <c r="D27" s="4">
        <v>1516241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3465</v>
      </c>
      <c r="Q27" s="4">
        <v>516366</v>
      </c>
      <c r="R27" s="4">
        <v>0</v>
      </c>
      <c r="S27" s="4">
        <v>0</v>
      </c>
      <c r="T27" s="4">
        <v>0</v>
      </c>
      <c r="U27" s="4">
        <v>14518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</row>
    <row r="28" spans="1:31">
      <c r="A28" s="2" t="s">
        <v>83</v>
      </c>
      <c r="B28" s="3" t="s">
        <v>84</v>
      </c>
      <c r="C28" s="4">
        <v>1071205</v>
      </c>
      <c r="D28" s="4">
        <v>1071205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</row>
    <row r="29" spans="1:31" ht="25.5">
      <c r="A29" s="2" t="s">
        <v>85</v>
      </c>
      <c r="B29" s="3" t="s">
        <v>86</v>
      </c>
      <c r="C29" s="4">
        <v>4511000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4511000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</row>
    <row r="30" spans="1:31">
      <c r="A30" s="2" t="s">
        <v>87</v>
      </c>
      <c r="B30" s="3" t="s">
        <v>88</v>
      </c>
      <c r="C30" s="4">
        <v>11448848</v>
      </c>
      <c r="D30" s="4">
        <v>3346706</v>
      </c>
      <c r="E30" s="4">
        <v>0</v>
      </c>
      <c r="F30" s="4">
        <v>17824</v>
      </c>
      <c r="G30" s="4">
        <v>411861</v>
      </c>
      <c r="H30" s="4">
        <v>1880750</v>
      </c>
      <c r="I30" s="4">
        <v>0</v>
      </c>
      <c r="J30" s="4">
        <v>0</v>
      </c>
      <c r="K30" s="4">
        <v>6765</v>
      </c>
      <c r="L30" s="4">
        <v>175756</v>
      </c>
      <c r="M30" s="4">
        <v>1300000</v>
      </c>
      <c r="N30" s="4">
        <v>0</v>
      </c>
      <c r="O30" s="4">
        <v>0</v>
      </c>
      <c r="P30" s="4">
        <v>2482316</v>
      </c>
      <c r="Q30" s="4">
        <v>51245</v>
      </c>
      <c r="R30" s="4">
        <v>177638</v>
      </c>
      <c r="S30" s="4">
        <v>78972</v>
      </c>
      <c r="T30" s="4">
        <v>0</v>
      </c>
      <c r="U30" s="4">
        <v>452254</v>
      </c>
      <c r="V30" s="4">
        <v>25935</v>
      </c>
      <c r="W30" s="4">
        <v>810639</v>
      </c>
      <c r="X30" s="4">
        <v>228487</v>
      </c>
      <c r="Y30" s="4">
        <v>1700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</row>
    <row r="31" spans="1:31">
      <c r="A31" s="2" t="s">
        <v>89</v>
      </c>
      <c r="B31" s="3" t="s">
        <v>90</v>
      </c>
      <c r="C31" s="4">
        <v>857363</v>
      </c>
      <c r="D31" s="4">
        <v>65133</v>
      </c>
      <c r="E31" s="4">
        <v>0</v>
      </c>
      <c r="F31" s="4">
        <v>5638</v>
      </c>
      <c r="G31" s="4">
        <v>228903</v>
      </c>
      <c r="H31" s="4">
        <v>0</v>
      </c>
      <c r="I31" s="4">
        <v>0</v>
      </c>
      <c r="J31" s="4">
        <v>0</v>
      </c>
      <c r="K31" s="4">
        <v>6765</v>
      </c>
      <c r="L31" s="4">
        <v>0</v>
      </c>
      <c r="M31" s="4">
        <v>0</v>
      </c>
      <c r="N31" s="4">
        <v>0</v>
      </c>
      <c r="O31" s="4">
        <v>0</v>
      </c>
      <c r="P31" s="4">
        <v>250367</v>
      </c>
      <c r="Q31" s="4">
        <v>0</v>
      </c>
      <c r="R31" s="4">
        <v>22040</v>
      </c>
      <c r="S31" s="4">
        <v>0</v>
      </c>
      <c r="T31" s="4">
        <v>0</v>
      </c>
      <c r="U31" s="4">
        <v>38338</v>
      </c>
      <c r="V31" s="4">
        <v>25935</v>
      </c>
      <c r="W31" s="4">
        <v>214244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</row>
    <row r="32" spans="1:31" ht="25.5">
      <c r="A32" s="2" t="s">
        <v>91</v>
      </c>
      <c r="B32" s="3" t="s">
        <v>92</v>
      </c>
      <c r="C32" s="4">
        <v>42193346</v>
      </c>
      <c r="D32" s="4">
        <v>4867985</v>
      </c>
      <c r="E32" s="4">
        <v>0</v>
      </c>
      <c r="F32" s="4">
        <v>54241</v>
      </c>
      <c r="G32" s="4">
        <v>1036724</v>
      </c>
      <c r="H32" s="4">
        <v>1880750</v>
      </c>
      <c r="I32" s="4">
        <v>0</v>
      </c>
      <c r="J32" s="4">
        <v>0</v>
      </c>
      <c r="K32" s="4">
        <v>13031</v>
      </c>
      <c r="L32" s="4">
        <v>175756</v>
      </c>
      <c r="M32" s="4">
        <v>1300000</v>
      </c>
      <c r="N32" s="4">
        <v>3553556</v>
      </c>
      <c r="O32" s="4">
        <v>8008</v>
      </c>
      <c r="P32" s="4">
        <v>3275848</v>
      </c>
      <c r="Q32" s="4">
        <v>683395</v>
      </c>
      <c r="R32" s="4">
        <v>247011</v>
      </c>
      <c r="S32" s="4">
        <v>78972</v>
      </c>
      <c r="T32" s="4">
        <v>0</v>
      </c>
      <c r="U32" s="4">
        <v>3166334</v>
      </c>
      <c r="V32" s="4">
        <v>25935</v>
      </c>
      <c r="W32" s="4">
        <v>3224764</v>
      </c>
      <c r="X32" s="4">
        <v>2838384</v>
      </c>
      <c r="Y32" s="4">
        <v>11251652</v>
      </c>
      <c r="Z32" s="4">
        <v>4511000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</row>
    <row r="33" spans="1:31">
      <c r="A33" s="2" t="s">
        <v>93</v>
      </c>
      <c r="B33" s="3" t="s">
        <v>94</v>
      </c>
      <c r="C33" s="4">
        <v>665071</v>
      </c>
      <c r="D33" s="4">
        <v>665071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</row>
    <row r="34" spans="1:31" ht="25.5">
      <c r="A34" s="2" t="s">
        <v>95</v>
      </c>
      <c r="B34" s="3" t="s">
        <v>96</v>
      </c>
      <c r="C34" s="4">
        <v>665071</v>
      </c>
      <c r="D34" s="4">
        <v>665071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</row>
    <row r="35" spans="1:31" ht="25.5">
      <c r="A35" s="2" t="s">
        <v>97</v>
      </c>
      <c r="B35" s="3" t="s">
        <v>98</v>
      </c>
      <c r="C35" s="4">
        <v>13780719</v>
      </c>
      <c r="D35" s="4">
        <v>1665196</v>
      </c>
      <c r="E35" s="4">
        <v>0</v>
      </c>
      <c r="F35" s="4">
        <v>30546</v>
      </c>
      <c r="G35" s="4">
        <v>437778</v>
      </c>
      <c r="H35" s="4">
        <v>463365</v>
      </c>
      <c r="I35" s="4">
        <v>0</v>
      </c>
      <c r="J35" s="4">
        <v>0</v>
      </c>
      <c r="K35" s="4">
        <v>37038</v>
      </c>
      <c r="L35" s="4">
        <v>852006</v>
      </c>
      <c r="M35" s="4">
        <v>578201</v>
      </c>
      <c r="N35" s="4">
        <v>890986</v>
      </c>
      <c r="O35" s="4">
        <v>263977</v>
      </c>
      <c r="P35" s="4">
        <v>1662778</v>
      </c>
      <c r="Q35" s="4">
        <v>177469</v>
      </c>
      <c r="R35" s="4">
        <v>178639</v>
      </c>
      <c r="S35" s="4">
        <v>106544</v>
      </c>
      <c r="T35" s="4">
        <v>833</v>
      </c>
      <c r="U35" s="4">
        <v>1176086</v>
      </c>
      <c r="V35" s="4">
        <v>0</v>
      </c>
      <c r="W35" s="4">
        <v>990592</v>
      </c>
      <c r="X35" s="4">
        <v>944367</v>
      </c>
      <c r="Y35" s="4">
        <v>3324318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</row>
    <row r="36" spans="1:31">
      <c r="A36" s="2" t="s">
        <v>99</v>
      </c>
      <c r="B36" s="3" t="s">
        <v>100</v>
      </c>
      <c r="C36" s="4">
        <v>1056642</v>
      </c>
      <c r="D36" s="4">
        <v>719862</v>
      </c>
      <c r="E36" s="4">
        <v>0</v>
      </c>
      <c r="F36" s="4">
        <v>0</v>
      </c>
      <c r="G36" s="4">
        <v>16433</v>
      </c>
      <c r="H36" s="4">
        <v>170257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80071</v>
      </c>
      <c r="Q36" s="4">
        <v>0</v>
      </c>
      <c r="R36" s="4">
        <v>4701</v>
      </c>
      <c r="S36" s="4">
        <v>0</v>
      </c>
      <c r="T36" s="4">
        <v>0</v>
      </c>
      <c r="U36" s="4">
        <v>57468</v>
      </c>
      <c r="V36" s="4">
        <v>0</v>
      </c>
      <c r="W36" s="4">
        <v>0</v>
      </c>
      <c r="X36" s="4">
        <v>7850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</row>
    <row r="37" spans="1:31" ht="25.5">
      <c r="A37" s="2" t="s">
        <v>101</v>
      </c>
      <c r="B37" s="3" t="s">
        <v>102</v>
      </c>
      <c r="C37" s="4">
        <v>14837361</v>
      </c>
      <c r="D37" s="4">
        <v>2385058</v>
      </c>
      <c r="E37" s="4">
        <v>0</v>
      </c>
      <c r="F37" s="4">
        <v>30546</v>
      </c>
      <c r="G37" s="4">
        <v>454211</v>
      </c>
      <c r="H37" s="4">
        <v>633622</v>
      </c>
      <c r="I37" s="4">
        <v>0</v>
      </c>
      <c r="J37" s="4">
        <v>0</v>
      </c>
      <c r="K37" s="4">
        <v>37038</v>
      </c>
      <c r="L37" s="4">
        <v>852006</v>
      </c>
      <c r="M37" s="4">
        <v>578201</v>
      </c>
      <c r="N37" s="4">
        <v>890986</v>
      </c>
      <c r="O37" s="4">
        <v>263977</v>
      </c>
      <c r="P37" s="4">
        <v>1742849</v>
      </c>
      <c r="Q37" s="4">
        <v>177469</v>
      </c>
      <c r="R37" s="4">
        <v>183340</v>
      </c>
      <c r="S37" s="4">
        <v>106544</v>
      </c>
      <c r="T37" s="4">
        <v>833</v>
      </c>
      <c r="U37" s="4">
        <v>1233554</v>
      </c>
      <c r="V37" s="4">
        <v>0</v>
      </c>
      <c r="W37" s="4">
        <v>990592</v>
      </c>
      <c r="X37" s="4">
        <v>952217</v>
      </c>
      <c r="Y37" s="4">
        <v>3324318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</row>
    <row r="38" spans="1:31">
      <c r="A38" s="5" t="s">
        <v>103</v>
      </c>
      <c r="B38" s="6" t="s">
        <v>104</v>
      </c>
      <c r="C38" s="7">
        <v>75716724</v>
      </c>
      <c r="D38" s="7">
        <v>11154045</v>
      </c>
      <c r="E38" s="7">
        <v>0</v>
      </c>
      <c r="F38" s="7">
        <v>160452</v>
      </c>
      <c r="G38" s="7">
        <v>2369928</v>
      </c>
      <c r="H38" s="7">
        <v>2528726</v>
      </c>
      <c r="I38" s="7">
        <v>0</v>
      </c>
      <c r="J38" s="7">
        <v>0</v>
      </c>
      <c r="K38" s="7">
        <v>181520</v>
      </c>
      <c r="L38" s="7">
        <v>4183344</v>
      </c>
      <c r="M38" s="7">
        <v>2719685</v>
      </c>
      <c r="N38" s="7">
        <v>4444542</v>
      </c>
      <c r="O38" s="7">
        <v>1241673</v>
      </c>
      <c r="P38" s="7">
        <v>8853055</v>
      </c>
      <c r="Q38" s="7">
        <v>861411</v>
      </c>
      <c r="R38" s="7">
        <v>1163977</v>
      </c>
      <c r="S38" s="7">
        <v>501158</v>
      </c>
      <c r="T38" s="7">
        <v>3920</v>
      </c>
      <c r="U38" s="7">
        <v>5549574</v>
      </c>
      <c r="V38" s="7">
        <v>25935</v>
      </c>
      <c r="W38" s="7">
        <v>4943699</v>
      </c>
      <c r="X38" s="7">
        <v>4516531</v>
      </c>
      <c r="Y38" s="7">
        <v>15802549</v>
      </c>
      <c r="Z38" s="7">
        <v>4511000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</row>
    <row r="39" spans="1:31">
      <c r="A39" s="2" t="s">
        <v>105</v>
      </c>
      <c r="B39" s="3" t="s">
        <v>106</v>
      </c>
      <c r="C39" s="4">
        <v>1513800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1513800</v>
      </c>
      <c r="AB39" s="4">
        <v>0</v>
      </c>
      <c r="AC39" s="4">
        <v>0</v>
      </c>
      <c r="AD39" s="4">
        <v>0</v>
      </c>
      <c r="AE39" s="4">
        <v>0</v>
      </c>
    </row>
    <row r="40" spans="1:31" ht="25.5">
      <c r="A40" s="2" t="s">
        <v>107</v>
      </c>
      <c r="B40" s="3" t="s">
        <v>108</v>
      </c>
      <c r="C40" s="4">
        <v>1513800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1513800</v>
      </c>
      <c r="AB40" s="4">
        <v>0</v>
      </c>
      <c r="AC40" s="4">
        <v>0</v>
      </c>
      <c r="AD40" s="4">
        <v>0</v>
      </c>
      <c r="AE40" s="4">
        <v>0</v>
      </c>
    </row>
    <row r="41" spans="1:31" ht="25.5">
      <c r="A41" s="2" t="s">
        <v>109</v>
      </c>
      <c r="B41" s="3" t="s">
        <v>110</v>
      </c>
      <c r="C41" s="4">
        <v>8886020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8886020</v>
      </c>
      <c r="AD41" s="4">
        <v>0</v>
      </c>
      <c r="AE41" s="4">
        <v>0</v>
      </c>
    </row>
    <row r="42" spans="1:31" ht="25.5">
      <c r="A42" s="2" t="s">
        <v>111</v>
      </c>
      <c r="B42" s="3" t="s">
        <v>112</v>
      </c>
      <c r="C42" s="4">
        <v>283162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283162</v>
      </c>
      <c r="AD42" s="4">
        <v>0</v>
      </c>
      <c r="AE42" s="4">
        <v>0</v>
      </c>
    </row>
    <row r="43" spans="1:31" ht="25.5">
      <c r="A43" s="2" t="s">
        <v>113</v>
      </c>
      <c r="B43" s="3" t="s">
        <v>114</v>
      </c>
      <c r="C43" s="4">
        <v>79900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79900</v>
      </c>
      <c r="AD43" s="4">
        <v>0</v>
      </c>
      <c r="AE43" s="4">
        <v>0</v>
      </c>
    </row>
    <row r="44" spans="1:31" ht="38.25">
      <c r="A44" s="2" t="s">
        <v>115</v>
      </c>
      <c r="B44" s="3" t="s">
        <v>116</v>
      </c>
      <c r="C44" s="4">
        <v>136097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136097</v>
      </c>
      <c r="AD44" s="4">
        <v>0</v>
      </c>
      <c r="AE44" s="4">
        <v>0</v>
      </c>
    </row>
    <row r="45" spans="1:31" ht="25.5">
      <c r="A45" s="5" t="s">
        <v>117</v>
      </c>
      <c r="B45" s="6" t="s">
        <v>118</v>
      </c>
      <c r="C45" s="7">
        <v>10399820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1513800</v>
      </c>
      <c r="AB45" s="7">
        <v>0</v>
      </c>
      <c r="AC45" s="7">
        <v>8886020</v>
      </c>
      <c r="AD45" s="7">
        <v>0</v>
      </c>
      <c r="AE45" s="7">
        <v>0</v>
      </c>
    </row>
    <row r="46" spans="1:31" ht="25.5">
      <c r="A46" s="2" t="s">
        <v>119</v>
      </c>
      <c r="B46" s="3" t="s">
        <v>120</v>
      </c>
      <c r="C46" s="4">
        <v>1935750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1935750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</row>
    <row r="47" spans="1:31" ht="25.5">
      <c r="A47" s="2" t="s">
        <v>121</v>
      </c>
      <c r="B47" s="3" t="s">
        <v>122</v>
      </c>
      <c r="C47" s="4">
        <v>3421735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1710867</v>
      </c>
      <c r="X47" s="4">
        <v>1710868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</row>
    <row r="48" spans="1:31" ht="25.5">
      <c r="A48" s="2" t="s">
        <v>123</v>
      </c>
      <c r="B48" s="3" t="s">
        <v>124</v>
      </c>
      <c r="C48" s="4">
        <v>5357485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1935750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1710867</v>
      </c>
      <c r="X48" s="4">
        <v>1710868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</row>
    <row r="49" spans="1:31" ht="25.5">
      <c r="A49" s="2" t="s">
        <v>125</v>
      </c>
      <c r="B49" s="3" t="s">
        <v>126</v>
      </c>
      <c r="C49" s="4">
        <v>695988</v>
      </c>
      <c r="D49" s="4">
        <v>695988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</row>
    <row r="50" spans="1:31" ht="25.5">
      <c r="A50" s="2" t="s">
        <v>127</v>
      </c>
      <c r="B50" s="3" t="s">
        <v>128</v>
      </c>
      <c r="C50" s="4">
        <v>695988</v>
      </c>
      <c r="D50" s="4">
        <v>695988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</row>
    <row r="51" spans="1:31" ht="25.5">
      <c r="A51" s="2" t="s">
        <v>129</v>
      </c>
      <c r="B51" s="3" t="s">
        <v>130</v>
      </c>
      <c r="C51" s="4">
        <v>524103</v>
      </c>
      <c r="D51" s="4">
        <v>380739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134700</v>
      </c>
      <c r="R51" s="4">
        <v>8664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</row>
    <row r="52" spans="1:31">
      <c r="A52" s="2" t="s">
        <v>131</v>
      </c>
      <c r="B52" s="3" t="s">
        <v>132</v>
      </c>
      <c r="C52" s="4">
        <v>383784</v>
      </c>
      <c r="D52" s="4">
        <v>375120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8664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</row>
    <row r="53" spans="1:31">
      <c r="A53" s="2" t="s">
        <v>133</v>
      </c>
      <c r="B53" s="3" t="s">
        <v>134</v>
      </c>
      <c r="C53" s="4">
        <v>5619</v>
      </c>
      <c r="D53" s="4">
        <v>5619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</row>
    <row r="54" spans="1:31">
      <c r="A54" s="2" t="s">
        <v>135</v>
      </c>
      <c r="B54" s="3" t="s">
        <v>136</v>
      </c>
      <c r="C54" s="4">
        <v>134700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134700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</row>
    <row r="55" spans="1:31" ht="38.25">
      <c r="A55" s="5" t="s">
        <v>137</v>
      </c>
      <c r="B55" s="6" t="s">
        <v>138</v>
      </c>
      <c r="C55" s="7">
        <v>6577576</v>
      </c>
      <c r="D55" s="7">
        <v>1076727</v>
      </c>
      <c r="E55" s="7">
        <v>0</v>
      </c>
      <c r="F55" s="7">
        <v>0</v>
      </c>
      <c r="G55" s="7">
        <v>0</v>
      </c>
      <c r="H55" s="7">
        <v>0</v>
      </c>
      <c r="I55" s="7">
        <v>1935750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134700</v>
      </c>
      <c r="R55" s="7">
        <v>8664</v>
      </c>
      <c r="S55" s="7">
        <v>0</v>
      </c>
      <c r="T55" s="7">
        <v>0</v>
      </c>
      <c r="U55" s="7">
        <v>0</v>
      </c>
      <c r="V55" s="7">
        <v>0</v>
      </c>
      <c r="W55" s="7">
        <v>1710867</v>
      </c>
      <c r="X55" s="7">
        <v>1710868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</row>
    <row r="56" spans="1:31" ht="25.5">
      <c r="A56" s="2" t="s">
        <v>139</v>
      </c>
      <c r="B56" s="3" t="s">
        <v>140</v>
      </c>
      <c r="C56" s="4">
        <v>1385580</v>
      </c>
      <c r="D56" s="4">
        <v>0</v>
      </c>
      <c r="E56" s="4">
        <v>0</v>
      </c>
      <c r="F56" s="4">
        <v>0</v>
      </c>
      <c r="G56" s="4">
        <v>1385580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</row>
    <row r="57" spans="1:31" ht="25.5">
      <c r="A57" s="2" t="s">
        <v>141</v>
      </c>
      <c r="B57" s="3" t="s">
        <v>142</v>
      </c>
      <c r="C57" s="4">
        <v>120472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120472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</row>
    <row r="58" spans="1:31" ht="25.5">
      <c r="A58" s="2" t="s">
        <v>143</v>
      </c>
      <c r="B58" s="3" t="s">
        <v>144</v>
      </c>
      <c r="C58" s="4">
        <v>10156384</v>
      </c>
      <c r="D58" s="4">
        <v>38000</v>
      </c>
      <c r="E58" s="4">
        <v>0</v>
      </c>
      <c r="F58" s="4">
        <v>0</v>
      </c>
      <c r="G58" s="4">
        <v>85988</v>
      </c>
      <c r="H58" s="4">
        <v>0</v>
      </c>
      <c r="I58" s="4">
        <v>0</v>
      </c>
      <c r="J58" s="4">
        <v>0</v>
      </c>
      <c r="K58" s="4">
        <v>0</v>
      </c>
      <c r="L58" s="4">
        <v>787087</v>
      </c>
      <c r="M58" s="4">
        <v>0</v>
      </c>
      <c r="N58" s="4">
        <v>0</v>
      </c>
      <c r="O58" s="4">
        <v>0</v>
      </c>
      <c r="P58" s="4">
        <v>8761669</v>
      </c>
      <c r="Q58" s="4">
        <v>0</v>
      </c>
      <c r="R58" s="4">
        <v>0</v>
      </c>
      <c r="S58" s="4">
        <v>0</v>
      </c>
      <c r="T58" s="4">
        <v>0</v>
      </c>
      <c r="U58" s="4">
        <v>38000</v>
      </c>
      <c r="V58" s="4">
        <v>0</v>
      </c>
      <c r="W58" s="4">
        <v>0</v>
      </c>
      <c r="X58" s="4">
        <v>0</v>
      </c>
      <c r="Y58" s="4">
        <v>445640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</row>
    <row r="59" spans="1:31" ht="25.5">
      <c r="A59" s="2" t="s">
        <v>145</v>
      </c>
      <c r="B59" s="3" t="s">
        <v>146</v>
      </c>
      <c r="C59" s="4">
        <v>2774751</v>
      </c>
      <c r="D59" s="4">
        <v>10260</v>
      </c>
      <c r="E59" s="4">
        <v>0</v>
      </c>
      <c r="F59" s="4">
        <v>0</v>
      </c>
      <c r="G59" s="4">
        <v>23216</v>
      </c>
      <c r="H59" s="4">
        <v>0</v>
      </c>
      <c r="I59" s="4">
        <v>0</v>
      </c>
      <c r="J59" s="4">
        <v>0</v>
      </c>
      <c r="K59" s="4">
        <v>0</v>
      </c>
      <c r="L59" s="4">
        <v>212513</v>
      </c>
      <c r="M59" s="4">
        <v>0</v>
      </c>
      <c r="N59" s="4">
        <v>0</v>
      </c>
      <c r="O59" s="4">
        <v>0</v>
      </c>
      <c r="P59" s="4">
        <v>2365651</v>
      </c>
      <c r="Q59" s="4">
        <v>0</v>
      </c>
      <c r="R59" s="4">
        <v>0</v>
      </c>
      <c r="S59" s="4">
        <v>0</v>
      </c>
      <c r="T59" s="4">
        <v>0</v>
      </c>
      <c r="U59" s="4">
        <v>42788</v>
      </c>
      <c r="V59" s="4">
        <v>0</v>
      </c>
      <c r="W59" s="4">
        <v>0</v>
      </c>
      <c r="X59" s="4">
        <v>0</v>
      </c>
      <c r="Y59" s="4">
        <v>120323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</row>
    <row r="60" spans="1:31">
      <c r="A60" s="5" t="s">
        <v>147</v>
      </c>
      <c r="B60" s="6" t="s">
        <v>148</v>
      </c>
      <c r="C60" s="7">
        <v>14437187</v>
      </c>
      <c r="D60" s="7">
        <v>48260</v>
      </c>
      <c r="E60" s="7">
        <v>0</v>
      </c>
      <c r="F60" s="7">
        <v>0</v>
      </c>
      <c r="G60" s="7">
        <v>1494784</v>
      </c>
      <c r="H60" s="7">
        <v>0</v>
      </c>
      <c r="I60" s="7">
        <v>0</v>
      </c>
      <c r="J60" s="7">
        <v>0</v>
      </c>
      <c r="K60" s="7">
        <v>0</v>
      </c>
      <c r="L60" s="7">
        <v>999600</v>
      </c>
      <c r="M60" s="7">
        <v>0</v>
      </c>
      <c r="N60" s="7">
        <v>0</v>
      </c>
      <c r="O60" s="7">
        <v>0</v>
      </c>
      <c r="P60" s="7">
        <v>11127320</v>
      </c>
      <c r="Q60" s="7">
        <v>0</v>
      </c>
      <c r="R60" s="7">
        <v>0</v>
      </c>
      <c r="S60" s="7">
        <v>0</v>
      </c>
      <c r="T60" s="7">
        <v>0</v>
      </c>
      <c r="U60" s="7">
        <v>201260</v>
      </c>
      <c r="V60" s="7">
        <v>0</v>
      </c>
      <c r="W60" s="7">
        <v>0</v>
      </c>
      <c r="X60" s="7">
        <v>0</v>
      </c>
      <c r="Y60" s="7">
        <v>565963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</row>
    <row r="61" spans="1:31">
      <c r="A61" s="2" t="s">
        <v>149</v>
      </c>
      <c r="B61" s="3" t="s">
        <v>150</v>
      </c>
      <c r="C61" s="4">
        <v>44953053</v>
      </c>
      <c r="D61" s="4">
        <v>28090120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16862933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</row>
    <row r="62" spans="1:31">
      <c r="A62" s="2" t="s">
        <v>151</v>
      </c>
      <c r="B62" s="3" t="s">
        <v>152</v>
      </c>
      <c r="C62" s="4">
        <v>31000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31000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</row>
    <row r="63" spans="1:31" ht="25.5">
      <c r="A63" s="2" t="s">
        <v>153</v>
      </c>
      <c r="B63" s="3" t="s">
        <v>154</v>
      </c>
      <c r="C63" s="4">
        <v>11203882</v>
      </c>
      <c r="D63" s="4">
        <v>6642520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4552992</v>
      </c>
      <c r="N63" s="4">
        <v>0</v>
      </c>
      <c r="O63" s="4">
        <v>0</v>
      </c>
      <c r="P63" s="4">
        <v>8370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</row>
    <row r="64" spans="1:31">
      <c r="A64" s="5" t="s">
        <v>155</v>
      </c>
      <c r="B64" s="6" t="s">
        <v>156</v>
      </c>
      <c r="C64" s="7">
        <v>56187935</v>
      </c>
      <c r="D64" s="7">
        <v>34732640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21415925</v>
      </c>
      <c r="N64" s="7">
        <v>0</v>
      </c>
      <c r="O64" s="7">
        <v>0</v>
      </c>
      <c r="P64" s="7">
        <v>39370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</row>
    <row r="65" spans="1:31" ht="25.5">
      <c r="A65" s="5" t="s">
        <v>157</v>
      </c>
      <c r="B65" s="6" t="s">
        <v>158</v>
      </c>
      <c r="C65" s="7">
        <v>227909467</v>
      </c>
      <c r="D65" s="7">
        <v>61145958</v>
      </c>
      <c r="E65" s="7">
        <v>0</v>
      </c>
      <c r="F65" s="7">
        <v>160452</v>
      </c>
      <c r="G65" s="7">
        <v>3873067</v>
      </c>
      <c r="H65" s="7">
        <v>3127485</v>
      </c>
      <c r="I65" s="7">
        <v>1935750</v>
      </c>
      <c r="J65" s="7">
        <v>0</v>
      </c>
      <c r="K65" s="7">
        <v>181520</v>
      </c>
      <c r="L65" s="7">
        <v>33955616</v>
      </c>
      <c r="M65" s="7">
        <v>24135610</v>
      </c>
      <c r="N65" s="7">
        <v>4444542</v>
      </c>
      <c r="O65" s="7">
        <v>1241673</v>
      </c>
      <c r="P65" s="7">
        <v>23958930</v>
      </c>
      <c r="Q65" s="7">
        <v>996111</v>
      </c>
      <c r="R65" s="7">
        <v>6366280</v>
      </c>
      <c r="S65" s="7">
        <v>501158</v>
      </c>
      <c r="T65" s="7">
        <v>563276</v>
      </c>
      <c r="U65" s="7">
        <v>10627163</v>
      </c>
      <c r="V65" s="7">
        <v>25935</v>
      </c>
      <c r="W65" s="7">
        <v>8841901</v>
      </c>
      <c r="X65" s="7">
        <v>8390208</v>
      </c>
      <c r="Y65" s="7">
        <v>18526012</v>
      </c>
      <c r="Z65" s="7">
        <v>4511000</v>
      </c>
      <c r="AA65" s="7">
        <v>1513800</v>
      </c>
      <c r="AB65" s="7">
        <v>0</v>
      </c>
      <c r="AC65" s="7">
        <v>8886020</v>
      </c>
      <c r="AD65" s="7">
        <v>0</v>
      </c>
      <c r="AE65" s="7">
        <v>0</v>
      </c>
    </row>
    <row r="66" spans="1:31" ht="25.5">
      <c r="A66" s="2" t="s">
        <v>159</v>
      </c>
      <c r="B66" s="3" t="s">
        <v>160</v>
      </c>
      <c r="C66" s="4">
        <v>18524967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18524967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</row>
    <row r="67" spans="1:31" ht="25.5">
      <c r="A67" s="2" t="s">
        <v>161</v>
      </c>
      <c r="B67" s="3" t="s">
        <v>162</v>
      </c>
      <c r="C67" s="4">
        <v>96497818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96497818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</row>
    <row r="68" spans="1:31" ht="25.5">
      <c r="A68" s="2" t="s">
        <v>163</v>
      </c>
      <c r="B68" s="3" t="s">
        <v>164</v>
      </c>
      <c r="C68" s="4">
        <v>115022785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18524967</v>
      </c>
      <c r="J68" s="4">
        <v>96497818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</row>
    <row r="69" spans="1:31" ht="25.5">
      <c r="A69" s="5" t="s">
        <v>165</v>
      </c>
      <c r="B69" s="6" t="s">
        <v>166</v>
      </c>
      <c r="C69" s="7">
        <v>115022785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18524967</v>
      </c>
      <c r="J69" s="7">
        <v>96497818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</row>
    <row r="70" spans="1:31">
      <c r="A70" s="5" t="s">
        <v>167</v>
      </c>
      <c r="B70" s="6" t="s">
        <v>168</v>
      </c>
      <c r="C70" s="7">
        <v>342932252</v>
      </c>
      <c r="D70" s="7">
        <v>61145958</v>
      </c>
      <c r="E70" s="7">
        <v>0</v>
      </c>
      <c r="F70" s="7">
        <v>160452</v>
      </c>
      <c r="G70" s="7">
        <v>3873067</v>
      </c>
      <c r="H70" s="7">
        <v>3127485</v>
      </c>
      <c r="I70" s="7">
        <v>20460717</v>
      </c>
      <c r="J70" s="7">
        <v>96497818</v>
      </c>
      <c r="K70" s="7">
        <v>181520</v>
      </c>
      <c r="L70" s="7">
        <v>33955616</v>
      </c>
      <c r="M70" s="7">
        <v>24135610</v>
      </c>
      <c r="N70" s="7">
        <v>4444542</v>
      </c>
      <c r="O70" s="7">
        <v>1241673</v>
      </c>
      <c r="P70" s="7">
        <v>23958930</v>
      </c>
      <c r="Q70" s="7">
        <v>996111</v>
      </c>
      <c r="R70" s="7">
        <v>6366280</v>
      </c>
      <c r="S70" s="7">
        <v>501158</v>
      </c>
      <c r="T70" s="7">
        <v>563276</v>
      </c>
      <c r="U70" s="7">
        <v>10627163</v>
      </c>
      <c r="V70" s="7">
        <v>25935</v>
      </c>
      <c r="W70" s="7">
        <v>8841901</v>
      </c>
      <c r="X70" s="7">
        <v>8390208</v>
      </c>
      <c r="Y70" s="7">
        <v>18526012</v>
      </c>
      <c r="Z70" s="7">
        <v>4511000</v>
      </c>
      <c r="AA70" s="7">
        <v>1513800</v>
      </c>
      <c r="AB70" s="7">
        <v>0</v>
      </c>
      <c r="AC70" s="7">
        <v>8886020</v>
      </c>
      <c r="AD70" s="7">
        <v>0</v>
      </c>
      <c r="AE70" s="7">
        <v>0</v>
      </c>
    </row>
    <row r="71" spans="1:31" ht="25.5">
      <c r="A71" s="2" t="s">
        <v>169</v>
      </c>
      <c r="B71" s="3" t="s">
        <v>170</v>
      </c>
      <c r="C71" s="4">
        <v>9</v>
      </c>
      <c r="D71" s="4">
        <v>6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1</v>
      </c>
      <c r="S71" s="4">
        <v>0</v>
      </c>
      <c r="T71" s="4">
        <v>0</v>
      </c>
      <c r="U71" s="4">
        <v>2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</row>
    <row r="72" spans="1:31" ht="25.5">
      <c r="A72" s="2" t="s">
        <v>171</v>
      </c>
      <c r="B72" s="3" t="s">
        <v>172</v>
      </c>
      <c r="C72" s="4">
        <v>30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25</v>
      </c>
      <c r="M72" s="4">
        <v>0</v>
      </c>
      <c r="N72" s="4">
        <v>0</v>
      </c>
      <c r="O72" s="4">
        <v>0</v>
      </c>
      <c r="P72" s="4">
        <v>2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1</v>
      </c>
      <c r="X72" s="4">
        <v>1</v>
      </c>
      <c r="Y72" s="4">
        <v>1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FF0000"/>
  </sheetPr>
  <dimension ref="A1:AE56"/>
  <sheetViews>
    <sheetView topLeftCell="A28" zoomScaleNormal="100" workbookViewId="0">
      <selection activeCell="M17" sqref="M17"/>
    </sheetView>
  </sheetViews>
  <sheetFormatPr defaultRowHeight="15"/>
  <cols>
    <col min="1" max="1" width="6.33203125" customWidth="1"/>
    <col min="2" max="2" width="31.88671875" customWidth="1"/>
    <col min="3" max="31" width="25.5546875" customWidth="1"/>
    <col min="257" max="257" width="6.33203125" customWidth="1"/>
    <col min="258" max="258" width="31.88671875" customWidth="1"/>
    <col min="259" max="287" width="25.5546875" customWidth="1"/>
    <col min="513" max="513" width="6.33203125" customWidth="1"/>
    <col min="514" max="514" width="31.88671875" customWidth="1"/>
    <col min="515" max="543" width="25.5546875" customWidth="1"/>
    <col min="769" max="769" width="6.33203125" customWidth="1"/>
    <col min="770" max="770" width="31.88671875" customWidth="1"/>
    <col min="771" max="799" width="25.5546875" customWidth="1"/>
    <col min="1025" max="1025" width="6.33203125" customWidth="1"/>
    <col min="1026" max="1026" width="31.88671875" customWidth="1"/>
    <col min="1027" max="1055" width="25.5546875" customWidth="1"/>
    <col min="1281" max="1281" width="6.33203125" customWidth="1"/>
    <col min="1282" max="1282" width="31.88671875" customWidth="1"/>
    <col min="1283" max="1311" width="25.5546875" customWidth="1"/>
    <col min="1537" max="1537" width="6.33203125" customWidth="1"/>
    <col min="1538" max="1538" width="31.88671875" customWidth="1"/>
    <col min="1539" max="1567" width="25.5546875" customWidth="1"/>
    <col min="1793" max="1793" width="6.33203125" customWidth="1"/>
    <col min="1794" max="1794" width="31.88671875" customWidth="1"/>
    <col min="1795" max="1823" width="25.5546875" customWidth="1"/>
    <col min="2049" max="2049" width="6.33203125" customWidth="1"/>
    <col min="2050" max="2050" width="31.88671875" customWidth="1"/>
    <col min="2051" max="2079" width="25.5546875" customWidth="1"/>
    <col min="2305" max="2305" width="6.33203125" customWidth="1"/>
    <col min="2306" max="2306" width="31.88671875" customWidth="1"/>
    <col min="2307" max="2335" width="25.5546875" customWidth="1"/>
    <col min="2561" max="2561" width="6.33203125" customWidth="1"/>
    <col min="2562" max="2562" width="31.88671875" customWidth="1"/>
    <col min="2563" max="2591" width="25.5546875" customWidth="1"/>
    <col min="2817" max="2817" width="6.33203125" customWidth="1"/>
    <col min="2818" max="2818" width="31.88671875" customWidth="1"/>
    <col min="2819" max="2847" width="25.5546875" customWidth="1"/>
    <col min="3073" max="3073" width="6.33203125" customWidth="1"/>
    <col min="3074" max="3074" width="31.88671875" customWidth="1"/>
    <col min="3075" max="3103" width="25.5546875" customWidth="1"/>
    <col min="3329" max="3329" width="6.33203125" customWidth="1"/>
    <col min="3330" max="3330" width="31.88671875" customWidth="1"/>
    <col min="3331" max="3359" width="25.5546875" customWidth="1"/>
    <col min="3585" max="3585" width="6.33203125" customWidth="1"/>
    <col min="3586" max="3586" width="31.88671875" customWidth="1"/>
    <col min="3587" max="3615" width="25.5546875" customWidth="1"/>
    <col min="3841" max="3841" width="6.33203125" customWidth="1"/>
    <col min="3842" max="3842" width="31.88671875" customWidth="1"/>
    <col min="3843" max="3871" width="25.5546875" customWidth="1"/>
    <col min="4097" max="4097" width="6.33203125" customWidth="1"/>
    <col min="4098" max="4098" width="31.88671875" customWidth="1"/>
    <col min="4099" max="4127" width="25.5546875" customWidth="1"/>
    <col min="4353" max="4353" width="6.33203125" customWidth="1"/>
    <col min="4354" max="4354" width="31.88671875" customWidth="1"/>
    <col min="4355" max="4383" width="25.5546875" customWidth="1"/>
    <col min="4609" max="4609" width="6.33203125" customWidth="1"/>
    <col min="4610" max="4610" width="31.88671875" customWidth="1"/>
    <col min="4611" max="4639" width="25.5546875" customWidth="1"/>
    <col min="4865" max="4865" width="6.33203125" customWidth="1"/>
    <col min="4866" max="4866" width="31.88671875" customWidth="1"/>
    <col min="4867" max="4895" width="25.5546875" customWidth="1"/>
    <col min="5121" max="5121" width="6.33203125" customWidth="1"/>
    <col min="5122" max="5122" width="31.88671875" customWidth="1"/>
    <col min="5123" max="5151" width="25.5546875" customWidth="1"/>
    <col min="5377" max="5377" width="6.33203125" customWidth="1"/>
    <col min="5378" max="5378" width="31.88671875" customWidth="1"/>
    <col min="5379" max="5407" width="25.5546875" customWidth="1"/>
    <col min="5633" max="5633" width="6.33203125" customWidth="1"/>
    <col min="5634" max="5634" width="31.88671875" customWidth="1"/>
    <col min="5635" max="5663" width="25.5546875" customWidth="1"/>
    <col min="5889" max="5889" width="6.33203125" customWidth="1"/>
    <col min="5890" max="5890" width="31.88671875" customWidth="1"/>
    <col min="5891" max="5919" width="25.5546875" customWidth="1"/>
    <col min="6145" max="6145" width="6.33203125" customWidth="1"/>
    <col min="6146" max="6146" width="31.88671875" customWidth="1"/>
    <col min="6147" max="6175" width="25.5546875" customWidth="1"/>
    <col min="6401" max="6401" width="6.33203125" customWidth="1"/>
    <col min="6402" max="6402" width="31.88671875" customWidth="1"/>
    <col min="6403" max="6431" width="25.5546875" customWidth="1"/>
    <col min="6657" max="6657" width="6.33203125" customWidth="1"/>
    <col min="6658" max="6658" width="31.88671875" customWidth="1"/>
    <col min="6659" max="6687" width="25.5546875" customWidth="1"/>
    <col min="6913" max="6913" width="6.33203125" customWidth="1"/>
    <col min="6914" max="6914" width="31.88671875" customWidth="1"/>
    <col min="6915" max="6943" width="25.5546875" customWidth="1"/>
    <col min="7169" max="7169" width="6.33203125" customWidth="1"/>
    <col min="7170" max="7170" width="31.88671875" customWidth="1"/>
    <col min="7171" max="7199" width="25.5546875" customWidth="1"/>
    <col min="7425" max="7425" width="6.33203125" customWidth="1"/>
    <col min="7426" max="7426" width="31.88671875" customWidth="1"/>
    <col min="7427" max="7455" width="25.5546875" customWidth="1"/>
    <col min="7681" max="7681" width="6.33203125" customWidth="1"/>
    <col min="7682" max="7682" width="31.88671875" customWidth="1"/>
    <col min="7683" max="7711" width="25.5546875" customWidth="1"/>
    <col min="7937" max="7937" width="6.33203125" customWidth="1"/>
    <col min="7938" max="7938" width="31.88671875" customWidth="1"/>
    <col min="7939" max="7967" width="25.5546875" customWidth="1"/>
    <col min="8193" max="8193" width="6.33203125" customWidth="1"/>
    <col min="8194" max="8194" width="31.88671875" customWidth="1"/>
    <col min="8195" max="8223" width="25.5546875" customWidth="1"/>
    <col min="8449" max="8449" width="6.33203125" customWidth="1"/>
    <col min="8450" max="8450" width="31.88671875" customWidth="1"/>
    <col min="8451" max="8479" width="25.5546875" customWidth="1"/>
    <col min="8705" max="8705" width="6.33203125" customWidth="1"/>
    <col min="8706" max="8706" width="31.88671875" customWidth="1"/>
    <col min="8707" max="8735" width="25.5546875" customWidth="1"/>
    <col min="8961" max="8961" width="6.33203125" customWidth="1"/>
    <col min="8962" max="8962" width="31.88671875" customWidth="1"/>
    <col min="8963" max="8991" width="25.5546875" customWidth="1"/>
    <col min="9217" max="9217" width="6.33203125" customWidth="1"/>
    <col min="9218" max="9218" width="31.88671875" customWidth="1"/>
    <col min="9219" max="9247" width="25.5546875" customWidth="1"/>
    <col min="9473" max="9473" width="6.33203125" customWidth="1"/>
    <col min="9474" max="9474" width="31.88671875" customWidth="1"/>
    <col min="9475" max="9503" width="25.5546875" customWidth="1"/>
    <col min="9729" max="9729" width="6.33203125" customWidth="1"/>
    <col min="9730" max="9730" width="31.88671875" customWidth="1"/>
    <col min="9731" max="9759" width="25.5546875" customWidth="1"/>
    <col min="9985" max="9985" width="6.33203125" customWidth="1"/>
    <col min="9986" max="9986" width="31.88671875" customWidth="1"/>
    <col min="9987" max="10015" width="25.5546875" customWidth="1"/>
    <col min="10241" max="10241" width="6.33203125" customWidth="1"/>
    <col min="10242" max="10242" width="31.88671875" customWidth="1"/>
    <col min="10243" max="10271" width="25.5546875" customWidth="1"/>
    <col min="10497" max="10497" width="6.33203125" customWidth="1"/>
    <col min="10498" max="10498" width="31.88671875" customWidth="1"/>
    <col min="10499" max="10527" width="25.5546875" customWidth="1"/>
    <col min="10753" max="10753" width="6.33203125" customWidth="1"/>
    <col min="10754" max="10754" width="31.88671875" customWidth="1"/>
    <col min="10755" max="10783" width="25.5546875" customWidth="1"/>
    <col min="11009" max="11009" width="6.33203125" customWidth="1"/>
    <col min="11010" max="11010" width="31.88671875" customWidth="1"/>
    <col min="11011" max="11039" width="25.5546875" customWidth="1"/>
    <col min="11265" max="11265" width="6.33203125" customWidth="1"/>
    <col min="11266" max="11266" width="31.88671875" customWidth="1"/>
    <col min="11267" max="11295" width="25.5546875" customWidth="1"/>
    <col min="11521" max="11521" width="6.33203125" customWidth="1"/>
    <col min="11522" max="11522" width="31.88671875" customWidth="1"/>
    <col min="11523" max="11551" width="25.5546875" customWidth="1"/>
    <col min="11777" max="11777" width="6.33203125" customWidth="1"/>
    <col min="11778" max="11778" width="31.88671875" customWidth="1"/>
    <col min="11779" max="11807" width="25.5546875" customWidth="1"/>
    <col min="12033" max="12033" width="6.33203125" customWidth="1"/>
    <col min="12034" max="12034" width="31.88671875" customWidth="1"/>
    <col min="12035" max="12063" width="25.5546875" customWidth="1"/>
    <col min="12289" max="12289" width="6.33203125" customWidth="1"/>
    <col min="12290" max="12290" width="31.88671875" customWidth="1"/>
    <col min="12291" max="12319" width="25.5546875" customWidth="1"/>
    <col min="12545" max="12545" width="6.33203125" customWidth="1"/>
    <col min="12546" max="12546" width="31.88671875" customWidth="1"/>
    <col min="12547" max="12575" width="25.5546875" customWidth="1"/>
    <col min="12801" max="12801" width="6.33203125" customWidth="1"/>
    <col min="12802" max="12802" width="31.88671875" customWidth="1"/>
    <col min="12803" max="12831" width="25.5546875" customWidth="1"/>
    <col min="13057" max="13057" width="6.33203125" customWidth="1"/>
    <col min="13058" max="13058" width="31.88671875" customWidth="1"/>
    <col min="13059" max="13087" width="25.5546875" customWidth="1"/>
    <col min="13313" max="13313" width="6.33203125" customWidth="1"/>
    <col min="13314" max="13314" width="31.88671875" customWidth="1"/>
    <col min="13315" max="13343" width="25.5546875" customWidth="1"/>
    <col min="13569" max="13569" width="6.33203125" customWidth="1"/>
    <col min="13570" max="13570" width="31.88671875" customWidth="1"/>
    <col min="13571" max="13599" width="25.5546875" customWidth="1"/>
    <col min="13825" max="13825" width="6.33203125" customWidth="1"/>
    <col min="13826" max="13826" width="31.88671875" customWidth="1"/>
    <col min="13827" max="13855" width="25.5546875" customWidth="1"/>
    <col min="14081" max="14081" width="6.33203125" customWidth="1"/>
    <col min="14082" max="14082" width="31.88671875" customWidth="1"/>
    <col min="14083" max="14111" width="25.5546875" customWidth="1"/>
    <col min="14337" max="14337" width="6.33203125" customWidth="1"/>
    <col min="14338" max="14338" width="31.88671875" customWidth="1"/>
    <col min="14339" max="14367" width="25.5546875" customWidth="1"/>
    <col min="14593" max="14593" width="6.33203125" customWidth="1"/>
    <col min="14594" max="14594" width="31.88671875" customWidth="1"/>
    <col min="14595" max="14623" width="25.5546875" customWidth="1"/>
    <col min="14849" max="14849" width="6.33203125" customWidth="1"/>
    <col min="14850" max="14850" width="31.88671875" customWidth="1"/>
    <col min="14851" max="14879" width="25.5546875" customWidth="1"/>
    <col min="15105" max="15105" width="6.33203125" customWidth="1"/>
    <col min="15106" max="15106" width="31.88671875" customWidth="1"/>
    <col min="15107" max="15135" width="25.5546875" customWidth="1"/>
    <col min="15361" max="15361" width="6.33203125" customWidth="1"/>
    <col min="15362" max="15362" width="31.88671875" customWidth="1"/>
    <col min="15363" max="15391" width="25.5546875" customWidth="1"/>
    <col min="15617" max="15617" width="6.33203125" customWidth="1"/>
    <col min="15618" max="15618" width="31.88671875" customWidth="1"/>
    <col min="15619" max="15647" width="25.5546875" customWidth="1"/>
    <col min="15873" max="15873" width="6.33203125" customWidth="1"/>
    <col min="15874" max="15874" width="31.88671875" customWidth="1"/>
    <col min="15875" max="15903" width="25.5546875" customWidth="1"/>
    <col min="16129" max="16129" width="6.33203125" customWidth="1"/>
    <col min="16130" max="16130" width="31.88671875" customWidth="1"/>
    <col min="16131" max="16159" width="25.5546875" customWidth="1"/>
  </cols>
  <sheetData>
    <row r="1" spans="1:31" ht="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ht="25.5">
      <c r="A2" s="2" t="s">
        <v>31</v>
      </c>
      <c r="B2" s="3" t="s">
        <v>173</v>
      </c>
      <c r="C2" s="4">
        <v>73674509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73674509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4">
        <v>0</v>
      </c>
      <c r="Y2" s="4">
        <v>0</v>
      </c>
      <c r="Z2" s="4">
        <v>0</v>
      </c>
      <c r="AA2" s="4">
        <v>0</v>
      </c>
      <c r="AB2" s="4">
        <v>0</v>
      </c>
      <c r="AC2" s="4">
        <v>0</v>
      </c>
      <c r="AD2" s="4">
        <v>0</v>
      </c>
      <c r="AE2" s="4">
        <v>0</v>
      </c>
    </row>
    <row r="3" spans="1:31" ht="25.5">
      <c r="A3" s="2" t="s">
        <v>174</v>
      </c>
      <c r="B3" s="3" t="s">
        <v>175</v>
      </c>
      <c r="C3" s="4">
        <v>46209110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46209110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</row>
    <row r="4" spans="1:31" ht="38.25">
      <c r="A4" s="2" t="s">
        <v>176</v>
      </c>
      <c r="B4" s="3" t="s">
        <v>177</v>
      </c>
      <c r="C4" s="4">
        <v>43417014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43417014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</row>
    <row r="5" spans="1:31" ht="25.5">
      <c r="A5" s="2" t="s">
        <v>178</v>
      </c>
      <c r="B5" s="3" t="s">
        <v>179</v>
      </c>
      <c r="C5" s="4">
        <v>3527160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3527160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</row>
    <row r="6" spans="1:31" ht="25.5">
      <c r="A6" s="2" t="s">
        <v>180</v>
      </c>
      <c r="B6" s="3" t="s">
        <v>181</v>
      </c>
      <c r="C6" s="4">
        <v>946785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946785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</row>
    <row r="7" spans="1:31">
      <c r="A7" s="2" t="s">
        <v>182</v>
      </c>
      <c r="B7" s="3" t="s">
        <v>183</v>
      </c>
      <c r="C7" s="4">
        <v>230069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230069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</row>
    <row r="8" spans="1:31" ht="25.5">
      <c r="A8" s="2" t="s">
        <v>33</v>
      </c>
      <c r="B8" s="3" t="s">
        <v>184</v>
      </c>
      <c r="C8" s="4">
        <v>168004647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168004647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</row>
    <row r="9" spans="1:31" ht="25.5">
      <c r="A9" s="2" t="s">
        <v>67</v>
      </c>
      <c r="B9" s="3" t="s">
        <v>185</v>
      </c>
      <c r="C9" s="4">
        <v>46427496</v>
      </c>
      <c r="D9" s="4">
        <v>383758</v>
      </c>
      <c r="E9" s="4">
        <v>0</v>
      </c>
      <c r="F9" s="4">
        <v>0</v>
      </c>
      <c r="G9" s="4">
        <v>0</v>
      </c>
      <c r="H9" s="4">
        <v>0</v>
      </c>
      <c r="I9" s="4">
        <v>7223408</v>
      </c>
      <c r="J9" s="4">
        <v>0</v>
      </c>
      <c r="K9" s="4">
        <v>0</v>
      </c>
      <c r="L9" s="4">
        <v>29502923</v>
      </c>
      <c r="M9" s="4">
        <v>0</v>
      </c>
      <c r="N9" s="4">
        <v>0</v>
      </c>
      <c r="O9" s="4">
        <v>0</v>
      </c>
      <c r="P9" s="4">
        <v>0</v>
      </c>
      <c r="Q9" s="4">
        <v>142800</v>
      </c>
      <c r="R9" s="4">
        <v>7599400</v>
      </c>
      <c r="S9" s="4">
        <v>0</v>
      </c>
      <c r="T9" s="4">
        <v>0</v>
      </c>
      <c r="U9" s="4">
        <v>0</v>
      </c>
      <c r="V9" s="4">
        <v>0</v>
      </c>
      <c r="W9" s="4">
        <v>61407</v>
      </c>
      <c r="X9" s="4">
        <v>0</v>
      </c>
      <c r="Y9" s="4">
        <v>0</v>
      </c>
      <c r="Z9" s="4">
        <v>0</v>
      </c>
      <c r="AA9" s="4">
        <v>1513800</v>
      </c>
      <c r="AB9" s="4">
        <v>0</v>
      </c>
      <c r="AC9" s="4">
        <v>0</v>
      </c>
      <c r="AD9" s="4">
        <v>0</v>
      </c>
      <c r="AE9" s="4">
        <v>0</v>
      </c>
    </row>
    <row r="10" spans="1:31">
      <c r="A10" s="2" t="s">
        <v>69</v>
      </c>
      <c r="B10" s="3" t="s">
        <v>186</v>
      </c>
      <c r="C10" s="4">
        <v>293225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231818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61407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</row>
    <row r="11" spans="1:31" ht="38.25">
      <c r="A11" s="2" t="s">
        <v>73</v>
      </c>
      <c r="B11" s="3" t="s">
        <v>187</v>
      </c>
      <c r="C11" s="4">
        <v>6991590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6991590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</row>
    <row r="12" spans="1:31" ht="25.5">
      <c r="A12" s="2" t="s">
        <v>75</v>
      </c>
      <c r="B12" s="3" t="s">
        <v>188</v>
      </c>
      <c r="C12" s="4">
        <v>1513800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1513800</v>
      </c>
      <c r="AB12" s="4">
        <v>0</v>
      </c>
      <c r="AC12" s="4">
        <v>0</v>
      </c>
      <c r="AD12" s="4">
        <v>0</v>
      </c>
      <c r="AE12" s="4">
        <v>0</v>
      </c>
    </row>
    <row r="13" spans="1:31" ht="25.5">
      <c r="A13" s="2" t="s">
        <v>77</v>
      </c>
      <c r="B13" s="3" t="s">
        <v>189</v>
      </c>
      <c r="C13" s="4">
        <v>7742200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142800</v>
      </c>
      <c r="R13" s="4">
        <v>7599400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</row>
    <row r="14" spans="1:31">
      <c r="A14" s="2" t="s">
        <v>190</v>
      </c>
      <c r="B14" s="3" t="s">
        <v>191</v>
      </c>
      <c r="C14" s="4">
        <v>29884681</v>
      </c>
      <c r="D14" s="4">
        <v>381758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29502923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</row>
    <row r="15" spans="1:31" ht="25.5">
      <c r="A15" s="2" t="s">
        <v>81</v>
      </c>
      <c r="B15" s="3" t="s">
        <v>192</v>
      </c>
      <c r="C15" s="4">
        <v>2000</v>
      </c>
      <c r="D15" s="4">
        <v>2000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</row>
    <row r="16" spans="1:31" ht="38.25">
      <c r="A16" s="5" t="s">
        <v>85</v>
      </c>
      <c r="B16" s="6" t="s">
        <v>193</v>
      </c>
      <c r="C16" s="7">
        <v>214432143</v>
      </c>
      <c r="D16" s="7">
        <v>383758</v>
      </c>
      <c r="E16" s="7">
        <v>0</v>
      </c>
      <c r="F16" s="7">
        <v>0</v>
      </c>
      <c r="G16" s="7">
        <v>0</v>
      </c>
      <c r="H16" s="7">
        <v>0</v>
      </c>
      <c r="I16" s="7">
        <v>175228055</v>
      </c>
      <c r="J16" s="7">
        <v>0</v>
      </c>
      <c r="K16" s="7">
        <v>0</v>
      </c>
      <c r="L16" s="7">
        <v>29502923</v>
      </c>
      <c r="M16" s="7">
        <v>0</v>
      </c>
      <c r="N16" s="7">
        <v>0</v>
      </c>
      <c r="O16" s="7">
        <v>0</v>
      </c>
      <c r="P16" s="7">
        <v>0</v>
      </c>
      <c r="Q16" s="7">
        <v>142800</v>
      </c>
      <c r="R16" s="7">
        <v>7599400</v>
      </c>
      <c r="S16" s="7">
        <v>0</v>
      </c>
      <c r="T16" s="7">
        <v>0</v>
      </c>
      <c r="U16" s="7">
        <v>0</v>
      </c>
      <c r="V16" s="7">
        <v>0</v>
      </c>
      <c r="W16" s="7">
        <v>61407</v>
      </c>
      <c r="X16" s="7">
        <v>0</v>
      </c>
      <c r="Y16" s="7">
        <v>0</v>
      </c>
      <c r="Z16" s="7">
        <v>0</v>
      </c>
      <c r="AA16" s="7">
        <v>1513800</v>
      </c>
      <c r="AB16" s="7">
        <v>0</v>
      </c>
      <c r="AC16" s="7">
        <v>0</v>
      </c>
      <c r="AD16" s="7">
        <v>0</v>
      </c>
      <c r="AE16" s="7">
        <v>0</v>
      </c>
    </row>
    <row r="17" spans="1:31" ht="25.5">
      <c r="A17" s="2" t="s">
        <v>87</v>
      </c>
      <c r="B17" s="3" t="s">
        <v>194</v>
      </c>
      <c r="C17" s="4">
        <v>112010470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112010470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</row>
    <row r="18" spans="1:31" ht="38.25">
      <c r="A18" s="5" t="s">
        <v>195</v>
      </c>
      <c r="B18" s="6" t="s">
        <v>196</v>
      </c>
      <c r="C18" s="7">
        <v>112010470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112010470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</row>
    <row r="19" spans="1:31" ht="25.5">
      <c r="A19" s="2" t="s">
        <v>197</v>
      </c>
      <c r="B19" s="3" t="s">
        <v>198</v>
      </c>
      <c r="C19" s="4">
        <v>33913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33913</v>
      </c>
    </row>
    <row r="20" spans="1:31" ht="25.5">
      <c r="A20" s="2" t="s">
        <v>199</v>
      </c>
      <c r="B20" s="3" t="s">
        <v>200</v>
      </c>
      <c r="C20" s="4">
        <v>33913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33913</v>
      </c>
    </row>
    <row r="21" spans="1:31">
      <c r="A21" s="2" t="s">
        <v>201</v>
      </c>
      <c r="B21" s="3" t="s">
        <v>202</v>
      </c>
      <c r="C21" s="4">
        <v>33913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33913</v>
      </c>
    </row>
    <row r="22" spans="1:31">
      <c r="A22" s="2" t="s">
        <v>203</v>
      </c>
      <c r="B22" s="3" t="s">
        <v>204</v>
      </c>
      <c r="C22" s="4">
        <v>6244021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6244021</v>
      </c>
    </row>
    <row r="23" spans="1:31" ht="25.5">
      <c r="A23" s="2" t="s">
        <v>205</v>
      </c>
      <c r="B23" s="3" t="s">
        <v>206</v>
      </c>
      <c r="C23" s="4">
        <v>6244021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6244021</v>
      </c>
    </row>
    <row r="24" spans="1:31" ht="25.5">
      <c r="A24" s="2" t="s">
        <v>207</v>
      </c>
      <c r="B24" s="3" t="s">
        <v>208</v>
      </c>
      <c r="C24" s="4">
        <v>14383846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14383846</v>
      </c>
    </row>
    <row r="25" spans="1:31" ht="38.25">
      <c r="A25" s="2" t="s">
        <v>119</v>
      </c>
      <c r="B25" s="3" t="s">
        <v>209</v>
      </c>
      <c r="C25" s="4">
        <v>14383846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14383846</v>
      </c>
    </row>
    <row r="26" spans="1:31">
      <c r="A26" s="2" t="s">
        <v>210</v>
      </c>
      <c r="B26" s="3" t="s">
        <v>211</v>
      </c>
      <c r="C26" s="4">
        <v>5012523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5012523</v>
      </c>
    </row>
    <row r="27" spans="1:31" ht="25.5">
      <c r="A27" s="2" t="s">
        <v>212</v>
      </c>
      <c r="B27" s="3" t="s">
        <v>213</v>
      </c>
      <c r="C27" s="4">
        <v>5012523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5012523</v>
      </c>
    </row>
    <row r="28" spans="1:31" ht="25.5">
      <c r="A28" s="2" t="s">
        <v>214</v>
      </c>
      <c r="B28" s="3" t="s">
        <v>215</v>
      </c>
      <c r="C28" s="4">
        <v>19396369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19396369</v>
      </c>
    </row>
    <row r="29" spans="1:31" ht="25.5">
      <c r="A29" s="2" t="s">
        <v>216</v>
      </c>
      <c r="B29" s="3" t="s">
        <v>217</v>
      </c>
      <c r="C29" s="4">
        <v>1033663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1033663</v>
      </c>
    </row>
    <row r="30" spans="1:31">
      <c r="A30" s="2" t="s">
        <v>131</v>
      </c>
      <c r="B30" s="3" t="s">
        <v>218</v>
      </c>
      <c r="C30" s="4">
        <v>260591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260591</v>
      </c>
    </row>
    <row r="31" spans="1:31">
      <c r="A31" s="2" t="s">
        <v>219</v>
      </c>
      <c r="B31" s="3" t="s">
        <v>220</v>
      </c>
      <c r="C31" s="4">
        <v>6000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6000</v>
      </c>
    </row>
    <row r="32" spans="1:31" ht="25.5">
      <c r="A32" s="5" t="s">
        <v>221</v>
      </c>
      <c r="B32" s="6" t="s">
        <v>222</v>
      </c>
      <c r="C32" s="7">
        <v>26707966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26707966</v>
      </c>
    </row>
    <row r="33" spans="1:31">
      <c r="A33" s="2" t="s">
        <v>223</v>
      </c>
      <c r="B33" s="3" t="s">
        <v>224</v>
      </c>
      <c r="C33" s="4">
        <v>77078</v>
      </c>
      <c r="D33" s="4">
        <v>48804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28274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</row>
    <row r="34" spans="1:31">
      <c r="A34" s="2" t="s">
        <v>135</v>
      </c>
      <c r="B34" s="3" t="s">
        <v>225</v>
      </c>
      <c r="C34" s="4">
        <v>466175</v>
      </c>
      <c r="D34" s="4">
        <v>135266</v>
      </c>
      <c r="E34" s="4">
        <v>0</v>
      </c>
      <c r="F34" s="4">
        <v>280909</v>
      </c>
      <c r="G34" s="4">
        <v>0</v>
      </c>
      <c r="H34" s="4">
        <v>50000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</row>
    <row r="35" spans="1:31" ht="25.5">
      <c r="A35" s="2" t="s">
        <v>226</v>
      </c>
      <c r="B35" s="3" t="s">
        <v>227</v>
      </c>
      <c r="C35" s="4">
        <v>1604661</v>
      </c>
      <c r="D35" s="4">
        <v>1571832</v>
      </c>
      <c r="E35" s="4">
        <v>0</v>
      </c>
      <c r="F35" s="4">
        <v>7087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25742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</row>
    <row r="36" spans="1:31">
      <c r="A36" s="2" t="s">
        <v>228</v>
      </c>
      <c r="B36" s="3" t="s">
        <v>229</v>
      </c>
      <c r="C36" s="4">
        <v>5123223</v>
      </c>
      <c r="D36" s="4">
        <v>0</v>
      </c>
      <c r="E36" s="4">
        <v>0</v>
      </c>
      <c r="F36" s="4">
        <v>0</v>
      </c>
      <c r="G36" s="4">
        <v>4953723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169500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</row>
    <row r="37" spans="1:31">
      <c r="A37" s="2" t="s">
        <v>145</v>
      </c>
      <c r="B37" s="3" t="s">
        <v>230</v>
      </c>
      <c r="C37" s="4">
        <v>5826399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5826399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</row>
    <row r="38" spans="1:31">
      <c r="A38" s="2" t="s">
        <v>147</v>
      </c>
      <c r="B38" s="3" t="s">
        <v>231</v>
      </c>
      <c r="C38" s="4">
        <v>3593056</v>
      </c>
      <c r="D38" s="4">
        <v>408766</v>
      </c>
      <c r="E38" s="4">
        <v>0</v>
      </c>
      <c r="F38" s="4">
        <v>77759</v>
      </c>
      <c r="G38" s="4">
        <v>1505319</v>
      </c>
      <c r="H38" s="4">
        <v>13500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7636</v>
      </c>
      <c r="Q38" s="4">
        <v>0</v>
      </c>
      <c r="R38" s="4">
        <v>0</v>
      </c>
      <c r="S38" s="4">
        <v>0</v>
      </c>
      <c r="T38" s="4">
        <v>0</v>
      </c>
      <c r="U38" s="4">
        <v>6950</v>
      </c>
      <c r="V38" s="4">
        <v>0</v>
      </c>
      <c r="W38" s="4">
        <v>0</v>
      </c>
      <c r="X38" s="4">
        <v>0</v>
      </c>
      <c r="Y38" s="4">
        <v>1573126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</row>
    <row r="39" spans="1:31" ht="25.5">
      <c r="A39" s="2" t="s">
        <v>155</v>
      </c>
      <c r="B39" s="3" t="s">
        <v>232</v>
      </c>
      <c r="C39" s="4">
        <v>998657</v>
      </c>
      <c r="D39" s="4">
        <v>996227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2430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</row>
    <row r="40" spans="1:31" ht="25.5">
      <c r="A40" s="2" t="s">
        <v>233</v>
      </c>
      <c r="B40" s="3" t="s">
        <v>234</v>
      </c>
      <c r="C40" s="4">
        <v>998657</v>
      </c>
      <c r="D40" s="4">
        <v>996227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2430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</row>
    <row r="41" spans="1:31">
      <c r="A41" s="2" t="s">
        <v>235</v>
      </c>
      <c r="B41" s="3" t="s">
        <v>236</v>
      </c>
      <c r="C41" s="4">
        <v>16112</v>
      </c>
      <c r="D41" s="4">
        <v>62</v>
      </c>
      <c r="E41" s="4">
        <v>0</v>
      </c>
      <c r="F41" s="4">
        <v>0</v>
      </c>
      <c r="G41" s="4">
        <v>50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16000</v>
      </c>
      <c r="AC41" s="4">
        <v>0</v>
      </c>
      <c r="AD41" s="4">
        <v>0</v>
      </c>
      <c r="AE41" s="4">
        <v>0</v>
      </c>
    </row>
    <row r="42" spans="1:31" ht="38.25">
      <c r="A42" s="5" t="s">
        <v>237</v>
      </c>
      <c r="B42" s="6" t="s">
        <v>238</v>
      </c>
      <c r="C42" s="7">
        <v>17705361</v>
      </c>
      <c r="D42" s="7">
        <v>3160957</v>
      </c>
      <c r="E42" s="7">
        <v>0</v>
      </c>
      <c r="F42" s="7">
        <v>365755</v>
      </c>
      <c r="G42" s="7">
        <v>6459092</v>
      </c>
      <c r="H42" s="7">
        <v>63500</v>
      </c>
      <c r="I42" s="7">
        <v>0</v>
      </c>
      <c r="J42" s="7">
        <v>0</v>
      </c>
      <c r="K42" s="7">
        <v>0</v>
      </c>
      <c r="L42" s="7">
        <v>2430</v>
      </c>
      <c r="M42" s="7">
        <v>0</v>
      </c>
      <c r="N42" s="7">
        <v>0</v>
      </c>
      <c r="O42" s="7">
        <v>0</v>
      </c>
      <c r="P42" s="7">
        <v>35910</v>
      </c>
      <c r="Q42" s="7">
        <v>0</v>
      </c>
      <c r="R42" s="7">
        <v>0</v>
      </c>
      <c r="S42" s="7">
        <v>0</v>
      </c>
      <c r="T42" s="7">
        <v>0</v>
      </c>
      <c r="U42" s="7">
        <v>202192</v>
      </c>
      <c r="V42" s="7">
        <v>0</v>
      </c>
      <c r="W42" s="7">
        <v>0</v>
      </c>
      <c r="X42" s="7">
        <v>0</v>
      </c>
      <c r="Y42" s="7">
        <v>7399525</v>
      </c>
      <c r="Z42" s="7">
        <v>0</v>
      </c>
      <c r="AA42" s="7">
        <v>0</v>
      </c>
      <c r="AB42" s="7">
        <v>16000</v>
      </c>
      <c r="AC42" s="7">
        <v>0</v>
      </c>
      <c r="AD42" s="7">
        <v>0</v>
      </c>
      <c r="AE42" s="7">
        <v>0</v>
      </c>
    </row>
    <row r="43" spans="1:31">
      <c r="A43" s="2" t="s">
        <v>239</v>
      </c>
      <c r="B43" s="3" t="s">
        <v>240</v>
      </c>
      <c r="C43" s="4">
        <v>2290000</v>
      </c>
      <c r="D43" s="4">
        <v>0</v>
      </c>
      <c r="E43" s="4">
        <v>0</v>
      </c>
      <c r="F43" s="4">
        <v>0</v>
      </c>
      <c r="G43" s="4">
        <v>2290000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</row>
    <row r="44" spans="1:31" ht="25.5">
      <c r="A44" s="5" t="s">
        <v>241</v>
      </c>
      <c r="B44" s="6" t="s">
        <v>242</v>
      </c>
      <c r="C44" s="7">
        <v>2290000</v>
      </c>
      <c r="D44" s="7">
        <v>0</v>
      </c>
      <c r="E44" s="7">
        <v>0</v>
      </c>
      <c r="F44" s="7">
        <v>0</v>
      </c>
      <c r="G44" s="7">
        <v>2290000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</row>
    <row r="45" spans="1:31" ht="25.5">
      <c r="A45" s="2" t="s">
        <v>243</v>
      </c>
      <c r="B45" s="3" t="s">
        <v>244</v>
      </c>
      <c r="C45" s="4">
        <v>562042</v>
      </c>
      <c r="D45" s="4">
        <v>167042</v>
      </c>
      <c r="E45" s="4">
        <v>0</v>
      </c>
      <c r="F45" s="4">
        <v>0</v>
      </c>
      <c r="G45" s="4">
        <v>0</v>
      </c>
      <c r="H45" s="4">
        <v>395000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</row>
    <row r="46" spans="1:31">
      <c r="A46" s="2" t="s">
        <v>245</v>
      </c>
      <c r="B46" s="3" t="s">
        <v>246</v>
      </c>
      <c r="C46" s="4">
        <v>31470</v>
      </c>
      <c r="D46" s="4">
        <v>31470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</row>
    <row r="47" spans="1:31">
      <c r="A47" s="2" t="s">
        <v>247</v>
      </c>
      <c r="B47" s="3" t="s">
        <v>248</v>
      </c>
      <c r="C47" s="4">
        <v>135572</v>
      </c>
      <c r="D47" s="4">
        <v>135572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</row>
    <row r="48" spans="1:31">
      <c r="A48" s="2" t="s">
        <v>249</v>
      </c>
      <c r="B48" s="3" t="s">
        <v>250</v>
      </c>
      <c r="C48" s="4">
        <v>395000</v>
      </c>
      <c r="D48" s="4">
        <v>0</v>
      </c>
      <c r="E48" s="4">
        <v>0</v>
      </c>
      <c r="F48" s="4">
        <v>0</v>
      </c>
      <c r="G48" s="4">
        <v>0</v>
      </c>
      <c r="H48" s="4">
        <v>395000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</row>
    <row r="49" spans="1:31" ht="25.5">
      <c r="A49" s="5" t="s">
        <v>251</v>
      </c>
      <c r="B49" s="6" t="s">
        <v>252</v>
      </c>
      <c r="C49" s="7">
        <v>562042</v>
      </c>
      <c r="D49" s="7">
        <v>167042</v>
      </c>
      <c r="E49" s="7">
        <v>0</v>
      </c>
      <c r="F49" s="7">
        <v>0</v>
      </c>
      <c r="G49" s="7">
        <v>0</v>
      </c>
      <c r="H49" s="7">
        <v>395000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</row>
    <row r="50" spans="1:31" ht="25.5">
      <c r="A50" s="5" t="s">
        <v>253</v>
      </c>
      <c r="B50" s="6" t="s">
        <v>254</v>
      </c>
      <c r="C50" s="7">
        <v>373707982</v>
      </c>
      <c r="D50" s="7">
        <v>3711757</v>
      </c>
      <c r="E50" s="7">
        <v>0</v>
      </c>
      <c r="F50" s="7">
        <v>365755</v>
      </c>
      <c r="G50" s="7">
        <v>8749092</v>
      </c>
      <c r="H50" s="7">
        <v>458500</v>
      </c>
      <c r="I50" s="7">
        <v>287238525</v>
      </c>
      <c r="J50" s="7">
        <v>0</v>
      </c>
      <c r="K50" s="7">
        <v>0</v>
      </c>
      <c r="L50" s="7">
        <v>29505353</v>
      </c>
      <c r="M50" s="7">
        <v>0</v>
      </c>
      <c r="N50" s="7">
        <v>0</v>
      </c>
      <c r="O50" s="7">
        <v>0</v>
      </c>
      <c r="P50" s="7">
        <v>35910</v>
      </c>
      <c r="Q50" s="7">
        <v>142800</v>
      </c>
      <c r="R50" s="7">
        <v>7599400</v>
      </c>
      <c r="S50" s="7">
        <v>0</v>
      </c>
      <c r="T50" s="7">
        <v>0</v>
      </c>
      <c r="U50" s="7">
        <v>202192</v>
      </c>
      <c r="V50" s="7">
        <v>0</v>
      </c>
      <c r="W50" s="7">
        <v>61407</v>
      </c>
      <c r="X50" s="7">
        <v>0</v>
      </c>
      <c r="Y50" s="7">
        <v>7399525</v>
      </c>
      <c r="Z50" s="7">
        <v>0</v>
      </c>
      <c r="AA50" s="7">
        <v>1513800</v>
      </c>
      <c r="AB50" s="7">
        <v>16000</v>
      </c>
      <c r="AC50" s="7">
        <v>0</v>
      </c>
      <c r="AD50" s="7">
        <v>0</v>
      </c>
      <c r="AE50" s="7">
        <v>26707966</v>
      </c>
    </row>
    <row r="51" spans="1:31" ht="25.5">
      <c r="A51" s="2" t="s">
        <v>255</v>
      </c>
      <c r="B51" s="3" t="s">
        <v>256</v>
      </c>
      <c r="C51" s="4">
        <v>202359580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202359580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</row>
    <row r="52" spans="1:31">
      <c r="A52" s="2" t="s">
        <v>163</v>
      </c>
      <c r="B52" s="3" t="s">
        <v>257</v>
      </c>
      <c r="C52" s="4">
        <v>202359580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202359580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</row>
    <row r="53" spans="1:31" ht="25.5">
      <c r="A53" s="2" t="s">
        <v>258</v>
      </c>
      <c r="B53" s="3" t="s">
        <v>259</v>
      </c>
      <c r="C53" s="4">
        <v>18336223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18336223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</row>
    <row r="54" spans="1:31" ht="25.5">
      <c r="A54" s="2" t="s">
        <v>260</v>
      </c>
      <c r="B54" s="3" t="s">
        <v>261</v>
      </c>
      <c r="C54" s="4">
        <v>220695803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18336223</v>
      </c>
      <c r="J54" s="4">
        <v>202359580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</row>
    <row r="55" spans="1:31" ht="25.5">
      <c r="A55" s="5" t="s">
        <v>262</v>
      </c>
      <c r="B55" s="6" t="s">
        <v>263</v>
      </c>
      <c r="C55" s="7">
        <v>220695803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18336223</v>
      </c>
      <c r="J55" s="7">
        <v>202359580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</row>
    <row r="56" spans="1:31">
      <c r="A56" s="5" t="s">
        <v>264</v>
      </c>
      <c r="B56" s="6" t="s">
        <v>265</v>
      </c>
      <c r="C56" s="7">
        <v>594403785</v>
      </c>
      <c r="D56" s="7">
        <v>3711757</v>
      </c>
      <c r="E56" s="7">
        <v>0</v>
      </c>
      <c r="F56" s="7">
        <v>365755</v>
      </c>
      <c r="G56" s="7">
        <v>8749092</v>
      </c>
      <c r="H56" s="7">
        <v>458500</v>
      </c>
      <c r="I56" s="7">
        <v>305574748</v>
      </c>
      <c r="J56" s="7">
        <v>202359580</v>
      </c>
      <c r="K56" s="7">
        <v>0</v>
      </c>
      <c r="L56" s="7">
        <v>29505353</v>
      </c>
      <c r="M56" s="7">
        <v>0</v>
      </c>
      <c r="N56" s="7">
        <v>0</v>
      </c>
      <c r="O56" s="7">
        <v>0</v>
      </c>
      <c r="P56" s="7">
        <v>35910</v>
      </c>
      <c r="Q56" s="7">
        <v>142800</v>
      </c>
      <c r="R56" s="7">
        <v>7599400</v>
      </c>
      <c r="S56" s="7">
        <v>0</v>
      </c>
      <c r="T56" s="7">
        <v>0</v>
      </c>
      <c r="U56" s="7">
        <v>202192</v>
      </c>
      <c r="V56" s="7">
        <v>0</v>
      </c>
      <c r="W56" s="7">
        <v>61407</v>
      </c>
      <c r="X56" s="7">
        <v>0</v>
      </c>
      <c r="Y56" s="7">
        <v>7399525</v>
      </c>
      <c r="Z56" s="7">
        <v>0</v>
      </c>
      <c r="AA56" s="7">
        <v>1513800</v>
      </c>
      <c r="AB56" s="7">
        <v>16000</v>
      </c>
      <c r="AC56" s="7">
        <v>0</v>
      </c>
      <c r="AD56" s="7">
        <v>0</v>
      </c>
      <c r="AE56" s="7">
        <v>26707966</v>
      </c>
    </row>
  </sheetData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FF0000"/>
  </sheetPr>
  <dimension ref="A1:H38"/>
  <sheetViews>
    <sheetView topLeftCell="D1" zoomScaleNormal="100" workbookViewId="0">
      <selection activeCell="M17" sqref="M17"/>
    </sheetView>
  </sheetViews>
  <sheetFormatPr defaultRowHeight="15"/>
  <cols>
    <col min="1" max="1" width="6.33203125" customWidth="1"/>
    <col min="2" max="2" width="31.88671875" customWidth="1"/>
    <col min="3" max="8" width="25.5546875" customWidth="1"/>
    <col min="257" max="257" width="6.33203125" customWidth="1"/>
    <col min="258" max="258" width="31.88671875" customWidth="1"/>
    <col min="259" max="264" width="25.5546875" customWidth="1"/>
    <col min="513" max="513" width="6.33203125" customWidth="1"/>
    <col min="514" max="514" width="31.88671875" customWidth="1"/>
    <col min="515" max="520" width="25.5546875" customWidth="1"/>
    <col min="769" max="769" width="6.33203125" customWidth="1"/>
    <col min="770" max="770" width="31.88671875" customWidth="1"/>
    <col min="771" max="776" width="25.5546875" customWidth="1"/>
    <col min="1025" max="1025" width="6.33203125" customWidth="1"/>
    <col min="1026" max="1026" width="31.88671875" customWidth="1"/>
    <col min="1027" max="1032" width="25.5546875" customWidth="1"/>
    <col min="1281" max="1281" width="6.33203125" customWidth="1"/>
    <col min="1282" max="1282" width="31.88671875" customWidth="1"/>
    <col min="1283" max="1288" width="25.5546875" customWidth="1"/>
    <col min="1537" max="1537" width="6.33203125" customWidth="1"/>
    <col min="1538" max="1538" width="31.88671875" customWidth="1"/>
    <col min="1539" max="1544" width="25.5546875" customWidth="1"/>
    <col min="1793" max="1793" width="6.33203125" customWidth="1"/>
    <col min="1794" max="1794" width="31.88671875" customWidth="1"/>
    <col min="1795" max="1800" width="25.5546875" customWidth="1"/>
    <col min="2049" max="2049" width="6.33203125" customWidth="1"/>
    <col min="2050" max="2050" width="31.88671875" customWidth="1"/>
    <col min="2051" max="2056" width="25.5546875" customWidth="1"/>
    <col min="2305" max="2305" width="6.33203125" customWidth="1"/>
    <col min="2306" max="2306" width="31.88671875" customWidth="1"/>
    <col min="2307" max="2312" width="25.5546875" customWidth="1"/>
    <col min="2561" max="2561" width="6.33203125" customWidth="1"/>
    <col min="2562" max="2562" width="31.88671875" customWidth="1"/>
    <col min="2563" max="2568" width="25.5546875" customWidth="1"/>
    <col min="2817" max="2817" width="6.33203125" customWidth="1"/>
    <col min="2818" max="2818" width="31.88671875" customWidth="1"/>
    <col min="2819" max="2824" width="25.5546875" customWidth="1"/>
    <col min="3073" max="3073" width="6.33203125" customWidth="1"/>
    <col min="3074" max="3074" width="31.88671875" customWidth="1"/>
    <col min="3075" max="3080" width="25.5546875" customWidth="1"/>
    <col min="3329" max="3329" width="6.33203125" customWidth="1"/>
    <col min="3330" max="3330" width="31.88671875" customWidth="1"/>
    <col min="3331" max="3336" width="25.5546875" customWidth="1"/>
    <col min="3585" max="3585" width="6.33203125" customWidth="1"/>
    <col min="3586" max="3586" width="31.88671875" customWidth="1"/>
    <col min="3587" max="3592" width="25.5546875" customWidth="1"/>
    <col min="3841" max="3841" width="6.33203125" customWidth="1"/>
    <col min="3842" max="3842" width="31.88671875" customWidth="1"/>
    <col min="3843" max="3848" width="25.5546875" customWidth="1"/>
    <col min="4097" max="4097" width="6.33203125" customWidth="1"/>
    <col min="4098" max="4098" width="31.88671875" customWidth="1"/>
    <col min="4099" max="4104" width="25.5546875" customWidth="1"/>
    <col min="4353" max="4353" width="6.33203125" customWidth="1"/>
    <col min="4354" max="4354" width="31.88671875" customWidth="1"/>
    <col min="4355" max="4360" width="25.5546875" customWidth="1"/>
    <col min="4609" max="4609" width="6.33203125" customWidth="1"/>
    <col min="4610" max="4610" width="31.88671875" customWidth="1"/>
    <col min="4611" max="4616" width="25.5546875" customWidth="1"/>
    <col min="4865" max="4865" width="6.33203125" customWidth="1"/>
    <col min="4866" max="4866" width="31.88671875" customWidth="1"/>
    <col min="4867" max="4872" width="25.5546875" customWidth="1"/>
    <col min="5121" max="5121" width="6.33203125" customWidth="1"/>
    <col min="5122" max="5122" width="31.88671875" customWidth="1"/>
    <col min="5123" max="5128" width="25.5546875" customWidth="1"/>
    <col min="5377" max="5377" width="6.33203125" customWidth="1"/>
    <col min="5378" max="5378" width="31.88671875" customWidth="1"/>
    <col min="5379" max="5384" width="25.5546875" customWidth="1"/>
    <col min="5633" max="5633" width="6.33203125" customWidth="1"/>
    <col min="5634" max="5634" width="31.88671875" customWidth="1"/>
    <col min="5635" max="5640" width="25.5546875" customWidth="1"/>
    <col min="5889" max="5889" width="6.33203125" customWidth="1"/>
    <col min="5890" max="5890" width="31.88671875" customWidth="1"/>
    <col min="5891" max="5896" width="25.5546875" customWidth="1"/>
    <col min="6145" max="6145" width="6.33203125" customWidth="1"/>
    <col min="6146" max="6146" width="31.88671875" customWidth="1"/>
    <col min="6147" max="6152" width="25.5546875" customWidth="1"/>
    <col min="6401" max="6401" width="6.33203125" customWidth="1"/>
    <col min="6402" max="6402" width="31.88671875" customWidth="1"/>
    <col min="6403" max="6408" width="25.5546875" customWidth="1"/>
    <col min="6657" max="6657" width="6.33203125" customWidth="1"/>
    <col min="6658" max="6658" width="31.88671875" customWidth="1"/>
    <col min="6659" max="6664" width="25.5546875" customWidth="1"/>
    <col min="6913" max="6913" width="6.33203125" customWidth="1"/>
    <col min="6914" max="6914" width="31.88671875" customWidth="1"/>
    <col min="6915" max="6920" width="25.5546875" customWidth="1"/>
    <col min="7169" max="7169" width="6.33203125" customWidth="1"/>
    <col min="7170" max="7170" width="31.88671875" customWidth="1"/>
    <col min="7171" max="7176" width="25.5546875" customWidth="1"/>
    <col min="7425" max="7425" width="6.33203125" customWidth="1"/>
    <col min="7426" max="7426" width="31.88671875" customWidth="1"/>
    <col min="7427" max="7432" width="25.5546875" customWidth="1"/>
    <col min="7681" max="7681" width="6.33203125" customWidth="1"/>
    <col min="7682" max="7682" width="31.88671875" customWidth="1"/>
    <col min="7683" max="7688" width="25.5546875" customWidth="1"/>
    <col min="7937" max="7937" width="6.33203125" customWidth="1"/>
    <col min="7938" max="7938" width="31.88671875" customWidth="1"/>
    <col min="7939" max="7944" width="25.5546875" customWidth="1"/>
    <col min="8193" max="8193" width="6.33203125" customWidth="1"/>
    <col min="8194" max="8194" width="31.88671875" customWidth="1"/>
    <col min="8195" max="8200" width="25.5546875" customWidth="1"/>
    <col min="8449" max="8449" width="6.33203125" customWidth="1"/>
    <col min="8450" max="8450" width="31.88671875" customWidth="1"/>
    <col min="8451" max="8456" width="25.5546875" customWidth="1"/>
    <col min="8705" max="8705" width="6.33203125" customWidth="1"/>
    <col min="8706" max="8706" width="31.88671875" customWidth="1"/>
    <col min="8707" max="8712" width="25.5546875" customWidth="1"/>
    <col min="8961" max="8961" width="6.33203125" customWidth="1"/>
    <col min="8962" max="8962" width="31.88671875" customWidth="1"/>
    <col min="8963" max="8968" width="25.5546875" customWidth="1"/>
    <col min="9217" max="9217" width="6.33203125" customWidth="1"/>
    <col min="9218" max="9218" width="31.88671875" customWidth="1"/>
    <col min="9219" max="9224" width="25.5546875" customWidth="1"/>
    <col min="9473" max="9473" width="6.33203125" customWidth="1"/>
    <col min="9474" max="9474" width="31.88671875" customWidth="1"/>
    <col min="9475" max="9480" width="25.5546875" customWidth="1"/>
    <col min="9729" max="9729" width="6.33203125" customWidth="1"/>
    <col min="9730" max="9730" width="31.88671875" customWidth="1"/>
    <col min="9731" max="9736" width="25.5546875" customWidth="1"/>
    <col min="9985" max="9985" width="6.33203125" customWidth="1"/>
    <col min="9986" max="9986" width="31.88671875" customWidth="1"/>
    <col min="9987" max="9992" width="25.5546875" customWidth="1"/>
    <col min="10241" max="10241" width="6.33203125" customWidth="1"/>
    <col min="10242" max="10242" width="31.88671875" customWidth="1"/>
    <col min="10243" max="10248" width="25.5546875" customWidth="1"/>
    <col min="10497" max="10497" width="6.33203125" customWidth="1"/>
    <col min="10498" max="10498" width="31.88671875" customWidth="1"/>
    <col min="10499" max="10504" width="25.5546875" customWidth="1"/>
    <col min="10753" max="10753" width="6.33203125" customWidth="1"/>
    <col min="10754" max="10754" width="31.88671875" customWidth="1"/>
    <col min="10755" max="10760" width="25.5546875" customWidth="1"/>
    <col min="11009" max="11009" width="6.33203125" customWidth="1"/>
    <col min="11010" max="11010" width="31.88671875" customWidth="1"/>
    <col min="11011" max="11016" width="25.5546875" customWidth="1"/>
    <col min="11265" max="11265" width="6.33203125" customWidth="1"/>
    <col min="11266" max="11266" width="31.88671875" customWidth="1"/>
    <col min="11267" max="11272" width="25.5546875" customWidth="1"/>
    <col min="11521" max="11521" width="6.33203125" customWidth="1"/>
    <col min="11522" max="11522" width="31.88671875" customWidth="1"/>
    <col min="11523" max="11528" width="25.5546875" customWidth="1"/>
    <col min="11777" max="11777" width="6.33203125" customWidth="1"/>
    <col min="11778" max="11778" width="31.88671875" customWidth="1"/>
    <col min="11779" max="11784" width="25.5546875" customWidth="1"/>
    <col min="12033" max="12033" width="6.33203125" customWidth="1"/>
    <col min="12034" max="12034" width="31.88671875" customWidth="1"/>
    <col min="12035" max="12040" width="25.5546875" customWidth="1"/>
    <col min="12289" max="12289" width="6.33203125" customWidth="1"/>
    <col min="12290" max="12290" width="31.88671875" customWidth="1"/>
    <col min="12291" max="12296" width="25.5546875" customWidth="1"/>
    <col min="12545" max="12545" width="6.33203125" customWidth="1"/>
    <col min="12546" max="12546" width="31.88671875" customWidth="1"/>
    <col min="12547" max="12552" width="25.5546875" customWidth="1"/>
    <col min="12801" max="12801" width="6.33203125" customWidth="1"/>
    <col min="12802" max="12802" width="31.88671875" customWidth="1"/>
    <col min="12803" max="12808" width="25.5546875" customWidth="1"/>
    <col min="13057" max="13057" width="6.33203125" customWidth="1"/>
    <col min="13058" max="13058" width="31.88671875" customWidth="1"/>
    <col min="13059" max="13064" width="25.5546875" customWidth="1"/>
    <col min="13313" max="13313" width="6.33203125" customWidth="1"/>
    <col min="13314" max="13314" width="31.88671875" customWidth="1"/>
    <col min="13315" max="13320" width="25.5546875" customWidth="1"/>
    <col min="13569" max="13569" width="6.33203125" customWidth="1"/>
    <col min="13570" max="13570" width="31.88671875" customWidth="1"/>
    <col min="13571" max="13576" width="25.5546875" customWidth="1"/>
    <col min="13825" max="13825" width="6.33203125" customWidth="1"/>
    <col min="13826" max="13826" width="31.88671875" customWidth="1"/>
    <col min="13827" max="13832" width="25.5546875" customWidth="1"/>
    <col min="14081" max="14081" width="6.33203125" customWidth="1"/>
    <col min="14082" max="14082" width="31.88671875" customWidth="1"/>
    <col min="14083" max="14088" width="25.5546875" customWidth="1"/>
    <col min="14337" max="14337" width="6.33203125" customWidth="1"/>
    <col min="14338" max="14338" width="31.88671875" customWidth="1"/>
    <col min="14339" max="14344" width="25.5546875" customWidth="1"/>
    <col min="14593" max="14593" width="6.33203125" customWidth="1"/>
    <col min="14594" max="14594" width="31.88671875" customWidth="1"/>
    <col min="14595" max="14600" width="25.5546875" customWidth="1"/>
    <col min="14849" max="14849" width="6.33203125" customWidth="1"/>
    <col min="14850" max="14850" width="31.88671875" customWidth="1"/>
    <col min="14851" max="14856" width="25.5546875" customWidth="1"/>
    <col min="15105" max="15105" width="6.33203125" customWidth="1"/>
    <col min="15106" max="15106" width="31.88671875" customWidth="1"/>
    <col min="15107" max="15112" width="25.5546875" customWidth="1"/>
    <col min="15361" max="15361" width="6.33203125" customWidth="1"/>
    <col min="15362" max="15362" width="31.88671875" customWidth="1"/>
    <col min="15363" max="15368" width="25.5546875" customWidth="1"/>
    <col min="15617" max="15617" width="6.33203125" customWidth="1"/>
    <col min="15618" max="15618" width="31.88671875" customWidth="1"/>
    <col min="15619" max="15624" width="25.5546875" customWidth="1"/>
    <col min="15873" max="15873" width="6.33203125" customWidth="1"/>
    <col min="15874" max="15874" width="31.88671875" customWidth="1"/>
    <col min="15875" max="15880" width="25.5546875" customWidth="1"/>
    <col min="16129" max="16129" width="6.33203125" customWidth="1"/>
    <col min="16130" max="16130" width="31.88671875" customWidth="1"/>
    <col min="16131" max="16136" width="25.5546875" customWidth="1"/>
  </cols>
  <sheetData>
    <row r="1" spans="1:8">
      <c r="A1" s="148" t="s">
        <v>407</v>
      </c>
      <c r="B1" s="149"/>
      <c r="C1" s="149"/>
      <c r="D1" s="149"/>
      <c r="E1" s="149"/>
      <c r="F1" s="149"/>
      <c r="G1" s="149"/>
      <c r="H1" s="149"/>
    </row>
    <row r="2" spans="1:8" ht="30">
      <c r="A2" s="1" t="s">
        <v>0</v>
      </c>
      <c r="B2" s="1" t="s">
        <v>1</v>
      </c>
      <c r="C2" s="1" t="s">
        <v>2</v>
      </c>
      <c r="D2" s="1" t="s">
        <v>408</v>
      </c>
      <c r="E2" s="1" t="s">
        <v>9</v>
      </c>
      <c r="F2" s="1" t="s">
        <v>409</v>
      </c>
      <c r="G2" s="1" t="s">
        <v>21</v>
      </c>
      <c r="H2" s="1" t="s">
        <v>24</v>
      </c>
    </row>
    <row r="3" spans="1:8" ht="25.5">
      <c r="A3" s="2" t="s">
        <v>31</v>
      </c>
      <c r="B3" s="3" t="s">
        <v>32</v>
      </c>
      <c r="C3" s="4">
        <v>30977705</v>
      </c>
      <c r="D3" s="4">
        <v>0</v>
      </c>
      <c r="E3" s="4">
        <v>0</v>
      </c>
      <c r="F3" s="4">
        <v>29596418</v>
      </c>
      <c r="G3" s="4">
        <v>0</v>
      </c>
      <c r="H3" s="4">
        <v>1381287</v>
      </c>
    </row>
    <row r="4" spans="1:8">
      <c r="A4" s="2" t="s">
        <v>33</v>
      </c>
      <c r="B4" s="3" t="s">
        <v>34</v>
      </c>
      <c r="C4" s="4">
        <v>810900</v>
      </c>
      <c r="D4" s="4">
        <v>0</v>
      </c>
      <c r="E4" s="4">
        <v>0</v>
      </c>
      <c r="F4" s="4">
        <v>735900</v>
      </c>
      <c r="G4" s="4">
        <v>0</v>
      </c>
      <c r="H4" s="4">
        <v>75000</v>
      </c>
    </row>
    <row r="5" spans="1:8">
      <c r="A5" s="2" t="s">
        <v>35</v>
      </c>
      <c r="B5" s="3" t="s">
        <v>36</v>
      </c>
      <c r="C5" s="4">
        <v>396661</v>
      </c>
      <c r="D5" s="4">
        <v>0</v>
      </c>
      <c r="E5" s="4">
        <v>0</v>
      </c>
      <c r="F5" s="4">
        <v>396661</v>
      </c>
      <c r="G5" s="4">
        <v>0</v>
      </c>
      <c r="H5" s="4">
        <v>0</v>
      </c>
    </row>
    <row r="6" spans="1:8">
      <c r="A6" s="2" t="s">
        <v>37</v>
      </c>
      <c r="B6" s="3" t="s">
        <v>38</v>
      </c>
      <c r="C6" s="4">
        <v>151000</v>
      </c>
      <c r="D6" s="4">
        <v>0</v>
      </c>
      <c r="E6" s="4">
        <v>0</v>
      </c>
      <c r="F6" s="4">
        <v>143000</v>
      </c>
      <c r="G6" s="4">
        <v>0</v>
      </c>
      <c r="H6" s="4">
        <v>8000</v>
      </c>
    </row>
    <row r="7" spans="1:8" ht="25.5">
      <c r="A7" s="2" t="s">
        <v>39</v>
      </c>
      <c r="B7" s="3" t="s">
        <v>40</v>
      </c>
      <c r="C7" s="4">
        <v>718947</v>
      </c>
      <c r="D7" s="4">
        <v>0</v>
      </c>
      <c r="E7" s="4">
        <v>0</v>
      </c>
      <c r="F7" s="4">
        <v>718947</v>
      </c>
      <c r="G7" s="4">
        <v>0</v>
      </c>
      <c r="H7" s="4">
        <v>0</v>
      </c>
    </row>
    <row r="8" spans="1:8" ht="25.5">
      <c r="A8" s="2" t="s">
        <v>41</v>
      </c>
      <c r="B8" s="3" t="s">
        <v>42</v>
      </c>
      <c r="C8" s="4">
        <v>33055213</v>
      </c>
      <c r="D8" s="4">
        <v>0</v>
      </c>
      <c r="E8" s="4">
        <v>0</v>
      </c>
      <c r="F8" s="4">
        <v>31590926</v>
      </c>
      <c r="G8" s="4">
        <v>0</v>
      </c>
      <c r="H8" s="4">
        <v>1464287</v>
      </c>
    </row>
    <row r="9" spans="1:8">
      <c r="A9" s="2" t="s">
        <v>47</v>
      </c>
      <c r="B9" s="3" t="s">
        <v>48</v>
      </c>
      <c r="C9" s="4">
        <v>1844</v>
      </c>
      <c r="D9" s="4">
        <v>0</v>
      </c>
      <c r="E9" s="4">
        <v>0</v>
      </c>
      <c r="F9" s="4">
        <v>0</v>
      </c>
      <c r="G9" s="4">
        <v>1844</v>
      </c>
      <c r="H9" s="4">
        <v>0</v>
      </c>
    </row>
    <row r="10" spans="1:8">
      <c r="A10" s="2" t="s">
        <v>49</v>
      </c>
      <c r="B10" s="3" t="s">
        <v>50</v>
      </c>
      <c r="C10" s="4">
        <v>1844</v>
      </c>
      <c r="D10" s="4">
        <v>0</v>
      </c>
      <c r="E10" s="4">
        <v>0</v>
      </c>
      <c r="F10" s="4">
        <v>0</v>
      </c>
      <c r="G10" s="4">
        <v>1844</v>
      </c>
      <c r="H10" s="4">
        <v>0</v>
      </c>
    </row>
    <row r="11" spans="1:8">
      <c r="A11" s="5" t="s">
        <v>51</v>
      </c>
      <c r="B11" s="6" t="s">
        <v>52</v>
      </c>
      <c r="C11" s="7">
        <v>33057057</v>
      </c>
      <c r="D11" s="7">
        <v>0</v>
      </c>
      <c r="E11" s="7">
        <v>0</v>
      </c>
      <c r="F11" s="7">
        <v>31590926</v>
      </c>
      <c r="G11" s="7">
        <v>1844</v>
      </c>
      <c r="H11" s="7">
        <v>1464287</v>
      </c>
    </row>
    <row r="12" spans="1:8" ht="25.5">
      <c r="A12" s="5" t="s">
        <v>53</v>
      </c>
      <c r="B12" s="6" t="s">
        <v>54</v>
      </c>
      <c r="C12" s="7">
        <v>8958452</v>
      </c>
      <c r="D12" s="7">
        <v>0</v>
      </c>
      <c r="E12" s="7">
        <v>0</v>
      </c>
      <c r="F12" s="7">
        <v>8556842</v>
      </c>
      <c r="G12" s="7">
        <v>0</v>
      </c>
      <c r="H12" s="7">
        <v>401610</v>
      </c>
    </row>
    <row r="13" spans="1:8">
      <c r="A13" s="2" t="s">
        <v>55</v>
      </c>
      <c r="B13" s="3" t="s">
        <v>56</v>
      </c>
      <c r="C13" s="4">
        <v>8603363</v>
      </c>
      <c r="D13" s="4">
        <v>0</v>
      </c>
      <c r="E13" s="4">
        <v>0</v>
      </c>
      <c r="F13" s="4">
        <v>8228256</v>
      </c>
      <c r="G13" s="4">
        <v>0</v>
      </c>
      <c r="H13" s="4">
        <v>375107</v>
      </c>
    </row>
    <row r="14" spans="1:8">
      <c r="A14" s="2" t="s">
        <v>57</v>
      </c>
      <c r="B14" s="3" t="s">
        <v>58</v>
      </c>
      <c r="C14" s="4">
        <v>186086</v>
      </c>
      <c r="D14" s="4">
        <v>0</v>
      </c>
      <c r="E14" s="4">
        <v>0</v>
      </c>
      <c r="F14" s="4">
        <v>171544</v>
      </c>
      <c r="G14" s="4">
        <v>0</v>
      </c>
      <c r="H14" s="4">
        <v>14542</v>
      </c>
    </row>
    <row r="15" spans="1:8">
      <c r="A15" s="2" t="s">
        <v>59</v>
      </c>
      <c r="B15" s="3" t="s">
        <v>60</v>
      </c>
      <c r="C15" s="4">
        <v>7399</v>
      </c>
      <c r="D15" s="4">
        <v>0</v>
      </c>
      <c r="E15" s="4">
        <v>0</v>
      </c>
      <c r="F15" s="4">
        <v>7399</v>
      </c>
      <c r="G15" s="4">
        <v>0</v>
      </c>
      <c r="H15" s="4">
        <v>0</v>
      </c>
    </row>
    <row r="16" spans="1:8" ht="25.5">
      <c r="A16" s="2" t="s">
        <v>61</v>
      </c>
      <c r="B16" s="3" t="s">
        <v>62</v>
      </c>
      <c r="C16" s="4">
        <v>161604</v>
      </c>
      <c r="D16" s="4">
        <v>0</v>
      </c>
      <c r="E16" s="4">
        <v>0</v>
      </c>
      <c r="F16" s="4">
        <v>149643</v>
      </c>
      <c r="G16" s="4">
        <v>0</v>
      </c>
      <c r="H16" s="4">
        <v>11961</v>
      </c>
    </row>
    <row r="17" spans="1:8">
      <c r="A17" s="2" t="s">
        <v>63</v>
      </c>
      <c r="B17" s="3" t="s">
        <v>64</v>
      </c>
      <c r="C17" s="4">
        <v>109925</v>
      </c>
      <c r="D17" s="4">
        <v>0</v>
      </c>
      <c r="E17" s="4">
        <v>0</v>
      </c>
      <c r="F17" s="4">
        <v>45643</v>
      </c>
      <c r="G17" s="4">
        <v>64282</v>
      </c>
      <c r="H17" s="4">
        <v>0</v>
      </c>
    </row>
    <row r="18" spans="1:8">
      <c r="A18" s="2" t="s">
        <v>65</v>
      </c>
      <c r="B18" s="3" t="s">
        <v>66</v>
      </c>
      <c r="C18" s="4">
        <v>841193</v>
      </c>
      <c r="D18" s="4">
        <v>0</v>
      </c>
      <c r="E18" s="4">
        <v>0</v>
      </c>
      <c r="F18" s="4">
        <v>0</v>
      </c>
      <c r="G18" s="4">
        <v>808323</v>
      </c>
      <c r="H18" s="4">
        <v>32870</v>
      </c>
    </row>
    <row r="19" spans="1:8">
      <c r="A19" s="2" t="s">
        <v>67</v>
      </c>
      <c r="B19" s="3" t="s">
        <v>68</v>
      </c>
      <c r="C19" s="4">
        <v>951118</v>
      </c>
      <c r="D19" s="4">
        <v>0</v>
      </c>
      <c r="E19" s="4">
        <v>0</v>
      </c>
      <c r="F19" s="4">
        <v>45643</v>
      </c>
      <c r="G19" s="4">
        <v>872605</v>
      </c>
      <c r="H19" s="4">
        <v>32870</v>
      </c>
    </row>
    <row r="20" spans="1:8" ht="25.5">
      <c r="A20" s="2" t="s">
        <v>69</v>
      </c>
      <c r="B20" s="3" t="s">
        <v>70</v>
      </c>
      <c r="C20" s="4">
        <v>95880</v>
      </c>
      <c r="D20" s="4">
        <v>0</v>
      </c>
      <c r="E20" s="4">
        <v>0</v>
      </c>
      <c r="F20" s="4">
        <v>0</v>
      </c>
      <c r="G20" s="4">
        <v>95880</v>
      </c>
      <c r="H20" s="4">
        <v>0</v>
      </c>
    </row>
    <row r="21" spans="1:8">
      <c r="A21" s="2" t="s">
        <v>71</v>
      </c>
      <c r="B21" s="3" t="s">
        <v>72</v>
      </c>
      <c r="C21" s="4">
        <v>67841</v>
      </c>
      <c r="D21" s="4">
        <v>0</v>
      </c>
      <c r="E21" s="4">
        <v>0</v>
      </c>
      <c r="F21" s="4">
        <v>0</v>
      </c>
      <c r="G21" s="4">
        <v>67841</v>
      </c>
      <c r="H21" s="4">
        <v>0</v>
      </c>
    </row>
    <row r="22" spans="1:8">
      <c r="A22" s="2" t="s">
        <v>73</v>
      </c>
      <c r="B22" s="3" t="s">
        <v>74</v>
      </c>
      <c r="C22" s="4">
        <v>163721</v>
      </c>
      <c r="D22" s="4">
        <v>0</v>
      </c>
      <c r="E22" s="4">
        <v>0</v>
      </c>
      <c r="F22" s="4">
        <v>0</v>
      </c>
      <c r="G22" s="4">
        <v>163721</v>
      </c>
      <c r="H22" s="4">
        <v>0</v>
      </c>
    </row>
    <row r="23" spans="1:8">
      <c r="A23" s="2" t="s">
        <v>75</v>
      </c>
      <c r="B23" s="3" t="s">
        <v>76</v>
      </c>
      <c r="C23" s="4">
        <v>1721030</v>
      </c>
      <c r="D23" s="4">
        <v>0</v>
      </c>
      <c r="E23" s="4">
        <v>0</v>
      </c>
      <c r="F23" s="4">
        <v>0</v>
      </c>
      <c r="G23" s="4">
        <v>1721030</v>
      </c>
      <c r="H23" s="4">
        <v>0</v>
      </c>
    </row>
    <row r="24" spans="1:8">
      <c r="A24" s="2" t="s">
        <v>77</v>
      </c>
      <c r="B24" s="3" t="s">
        <v>78</v>
      </c>
      <c r="C24" s="4">
        <v>8258455</v>
      </c>
      <c r="D24" s="4">
        <v>0</v>
      </c>
      <c r="E24" s="4">
        <v>0</v>
      </c>
      <c r="F24" s="4">
        <v>0</v>
      </c>
      <c r="G24" s="4">
        <v>0</v>
      </c>
      <c r="H24" s="4">
        <v>8258455</v>
      </c>
    </row>
    <row r="25" spans="1:8">
      <c r="A25" s="2" t="s">
        <v>79</v>
      </c>
      <c r="B25" s="3" t="s">
        <v>80</v>
      </c>
      <c r="C25" s="4">
        <v>25640</v>
      </c>
      <c r="D25" s="4">
        <v>0</v>
      </c>
      <c r="E25" s="4">
        <v>0</v>
      </c>
      <c r="F25" s="4">
        <v>0</v>
      </c>
      <c r="G25" s="4">
        <v>25640</v>
      </c>
      <c r="H25" s="4">
        <v>0</v>
      </c>
    </row>
    <row r="26" spans="1:8">
      <c r="A26" s="2" t="s">
        <v>87</v>
      </c>
      <c r="B26" s="3" t="s">
        <v>88</v>
      </c>
      <c r="C26" s="4">
        <v>488380</v>
      </c>
      <c r="D26" s="4">
        <v>0</v>
      </c>
      <c r="E26" s="4">
        <v>0</v>
      </c>
      <c r="F26" s="4">
        <v>0</v>
      </c>
      <c r="G26" s="4">
        <v>486680</v>
      </c>
      <c r="H26" s="4">
        <v>1700</v>
      </c>
    </row>
    <row r="27" spans="1:8" ht="25.5">
      <c r="A27" s="2" t="s">
        <v>91</v>
      </c>
      <c r="B27" s="3" t="s">
        <v>92</v>
      </c>
      <c r="C27" s="4">
        <v>10493505</v>
      </c>
      <c r="D27" s="4">
        <v>0</v>
      </c>
      <c r="E27" s="4">
        <v>0</v>
      </c>
      <c r="F27" s="4">
        <v>0</v>
      </c>
      <c r="G27" s="4">
        <v>2233350</v>
      </c>
      <c r="H27" s="4">
        <v>8260155</v>
      </c>
    </row>
    <row r="28" spans="1:8" ht="25.5">
      <c r="A28" s="2" t="s">
        <v>97</v>
      </c>
      <c r="B28" s="3" t="s">
        <v>98</v>
      </c>
      <c r="C28" s="4">
        <v>3060706</v>
      </c>
      <c r="D28" s="4">
        <v>0</v>
      </c>
      <c r="E28" s="4">
        <v>0</v>
      </c>
      <c r="F28" s="4">
        <v>2282</v>
      </c>
      <c r="G28" s="4">
        <v>819765</v>
      </c>
      <c r="H28" s="4">
        <v>2238659</v>
      </c>
    </row>
    <row r="29" spans="1:8">
      <c r="A29" s="2" t="s">
        <v>99</v>
      </c>
      <c r="B29" s="3" t="s">
        <v>100</v>
      </c>
      <c r="C29" s="4">
        <v>14402</v>
      </c>
      <c r="D29" s="4">
        <v>0</v>
      </c>
      <c r="E29" s="4">
        <v>0</v>
      </c>
      <c r="F29" s="4">
        <v>0</v>
      </c>
      <c r="G29" s="4">
        <v>14390</v>
      </c>
      <c r="H29" s="4">
        <v>12</v>
      </c>
    </row>
    <row r="30" spans="1:8" ht="25.5">
      <c r="A30" s="2" t="s">
        <v>101</v>
      </c>
      <c r="B30" s="3" t="s">
        <v>102</v>
      </c>
      <c r="C30" s="4">
        <v>3075108</v>
      </c>
      <c r="D30" s="4">
        <v>0</v>
      </c>
      <c r="E30" s="4">
        <v>0</v>
      </c>
      <c r="F30" s="4">
        <v>2282</v>
      </c>
      <c r="G30" s="4">
        <v>834155</v>
      </c>
      <c r="H30" s="4">
        <v>2238671</v>
      </c>
    </row>
    <row r="31" spans="1:8">
      <c r="A31" s="5" t="s">
        <v>103</v>
      </c>
      <c r="B31" s="6" t="s">
        <v>104</v>
      </c>
      <c r="C31" s="7">
        <v>14683452</v>
      </c>
      <c r="D31" s="7">
        <v>0</v>
      </c>
      <c r="E31" s="7">
        <v>0</v>
      </c>
      <c r="F31" s="7">
        <v>47925</v>
      </c>
      <c r="G31" s="7">
        <v>4103831</v>
      </c>
      <c r="H31" s="7">
        <v>10531696</v>
      </c>
    </row>
    <row r="32" spans="1:8" ht="25.5">
      <c r="A32" s="2" t="s">
        <v>141</v>
      </c>
      <c r="B32" s="3" t="s">
        <v>142</v>
      </c>
      <c r="C32" s="4">
        <v>26000</v>
      </c>
      <c r="D32" s="4">
        <v>0</v>
      </c>
      <c r="E32" s="4">
        <v>0</v>
      </c>
      <c r="F32" s="4">
        <v>0</v>
      </c>
      <c r="G32" s="4">
        <v>26000</v>
      </c>
      <c r="H32" s="4">
        <v>0</v>
      </c>
    </row>
    <row r="33" spans="1:8" ht="25.5">
      <c r="A33" s="2" t="s">
        <v>145</v>
      </c>
      <c r="B33" s="3" t="s">
        <v>146</v>
      </c>
      <c r="C33" s="4">
        <v>7020</v>
      </c>
      <c r="D33" s="4">
        <v>0</v>
      </c>
      <c r="E33" s="4">
        <v>0</v>
      </c>
      <c r="F33" s="4">
        <v>0</v>
      </c>
      <c r="G33" s="4">
        <v>7020</v>
      </c>
      <c r="H33" s="4">
        <v>0</v>
      </c>
    </row>
    <row r="34" spans="1:8">
      <c r="A34" s="5" t="s">
        <v>147</v>
      </c>
      <c r="B34" s="6" t="s">
        <v>148</v>
      </c>
      <c r="C34" s="7">
        <v>33020</v>
      </c>
      <c r="D34" s="7">
        <v>0</v>
      </c>
      <c r="E34" s="7">
        <v>0</v>
      </c>
      <c r="F34" s="7">
        <v>0</v>
      </c>
      <c r="G34" s="7">
        <v>33020</v>
      </c>
      <c r="H34" s="7">
        <v>0</v>
      </c>
    </row>
    <row r="35" spans="1:8" ht="25.5">
      <c r="A35" s="5" t="s">
        <v>157</v>
      </c>
      <c r="B35" s="6" t="s">
        <v>158</v>
      </c>
      <c r="C35" s="7">
        <v>56731981</v>
      </c>
      <c r="D35" s="7">
        <v>0</v>
      </c>
      <c r="E35" s="7">
        <v>0</v>
      </c>
      <c r="F35" s="7">
        <v>40195693</v>
      </c>
      <c r="G35" s="7">
        <v>4138695</v>
      </c>
      <c r="H35" s="7">
        <v>12397593</v>
      </c>
    </row>
    <row r="36" spans="1:8">
      <c r="A36" s="5" t="s">
        <v>167</v>
      </c>
      <c r="B36" s="6" t="s">
        <v>168</v>
      </c>
      <c r="C36" s="7">
        <v>56731981</v>
      </c>
      <c r="D36" s="7">
        <v>0</v>
      </c>
      <c r="E36" s="7">
        <v>0</v>
      </c>
      <c r="F36" s="7">
        <v>40195693</v>
      </c>
      <c r="G36" s="7">
        <v>4138695</v>
      </c>
      <c r="H36" s="7">
        <v>12397593</v>
      </c>
    </row>
    <row r="37" spans="1:8" ht="25.5">
      <c r="A37" s="2" t="s">
        <v>169</v>
      </c>
      <c r="B37" s="3" t="s">
        <v>170</v>
      </c>
      <c r="C37" s="4">
        <v>7</v>
      </c>
      <c r="D37" s="4">
        <v>7</v>
      </c>
      <c r="E37" s="4">
        <v>0</v>
      </c>
      <c r="F37" s="4">
        <v>0</v>
      </c>
      <c r="G37" s="4">
        <v>0</v>
      </c>
      <c r="H37" s="4">
        <v>0</v>
      </c>
    </row>
    <row r="38" spans="1:8" ht="25.5">
      <c r="A38" s="2" t="s">
        <v>171</v>
      </c>
      <c r="B38" s="3" t="s">
        <v>172</v>
      </c>
      <c r="C38" s="4">
        <v>4</v>
      </c>
      <c r="D38" s="4">
        <v>4</v>
      </c>
      <c r="E38" s="4">
        <v>0</v>
      </c>
      <c r="F38" s="4">
        <v>0</v>
      </c>
      <c r="G38" s="4">
        <v>0</v>
      </c>
      <c r="H38" s="4">
        <v>0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FF0000"/>
  </sheetPr>
  <dimension ref="A1:H15"/>
  <sheetViews>
    <sheetView zoomScaleNormal="100" workbookViewId="0">
      <selection activeCell="M17" sqref="M17"/>
    </sheetView>
  </sheetViews>
  <sheetFormatPr defaultRowHeight="15"/>
  <cols>
    <col min="1" max="1" width="6.33203125" customWidth="1"/>
    <col min="2" max="2" width="31.88671875" customWidth="1"/>
    <col min="3" max="8" width="25.5546875" customWidth="1"/>
    <col min="257" max="257" width="6.33203125" customWidth="1"/>
    <col min="258" max="258" width="31.88671875" customWidth="1"/>
    <col min="259" max="264" width="25.5546875" customWidth="1"/>
    <col min="513" max="513" width="6.33203125" customWidth="1"/>
    <col min="514" max="514" width="31.88671875" customWidth="1"/>
    <col min="515" max="520" width="25.5546875" customWidth="1"/>
    <col min="769" max="769" width="6.33203125" customWidth="1"/>
    <col min="770" max="770" width="31.88671875" customWidth="1"/>
    <col min="771" max="776" width="25.5546875" customWidth="1"/>
    <col min="1025" max="1025" width="6.33203125" customWidth="1"/>
    <col min="1026" max="1026" width="31.88671875" customWidth="1"/>
    <col min="1027" max="1032" width="25.5546875" customWidth="1"/>
    <col min="1281" max="1281" width="6.33203125" customWidth="1"/>
    <col min="1282" max="1282" width="31.88671875" customWidth="1"/>
    <col min="1283" max="1288" width="25.5546875" customWidth="1"/>
    <col min="1537" max="1537" width="6.33203125" customWidth="1"/>
    <col min="1538" max="1538" width="31.88671875" customWidth="1"/>
    <col min="1539" max="1544" width="25.5546875" customWidth="1"/>
    <col min="1793" max="1793" width="6.33203125" customWidth="1"/>
    <col min="1794" max="1794" width="31.88671875" customWidth="1"/>
    <col min="1795" max="1800" width="25.5546875" customWidth="1"/>
    <col min="2049" max="2049" width="6.33203125" customWidth="1"/>
    <col min="2050" max="2050" width="31.88671875" customWidth="1"/>
    <col min="2051" max="2056" width="25.5546875" customWidth="1"/>
    <col min="2305" max="2305" width="6.33203125" customWidth="1"/>
    <col min="2306" max="2306" width="31.88671875" customWidth="1"/>
    <col min="2307" max="2312" width="25.5546875" customWidth="1"/>
    <col min="2561" max="2561" width="6.33203125" customWidth="1"/>
    <col min="2562" max="2562" width="31.88671875" customWidth="1"/>
    <col min="2563" max="2568" width="25.5546875" customWidth="1"/>
    <col min="2817" max="2817" width="6.33203125" customWidth="1"/>
    <col min="2818" max="2818" width="31.88671875" customWidth="1"/>
    <col min="2819" max="2824" width="25.5546875" customWidth="1"/>
    <col min="3073" max="3073" width="6.33203125" customWidth="1"/>
    <col min="3074" max="3074" width="31.88671875" customWidth="1"/>
    <col min="3075" max="3080" width="25.5546875" customWidth="1"/>
    <col min="3329" max="3329" width="6.33203125" customWidth="1"/>
    <col min="3330" max="3330" width="31.88671875" customWidth="1"/>
    <col min="3331" max="3336" width="25.5546875" customWidth="1"/>
    <col min="3585" max="3585" width="6.33203125" customWidth="1"/>
    <col min="3586" max="3586" width="31.88671875" customWidth="1"/>
    <col min="3587" max="3592" width="25.5546875" customWidth="1"/>
    <col min="3841" max="3841" width="6.33203125" customWidth="1"/>
    <col min="3842" max="3842" width="31.88671875" customWidth="1"/>
    <col min="3843" max="3848" width="25.5546875" customWidth="1"/>
    <col min="4097" max="4097" width="6.33203125" customWidth="1"/>
    <col min="4098" max="4098" width="31.88671875" customWidth="1"/>
    <col min="4099" max="4104" width="25.5546875" customWidth="1"/>
    <col min="4353" max="4353" width="6.33203125" customWidth="1"/>
    <col min="4354" max="4354" width="31.88671875" customWidth="1"/>
    <col min="4355" max="4360" width="25.5546875" customWidth="1"/>
    <col min="4609" max="4609" width="6.33203125" customWidth="1"/>
    <col min="4610" max="4610" width="31.88671875" customWidth="1"/>
    <col min="4611" max="4616" width="25.5546875" customWidth="1"/>
    <col min="4865" max="4865" width="6.33203125" customWidth="1"/>
    <col min="4866" max="4866" width="31.88671875" customWidth="1"/>
    <col min="4867" max="4872" width="25.5546875" customWidth="1"/>
    <col min="5121" max="5121" width="6.33203125" customWidth="1"/>
    <col min="5122" max="5122" width="31.88671875" customWidth="1"/>
    <col min="5123" max="5128" width="25.5546875" customWidth="1"/>
    <col min="5377" max="5377" width="6.33203125" customWidth="1"/>
    <col min="5378" max="5378" width="31.88671875" customWidth="1"/>
    <col min="5379" max="5384" width="25.5546875" customWidth="1"/>
    <col min="5633" max="5633" width="6.33203125" customWidth="1"/>
    <col min="5634" max="5634" width="31.88671875" customWidth="1"/>
    <col min="5635" max="5640" width="25.5546875" customWidth="1"/>
    <col min="5889" max="5889" width="6.33203125" customWidth="1"/>
    <col min="5890" max="5890" width="31.88671875" customWidth="1"/>
    <col min="5891" max="5896" width="25.5546875" customWidth="1"/>
    <col min="6145" max="6145" width="6.33203125" customWidth="1"/>
    <col min="6146" max="6146" width="31.88671875" customWidth="1"/>
    <col min="6147" max="6152" width="25.5546875" customWidth="1"/>
    <col min="6401" max="6401" width="6.33203125" customWidth="1"/>
    <col min="6402" max="6402" width="31.88671875" customWidth="1"/>
    <col min="6403" max="6408" width="25.5546875" customWidth="1"/>
    <col min="6657" max="6657" width="6.33203125" customWidth="1"/>
    <col min="6658" max="6658" width="31.88671875" customWidth="1"/>
    <col min="6659" max="6664" width="25.5546875" customWidth="1"/>
    <col min="6913" max="6913" width="6.33203125" customWidth="1"/>
    <col min="6914" max="6914" width="31.88671875" customWidth="1"/>
    <col min="6915" max="6920" width="25.5546875" customWidth="1"/>
    <col min="7169" max="7169" width="6.33203125" customWidth="1"/>
    <col min="7170" max="7170" width="31.88671875" customWidth="1"/>
    <col min="7171" max="7176" width="25.5546875" customWidth="1"/>
    <col min="7425" max="7425" width="6.33203125" customWidth="1"/>
    <col min="7426" max="7426" width="31.88671875" customWidth="1"/>
    <col min="7427" max="7432" width="25.5546875" customWidth="1"/>
    <col min="7681" max="7681" width="6.33203125" customWidth="1"/>
    <col min="7682" max="7682" width="31.88671875" customWidth="1"/>
    <col min="7683" max="7688" width="25.5546875" customWidth="1"/>
    <col min="7937" max="7937" width="6.33203125" customWidth="1"/>
    <col min="7938" max="7938" width="31.88671875" customWidth="1"/>
    <col min="7939" max="7944" width="25.5546875" customWidth="1"/>
    <col min="8193" max="8193" width="6.33203125" customWidth="1"/>
    <col min="8194" max="8194" width="31.88671875" customWidth="1"/>
    <col min="8195" max="8200" width="25.5546875" customWidth="1"/>
    <col min="8449" max="8449" width="6.33203125" customWidth="1"/>
    <col min="8450" max="8450" width="31.88671875" customWidth="1"/>
    <col min="8451" max="8456" width="25.5546875" customWidth="1"/>
    <col min="8705" max="8705" width="6.33203125" customWidth="1"/>
    <col min="8706" max="8706" width="31.88671875" customWidth="1"/>
    <col min="8707" max="8712" width="25.5546875" customWidth="1"/>
    <col min="8961" max="8961" width="6.33203125" customWidth="1"/>
    <col min="8962" max="8962" width="31.88671875" customWidth="1"/>
    <col min="8963" max="8968" width="25.5546875" customWidth="1"/>
    <col min="9217" max="9217" width="6.33203125" customWidth="1"/>
    <col min="9218" max="9218" width="31.88671875" customWidth="1"/>
    <col min="9219" max="9224" width="25.5546875" customWidth="1"/>
    <col min="9473" max="9473" width="6.33203125" customWidth="1"/>
    <col min="9474" max="9474" width="31.88671875" customWidth="1"/>
    <col min="9475" max="9480" width="25.5546875" customWidth="1"/>
    <col min="9729" max="9729" width="6.33203125" customWidth="1"/>
    <col min="9730" max="9730" width="31.88671875" customWidth="1"/>
    <col min="9731" max="9736" width="25.5546875" customWidth="1"/>
    <col min="9985" max="9985" width="6.33203125" customWidth="1"/>
    <col min="9986" max="9986" width="31.88671875" customWidth="1"/>
    <col min="9987" max="9992" width="25.5546875" customWidth="1"/>
    <col min="10241" max="10241" width="6.33203125" customWidth="1"/>
    <col min="10242" max="10242" width="31.88671875" customWidth="1"/>
    <col min="10243" max="10248" width="25.5546875" customWidth="1"/>
    <col min="10497" max="10497" width="6.33203125" customWidth="1"/>
    <col min="10498" max="10498" width="31.88671875" customWidth="1"/>
    <col min="10499" max="10504" width="25.5546875" customWidth="1"/>
    <col min="10753" max="10753" width="6.33203125" customWidth="1"/>
    <col min="10754" max="10754" width="31.88671875" customWidth="1"/>
    <col min="10755" max="10760" width="25.5546875" customWidth="1"/>
    <col min="11009" max="11009" width="6.33203125" customWidth="1"/>
    <col min="11010" max="11010" width="31.88671875" customWidth="1"/>
    <col min="11011" max="11016" width="25.5546875" customWidth="1"/>
    <col min="11265" max="11265" width="6.33203125" customWidth="1"/>
    <col min="11266" max="11266" width="31.88671875" customWidth="1"/>
    <col min="11267" max="11272" width="25.5546875" customWidth="1"/>
    <col min="11521" max="11521" width="6.33203125" customWidth="1"/>
    <col min="11522" max="11522" width="31.88671875" customWidth="1"/>
    <col min="11523" max="11528" width="25.5546875" customWidth="1"/>
    <col min="11777" max="11777" width="6.33203125" customWidth="1"/>
    <col min="11778" max="11778" width="31.88671875" customWidth="1"/>
    <col min="11779" max="11784" width="25.5546875" customWidth="1"/>
    <col min="12033" max="12033" width="6.33203125" customWidth="1"/>
    <col min="12034" max="12034" width="31.88671875" customWidth="1"/>
    <col min="12035" max="12040" width="25.5546875" customWidth="1"/>
    <col min="12289" max="12289" width="6.33203125" customWidth="1"/>
    <col min="12290" max="12290" width="31.88671875" customWidth="1"/>
    <col min="12291" max="12296" width="25.5546875" customWidth="1"/>
    <col min="12545" max="12545" width="6.33203125" customWidth="1"/>
    <col min="12546" max="12546" width="31.88671875" customWidth="1"/>
    <col min="12547" max="12552" width="25.5546875" customWidth="1"/>
    <col min="12801" max="12801" width="6.33203125" customWidth="1"/>
    <col min="12802" max="12802" width="31.88671875" customWidth="1"/>
    <col min="12803" max="12808" width="25.5546875" customWidth="1"/>
    <col min="13057" max="13057" width="6.33203125" customWidth="1"/>
    <col min="13058" max="13058" width="31.88671875" customWidth="1"/>
    <col min="13059" max="13064" width="25.5546875" customWidth="1"/>
    <col min="13313" max="13313" width="6.33203125" customWidth="1"/>
    <col min="13314" max="13314" width="31.88671875" customWidth="1"/>
    <col min="13315" max="13320" width="25.5546875" customWidth="1"/>
    <col min="13569" max="13569" width="6.33203125" customWidth="1"/>
    <col min="13570" max="13570" width="31.88671875" customWidth="1"/>
    <col min="13571" max="13576" width="25.5546875" customWidth="1"/>
    <col min="13825" max="13825" width="6.33203125" customWidth="1"/>
    <col min="13826" max="13826" width="31.88671875" customWidth="1"/>
    <col min="13827" max="13832" width="25.5546875" customWidth="1"/>
    <col min="14081" max="14081" width="6.33203125" customWidth="1"/>
    <col min="14082" max="14082" width="31.88671875" customWidth="1"/>
    <col min="14083" max="14088" width="25.5546875" customWidth="1"/>
    <col min="14337" max="14337" width="6.33203125" customWidth="1"/>
    <col min="14338" max="14338" width="31.88671875" customWidth="1"/>
    <col min="14339" max="14344" width="25.5546875" customWidth="1"/>
    <col min="14593" max="14593" width="6.33203125" customWidth="1"/>
    <col min="14594" max="14594" width="31.88671875" customWidth="1"/>
    <col min="14595" max="14600" width="25.5546875" customWidth="1"/>
    <col min="14849" max="14849" width="6.33203125" customWidth="1"/>
    <col min="14850" max="14850" width="31.88671875" customWidth="1"/>
    <col min="14851" max="14856" width="25.5546875" customWidth="1"/>
    <col min="15105" max="15105" width="6.33203125" customWidth="1"/>
    <col min="15106" max="15106" width="31.88671875" customWidth="1"/>
    <col min="15107" max="15112" width="25.5546875" customWidth="1"/>
    <col min="15361" max="15361" width="6.33203125" customWidth="1"/>
    <col min="15362" max="15362" width="31.88671875" customWidth="1"/>
    <col min="15363" max="15368" width="25.5546875" customWidth="1"/>
    <col min="15617" max="15617" width="6.33203125" customWidth="1"/>
    <col min="15618" max="15618" width="31.88671875" customWidth="1"/>
    <col min="15619" max="15624" width="25.5546875" customWidth="1"/>
    <col min="15873" max="15873" width="6.33203125" customWidth="1"/>
    <col min="15874" max="15874" width="31.88671875" customWidth="1"/>
    <col min="15875" max="15880" width="25.5546875" customWidth="1"/>
    <col min="16129" max="16129" width="6.33203125" customWidth="1"/>
    <col min="16130" max="16130" width="31.88671875" customWidth="1"/>
    <col min="16131" max="16136" width="25.5546875" customWidth="1"/>
  </cols>
  <sheetData>
    <row r="1" spans="1:8">
      <c r="A1" s="148" t="s">
        <v>410</v>
      </c>
      <c r="B1" s="149"/>
      <c r="C1" s="149"/>
      <c r="D1" s="149"/>
      <c r="E1" s="149"/>
      <c r="F1" s="149"/>
      <c r="G1" s="149"/>
      <c r="H1" s="149"/>
    </row>
    <row r="2" spans="1:8" ht="30">
      <c r="A2" s="1" t="s">
        <v>0</v>
      </c>
      <c r="B2" s="1" t="s">
        <v>1</v>
      </c>
      <c r="C2" s="1" t="s">
        <v>2</v>
      </c>
      <c r="D2" s="1" t="s">
        <v>408</v>
      </c>
      <c r="E2" s="1" t="s">
        <v>9</v>
      </c>
      <c r="F2" s="1" t="s">
        <v>409</v>
      </c>
      <c r="G2" s="1" t="s">
        <v>21</v>
      </c>
      <c r="H2" s="1" t="s">
        <v>24</v>
      </c>
    </row>
    <row r="3" spans="1:8">
      <c r="A3" s="2" t="s">
        <v>145</v>
      </c>
      <c r="B3" s="3" t="s">
        <v>230</v>
      </c>
      <c r="C3" s="4">
        <v>4304459</v>
      </c>
      <c r="D3" s="4">
        <v>0</v>
      </c>
      <c r="E3" s="4">
        <v>0</v>
      </c>
      <c r="F3" s="4">
        <v>0</v>
      </c>
      <c r="G3" s="4">
        <v>0</v>
      </c>
      <c r="H3" s="4">
        <v>4304459</v>
      </c>
    </row>
    <row r="4" spans="1:8">
      <c r="A4" s="2" t="s">
        <v>147</v>
      </c>
      <c r="B4" s="3" t="s">
        <v>231</v>
      </c>
      <c r="C4" s="4">
        <v>1162205</v>
      </c>
      <c r="D4" s="4">
        <v>0</v>
      </c>
      <c r="E4" s="4">
        <v>0</v>
      </c>
      <c r="F4" s="4">
        <v>0</v>
      </c>
      <c r="G4" s="4">
        <v>0</v>
      </c>
      <c r="H4" s="4">
        <v>1162205</v>
      </c>
    </row>
    <row r="5" spans="1:8" ht="25.5">
      <c r="A5" s="2" t="s">
        <v>155</v>
      </c>
      <c r="B5" s="3" t="s">
        <v>232</v>
      </c>
      <c r="C5" s="4">
        <v>6013</v>
      </c>
      <c r="D5" s="4">
        <v>0</v>
      </c>
      <c r="E5" s="4">
        <v>0</v>
      </c>
      <c r="F5" s="4">
        <v>0</v>
      </c>
      <c r="G5" s="4">
        <v>6013</v>
      </c>
      <c r="H5" s="4">
        <v>0</v>
      </c>
    </row>
    <row r="6" spans="1:8" ht="25.5">
      <c r="A6" s="2" t="s">
        <v>233</v>
      </c>
      <c r="B6" s="3" t="s">
        <v>234</v>
      </c>
      <c r="C6" s="4">
        <v>6013</v>
      </c>
      <c r="D6" s="4">
        <v>0</v>
      </c>
      <c r="E6" s="4">
        <v>0</v>
      </c>
      <c r="F6" s="4">
        <v>0</v>
      </c>
      <c r="G6" s="4">
        <v>6013</v>
      </c>
      <c r="H6" s="4">
        <v>0</v>
      </c>
    </row>
    <row r="7" spans="1:8">
      <c r="A7" s="2" t="s">
        <v>235</v>
      </c>
      <c r="B7" s="3" t="s">
        <v>236</v>
      </c>
      <c r="C7" s="4">
        <v>21</v>
      </c>
      <c r="D7" s="4">
        <v>0</v>
      </c>
      <c r="E7" s="4">
        <v>0</v>
      </c>
      <c r="F7" s="4">
        <v>0</v>
      </c>
      <c r="G7" s="4">
        <v>10</v>
      </c>
      <c r="H7" s="4">
        <v>11</v>
      </c>
    </row>
    <row r="8" spans="1:8" ht="38.25">
      <c r="A8" s="5" t="s">
        <v>237</v>
      </c>
      <c r="B8" s="6" t="s">
        <v>238</v>
      </c>
      <c r="C8" s="7">
        <v>5472698</v>
      </c>
      <c r="D8" s="7">
        <v>0</v>
      </c>
      <c r="E8" s="7">
        <v>0</v>
      </c>
      <c r="F8" s="7">
        <v>0</v>
      </c>
      <c r="G8" s="7">
        <v>6023</v>
      </c>
      <c r="H8" s="7">
        <v>5466675</v>
      </c>
    </row>
    <row r="9" spans="1:8" ht="25.5">
      <c r="A9" s="5" t="s">
        <v>253</v>
      </c>
      <c r="B9" s="6" t="s">
        <v>254</v>
      </c>
      <c r="C9" s="7">
        <v>5472698</v>
      </c>
      <c r="D9" s="7">
        <v>0</v>
      </c>
      <c r="E9" s="7">
        <v>0</v>
      </c>
      <c r="F9" s="7">
        <v>0</v>
      </c>
      <c r="G9" s="7">
        <v>6023</v>
      </c>
      <c r="H9" s="7">
        <v>5466675</v>
      </c>
    </row>
    <row r="10" spans="1:8" ht="25.5">
      <c r="A10" s="2" t="s">
        <v>255</v>
      </c>
      <c r="B10" s="3" t="s">
        <v>256</v>
      </c>
      <c r="C10" s="4">
        <v>2983328</v>
      </c>
      <c r="D10" s="4">
        <v>0</v>
      </c>
      <c r="E10" s="4">
        <v>2983328</v>
      </c>
      <c r="F10" s="4">
        <v>0</v>
      </c>
      <c r="G10" s="4">
        <v>0</v>
      </c>
      <c r="H10" s="4">
        <v>0</v>
      </c>
    </row>
    <row r="11" spans="1:8">
      <c r="A11" s="2" t="s">
        <v>163</v>
      </c>
      <c r="B11" s="3" t="s">
        <v>257</v>
      </c>
      <c r="C11" s="4">
        <v>2983328</v>
      </c>
      <c r="D11" s="4">
        <v>0</v>
      </c>
      <c r="E11" s="4">
        <v>2983328</v>
      </c>
      <c r="F11" s="4">
        <v>0</v>
      </c>
      <c r="G11" s="4">
        <v>0</v>
      </c>
      <c r="H11" s="4">
        <v>0</v>
      </c>
    </row>
    <row r="12" spans="1:8">
      <c r="A12" s="2" t="s">
        <v>411</v>
      </c>
      <c r="B12" s="3" t="s">
        <v>412</v>
      </c>
      <c r="C12" s="4">
        <v>51335891</v>
      </c>
      <c r="D12" s="4">
        <v>0</v>
      </c>
      <c r="E12" s="4">
        <v>51335891</v>
      </c>
      <c r="F12" s="4">
        <v>0</v>
      </c>
      <c r="G12" s="4">
        <v>0</v>
      </c>
      <c r="H12" s="4">
        <v>0</v>
      </c>
    </row>
    <row r="13" spans="1:8" ht="25.5">
      <c r="A13" s="2" t="s">
        <v>260</v>
      </c>
      <c r="B13" s="3" t="s">
        <v>261</v>
      </c>
      <c r="C13" s="4">
        <v>54319219</v>
      </c>
      <c r="D13" s="4">
        <v>0</v>
      </c>
      <c r="E13" s="4">
        <v>54319219</v>
      </c>
      <c r="F13" s="4">
        <v>0</v>
      </c>
      <c r="G13" s="4">
        <v>0</v>
      </c>
      <c r="H13" s="4">
        <v>0</v>
      </c>
    </row>
    <row r="14" spans="1:8" ht="25.5">
      <c r="A14" s="5" t="s">
        <v>262</v>
      </c>
      <c r="B14" s="6" t="s">
        <v>263</v>
      </c>
      <c r="C14" s="7">
        <v>54319219</v>
      </c>
      <c r="D14" s="7">
        <v>0</v>
      </c>
      <c r="E14" s="7">
        <v>54319219</v>
      </c>
      <c r="F14" s="7">
        <v>0</v>
      </c>
      <c r="G14" s="7">
        <v>0</v>
      </c>
      <c r="H14" s="7">
        <v>0</v>
      </c>
    </row>
    <row r="15" spans="1:8">
      <c r="A15" s="5" t="s">
        <v>264</v>
      </c>
      <c r="B15" s="6" t="s">
        <v>265</v>
      </c>
      <c r="C15" s="7">
        <v>59791917</v>
      </c>
      <c r="D15" s="7">
        <v>0</v>
      </c>
      <c r="E15" s="7">
        <v>54319219</v>
      </c>
      <c r="F15" s="7">
        <v>0</v>
      </c>
      <c r="G15" s="7">
        <v>6023</v>
      </c>
      <c r="H15" s="7">
        <v>5466675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H140"/>
  <sheetViews>
    <sheetView view="pageBreakPreview" topLeftCell="A124" zoomScale="85" zoomScaleNormal="100" zoomScaleSheetLayoutView="85" workbookViewId="0">
      <selection activeCell="M17" sqref="M17"/>
    </sheetView>
  </sheetViews>
  <sheetFormatPr defaultRowHeight="15"/>
  <cols>
    <col min="2" max="2" width="33.21875" customWidth="1"/>
    <col min="3" max="3" width="18.109375" customWidth="1"/>
    <col min="4" max="4" width="10" customWidth="1"/>
    <col min="5" max="5" width="10.5546875" customWidth="1"/>
    <col min="6" max="6" width="10.6640625" customWidth="1"/>
    <col min="7" max="7" width="9.88671875" customWidth="1"/>
    <col min="8" max="8" width="10.88671875" style="126" customWidth="1"/>
  </cols>
  <sheetData>
    <row r="1" spans="1:8">
      <c r="A1" s="140" t="s">
        <v>427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6</v>
      </c>
      <c r="B3" s="141"/>
      <c r="C3" s="141"/>
      <c r="D3" s="141"/>
      <c r="E3" s="141"/>
      <c r="F3" s="141"/>
      <c r="G3" s="141"/>
      <c r="H3" s="141"/>
    </row>
    <row r="5" spans="1:8" ht="60">
      <c r="A5" s="1" t="s">
        <v>0</v>
      </c>
      <c r="B5" s="1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8.25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5.5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 t="shared" ref="C12:E12" si="2">SUM(C6:C11)</f>
        <v>0</v>
      </c>
      <c r="D12" s="15">
        <f t="shared" si="2"/>
        <v>0</v>
      </c>
      <c r="E12" s="15">
        <f t="shared" si="2"/>
        <v>0</v>
      </c>
      <c r="F12" s="15">
        <f t="shared" si="0"/>
        <v>0</v>
      </c>
      <c r="G12" s="15">
        <f t="shared" ref="G12" si="3">SUM(G6:G11)</f>
        <v>0</v>
      </c>
      <c r="H12" s="124" t="e">
        <f t="shared" si="1"/>
        <v>#DIV/0!</v>
      </c>
    </row>
    <row r="13" spans="1:8" ht="25.5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 t="shared" ref="C20:G20" si="6">C12+C13</f>
        <v>0</v>
      </c>
      <c r="D20" s="18">
        <f t="shared" si="6"/>
        <v>0</v>
      </c>
      <c r="E20" s="18">
        <f t="shared" si="6"/>
        <v>0</v>
      </c>
      <c r="F20" s="18">
        <f t="shared" si="0"/>
        <v>0</v>
      </c>
      <c r="G20" s="18">
        <f t="shared" si="6"/>
        <v>0</v>
      </c>
      <c r="H20" s="125" t="e">
        <f t="shared" si="1"/>
        <v>#DIV/0!</v>
      </c>
    </row>
    <row r="21" spans="1:8" ht="25.5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>
        <v>0</v>
      </c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>
        <v>0</v>
      </c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>
        <v>4953723</v>
      </c>
      <c r="D40" s="15">
        <v>4500000</v>
      </c>
      <c r="E40" s="15">
        <v>0</v>
      </c>
      <c r="F40" s="15">
        <f t="shared" si="0"/>
        <v>4500000</v>
      </c>
      <c r="G40" s="15">
        <v>2797062</v>
      </c>
      <c r="H40" s="124">
        <f t="shared" si="1"/>
        <v>0.62156933333333331</v>
      </c>
    </row>
    <row r="41" spans="1:8">
      <c r="A41" s="13" t="s">
        <v>145</v>
      </c>
      <c r="B41" s="14" t="s">
        <v>230</v>
      </c>
      <c r="C41" s="15">
        <v>0</v>
      </c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>
        <v>1505319</v>
      </c>
      <c r="D42" s="15">
        <v>1215000</v>
      </c>
      <c r="E42" s="15"/>
      <c r="F42" s="15">
        <f t="shared" si="0"/>
        <v>1215000</v>
      </c>
      <c r="G42" s="15">
        <v>755206</v>
      </c>
      <c r="H42" s="124">
        <f t="shared" si="1"/>
        <v>0.62156872427983534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>
        <v>50</v>
      </c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8.25">
      <c r="A46" s="16" t="s">
        <v>237</v>
      </c>
      <c r="B46" s="17" t="s">
        <v>238</v>
      </c>
      <c r="C46" s="18">
        <f t="shared" ref="C46:E46" si="22">C37+C38+C39+C40+C41+C42+C44+C45</f>
        <v>6459092</v>
      </c>
      <c r="D46" s="18">
        <f t="shared" si="22"/>
        <v>5715000</v>
      </c>
      <c r="E46" s="18">
        <f t="shared" si="22"/>
        <v>0</v>
      </c>
      <c r="F46" s="18">
        <f t="shared" si="0"/>
        <v>5715000</v>
      </c>
      <c r="G46" s="18">
        <f t="shared" ref="G46" si="23">G37+G38+G39+G40+G41+G42+G44+G45</f>
        <v>3552268</v>
      </c>
      <c r="H46" s="125">
        <f t="shared" si="1"/>
        <v>0.62156920384951886</v>
      </c>
    </row>
    <row r="47" spans="1:8">
      <c r="A47" s="13" t="s">
        <v>239</v>
      </c>
      <c r="B47" s="14" t="s">
        <v>240</v>
      </c>
      <c r="C47" s="15">
        <v>2290000</v>
      </c>
      <c r="D47" s="15">
        <v>90000</v>
      </c>
      <c r="E47" s="15">
        <v>-90000</v>
      </c>
      <c r="F47" s="15">
        <f t="shared" si="0"/>
        <v>0</v>
      </c>
      <c r="G47" s="15"/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8">
        <f t="shared" ref="C48:E48" si="24">SUM(C47)</f>
        <v>2290000</v>
      </c>
      <c r="D48" s="18">
        <f t="shared" si="24"/>
        <v>90000</v>
      </c>
      <c r="E48" s="18">
        <f t="shared" si="24"/>
        <v>-90000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5.5">
      <c r="A49" s="16">
        <v>231</v>
      </c>
      <c r="B49" s="17" t="s">
        <v>460</v>
      </c>
      <c r="C49" s="18">
        <f>SUM(C50)</f>
        <v>0</v>
      </c>
      <c r="D49" s="18">
        <f t="shared" ref="D49:G49" si="26">SUM(D50)</f>
        <v>0</v>
      </c>
      <c r="E49" s="18">
        <f t="shared" si="26"/>
        <v>45000</v>
      </c>
      <c r="F49" s="18">
        <f t="shared" si="26"/>
        <v>45000</v>
      </c>
      <c r="G49" s="18">
        <f t="shared" si="26"/>
        <v>45000</v>
      </c>
      <c r="H49" s="125">
        <f t="shared" si="1"/>
        <v>1</v>
      </c>
    </row>
    <row r="50" spans="1:8" s="130" customFormat="1" ht="38.25">
      <c r="A50" s="20">
        <v>232</v>
      </c>
      <c r="B50" s="19" t="s">
        <v>459</v>
      </c>
      <c r="C50" s="129"/>
      <c r="D50" s="129"/>
      <c r="E50" s="129">
        <v>45000</v>
      </c>
      <c r="F50" s="129">
        <f>SUM(D50:E50)</f>
        <v>45000</v>
      </c>
      <c r="G50" s="129">
        <v>45000</v>
      </c>
      <c r="H50" s="125">
        <f t="shared" si="1"/>
        <v>1</v>
      </c>
    </row>
    <row r="51" spans="1:8" ht="25.5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5.5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45000</v>
      </c>
      <c r="F55" s="18">
        <f t="shared" si="29"/>
        <v>45000</v>
      </c>
      <c r="G55" s="18">
        <f t="shared" si="29"/>
        <v>45000</v>
      </c>
      <c r="H55" s="125">
        <f t="shared" si="1"/>
        <v>1</v>
      </c>
    </row>
    <row r="56" spans="1:8" ht="25.5">
      <c r="A56" s="16" t="s">
        <v>253</v>
      </c>
      <c r="B56" s="17" t="s">
        <v>254</v>
      </c>
      <c r="C56" s="18">
        <f t="shared" ref="C56:E56" si="30">C55+C46+C48+C36+C20+C22</f>
        <v>8749092</v>
      </c>
      <c r="D56" s="18">
        <f t="shared" si="30"/>
        <v>5805000</v>
      </c>
      <c r="E56" s="18">
        <f t="shared" si="30"/>
        <v>-45000</v>
      </c>
      <c r="F56" s="18">
        <f t="shared" si="0"/>
        <v>5760000</v>
      </c>
      <c r="G56" s="18">
        <f t="shared" ref="G56" si="31">G55+G46+G48+G36+G20+G22</f>
        <v>3597268</v>
      </c>
      <c r="H56" s="125">
        <f t="shared" si="1"/>
        <v>0.62452569444444439</v>
      </c>
    </row>
    <row r="57" spans="1:8" ht="25.5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412</v>
      </c>
      <c r="C60" s="15"/>
      <c r="D60" s="15"/>
      <c r="E60" s="15"/>
      <c r="F60" s="15"/>
      <c r="G60" s="15"/>
      <c r="H60" s="124"/>
    </row>
    <row r="61" spans="1:8" ht="25.5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5.5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8749092</v>
      </c>
      <c r="D63" s="18">
        <f t="shared" si="37"/>
        <v>5805000</v>
      </c>
      <c r="E63" s="18">
        <f t="shared" si="37"/>
        <v>-45000</v>
      </c>
      <c r="F63" s="18">
        <f t="shared" si="0"/>
        <v>5760000</v>
      </c>
      <c r="G63" s="18">
        <f t="shared" ref="G63" si="38">G56+G62</f>
        <v>3597268</v>
      </c>
      <c r="H63" s="125">
        <f t="shared" si="1"/>
        <v>0.62452569444444439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457</v>
      </c>
      <c r="G65" s="12" t="s">
        <v>273</v>
      </c>
      <c r="H65" s="123" t="s">
        <v>274</v>
      </c>
    </row>
    <row r="66" spans="1:8" ht="25.5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5.5">
      <c r="A67" s="21" t="s">
        <v>178</v>
      </c>
      <c r="B67" s="14" t="s">
        <v>282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5.5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5.5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8.25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>
        <v>5571</v>
      </c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5571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5571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5.5">
      <c r="A78" s="16" t="s">
        <v>53</v>
      </c>
      <c r="B78" s="17" t="s">
        <v>54</v>
      </c>
      <c r="C78" s="18">
        <f t="shared" ref="C78:E78" si="47">SUM(C79:C82)</f>
        <v>2784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>
        <v>1790</v>
      </c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5.5">
      <c r="A82" s="13" t="s">
        <v>61</v>
      </c>
      <c r="B82" s="14" t="s">
        <v>62</v>
      </c>
      <c r="C82" s="15">
        <v>994</v>
      </c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>
        <v>27235</v>
      </c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>
        <v>787354</v>
      </c>
      <c r="D84" s="15">
        <v>800000</v>
      </c>
      <c r="E84" s="15">
        <v>-100000</v>
      </c>
      <c r="F84" s="15">
        <f t="shared" si="41"/>
        <v>700000</v>
      </c>
      <c r="G84" s="15"/>
      <c r="H84" s="124">
        <f t="shared" si="42"/>
        <v>0</v>
      </c>
    </row>
    <row r="85" spans="1:8">
      <c r="A85" s="13" t="s">
        <v>67</v>
      </c>
      <c r="B85" s="14" t="s">
        <v>68</v>
      </c>
      <c r="C85" s="15">
        <f t="shared" ref="C85:E85" si="49">SUM(C83:C84)</f>
        <v>814589</v>
      </c>
      <c r="D85" s="15">
        <f t="shared" si="49"/>
        <v>800000</v>
      </c>
      <c r="E85" s="15">
        <f t="shared" si="49"/>
        <v>-100000</v>
      </c>
      <c r="F85" s="15">
        <f t="shared" si="41"/>
        <v>700000</v>
      </c>
      <c r="G85" s="15">
        <f t="shared" ref="G85" si="50">SUM(G83:G84)</f>
        <v>0</v>
      </c>
      <c r="H85" s="124">
        <f t="shared" si="42"/>
        <v>0</v>
      </c>
    </row>
    <row r="86" spans="1:8">
      <c r="A86" s="13" t="s">
        <v>69</v>
      </c>
      <c r="B86" s="14" t="s">
        <v>70</v>
      </c>
      <c r="C86" s="15">
        <v>53503</v>
      </c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>
        <v>10901</v>
      </c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64404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>
        <v>616863</v>
      </c>
      <c r="D89" s="15">
        <v>1000000</v>
      </c>
      <c r="E89" s="15">
        <v>-800000</v>
      </c>
      <c r="F89" s="15">
        <f t="shared" si="41"/>
        <v>200000</v>
      </c>
      <c r="G89" s="15">
        <v>93937</v>
      </c>
      <c r="H89" s="124">
        <f t="shared" si="42"/>
        <v>0.46968500000000002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276</v>
      </c>
      <c r="B91" s="19" t="s">
        <v>277</v>
      </c>
      <c r="C91" s="15"/>
      <c r="D91" s="15">
        <v>300000</v>
      </c>
      <c r="E91" s="15">
        <v>-3139</v>
      </c>
      <c r="F91" s="15">
        <f t="shared" si="41"/>
        <v>296861</v>
      </c>
      <c r="G91" s="15"/>
      <c r="H91" s="124"/>
    </row>
    <row r="92" spans="1:8">
      <c r="A92" s="13" t="s">
        <v>79</v>
      </c>
      <c r="B92" s="14" t="s">
        <v>80</v>
      </c>
      <c r="C92" s="15">
        <v>8000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5.5">
      <c r="A95" s="13" t="s">
        <v>85</v>
      </c>
      <c r="B95" s="14" t="s">
        <v>86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>
        <v>411861</v>
      </c>
      <c r="D96" s="15">
        <v>400000</v>
      </c>
      <c r="E96" s="15"/>
      <c r="F96" s="15">
        <f t="shared" si="41"/>
        <v>400000</v>
      </c>
      <c r="G96" s="15"/>
      <c r="H96" s="124">
        <f t="shared" si="42"/>
        <v>0</v>
      </c>
    </row>
    <row r="97" spans="1:8">
      <c r="A97" s="13" t="s">
        <v>89</v>
      </c>
      <c r="B97" s="14" t="s">
        <v>90</v>
      </c>
      <c r="C97" s="15">
        <v>228903</v>
      </c>
      <c r="D97" s="15">
        <v>200000</v>
      </c>
      <c r="E97" s="15"/>
      <c r="F97" s="15">
        <f t="shared" si="41"/>
        <v>200000</v>
      </c>
      <c r="G97" s="15"/>
      <c r="H97" s="124">
        <f t="shared" si="42"/>
        <v>0</v>
      </c>
    </row>
    <row r="98" spans="1:8" ht="25.5">
      <c r="A98" s="13" t="s">
        <v>91</v>
      </c>
      <c r="B98" s="14" t="s">
        <v>92</v>
      </c>
      <c r="C98" s="15">
        <f>C89+C90+C92+C93+C95+C96+C91</f>
        <v>1036724</v>
      </c>
      <c r="D98" s="15">
        <f t="shared" ref="D98:G98" si="53">D89+D90+D92+D93+D95+D96+D91</f>
        <v>1700000</v>
      </c>
      <c r="E98" s="15">
        <f t="shared" si="53"/>
        <v>-803139</v>
      </c>
      <c r="F98" s="15">
        <f t="shared" si="53"/>
        <v>896861</v>
      </c>
      <c r="G98" s="15">
        <f t="shared" si="53"/>
        <v>93937</v>
      </c>
      <c r="H98" s="124">
        <f t="shared" si="42"/>
        <v>0.1047397534289037</v>
      </c>
    </row>
    <row r="99" spans="1:8">
      <c r="A99" s="13" t="s">
        <v>280</v>
      </c>
      <c r="B99" s="14" t="s">
        <v>281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5.5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5.5">
      <c r="A102" s="13" t="s">
        <v>97</v>
      </c>
      <c r="B102" s="14" t="s">
        <v>98</v>
      </c>
      <c r="C102" s="15">
        <v>437778</v>
      </c>
      <c r="D102" s="15">
        <v>675000</v>
      </c>
      <c r="E102" s="15">
        <v>-350000</v>
      </c>
      <c r="F102" s="15">
        <f t="shared" si="41"/>
        <v>325000</v>
      </c>
      <c r="G102" s="15">
        <v>25008</v>
      </c>
      <c r="H102" s="124">
        <f t="shared" si="42"/>
        <v>7.6947692307692314E-2</v>
      </c>
    </row>
    <row r="103" spans="1:8" s="122" customFormat="1">
      <c r="A103" s="13">
        <v>52</v>
      </c>
      <c r="B103" s="14" t="s">
        <v>458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>
        <v>16433</v>
      </c>
      <c r="D104" s="15">
        <v>20000</v>
      </c>
      <c r="E104" s="15"/>
      <c r="F104" s="15">
        <f t="shared" si="41"/>
        <v>20000</v>
      </c>
      <c r="G104" s="15"/>
      <c r="H104" s="124">
        <f t="shared" si="42"/>
        <v>0</v>
      </c>
    </row>
    <row r="105" spans="1:8" ht="25.5">
      <c r="A105" s="13" t="s">
        <v>101</v>
      </c>
      <c r="B105" s="14" t="s">
        <v>102</v>
      </c>
      <c r="C105" s="15">
        <f t="shared" ref="C105:E105" si="55">SUM(C102:C104)</f>
        <v>454211</v>
      </c>
      <c r="D105" s="15">
        <f t="shared" si="55"/>
        <v>695000</v>
      </c>
      <c r="E105" s="15">
        <f t="shared" si="55"/>
        <v>-350000</v>
      </c>
      <c r="F105" s="15">
        <f t="shared" si="41"/>
        <v>345000</v>
      </c>
      <c r="G105" s="15">
        <f t="shared" ref="G105" si="56">SUM(G102:G104)</f>
        <v>25008</v>
      </c>
      <c r="H105" s="124">
        <f t="shared" si="42"/>
        <v>7.2486956521739129E-2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2369928</v>
      </c>
      <c r="D106" s="18">
        <f t="shared" si="57"/>
        <v>3195000</v>
      </c>
      <c r="E106" s="18">
        <f t="shared" si="57"/>
        <v>-1253139</v>
      </c>
      <c r="F106" s="18">
        <f t="shared" si="41"/>
        <v>1941861</v>
      </c>
      <c r="G106" s="18">
        <f t="shared" ref="G106" si="58">G85+G88+G98+G101+G105</f>
        <v>118945</v>
      </c>
      <c r="H106" s="125">
        <f t="shared" si="42"/>
        <v>6.125309690034457E-2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5.5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5.5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5.5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8.25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5.5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5.5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5.5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5.5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5.5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5.5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5.5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275</v>
      </c>
      <c r="C123" s="15"/>
      <c r="D123" s="15">
        <v>2610000</v>
      </c>
      <c r="E123" s="15">
        <v>1208139</v>
      </c>
      <c r="F123" s="15">
        <f t="shared" si="41"/>
        <v>3818139</v>
      </c>
      <c r="G123" s="15"/>
      <c r="H123" s="124"/>
    </row>
    <row r="124" spans="1:8" ht="38.25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2610000</v>
      </c>
      <c r="E124" s="18">
        <f t="shared" si="70"/>
        <v>1208139</v>
      </c>
      <c r="F124" s="18">
        <f t="shared" si="70"/>
        <v>3818139</v>
      </c>
      <c r="G124" s="18">
        <f t="shared" si="70"/>
        <v>0</v>
      </c>
      <c r="H124" s="125">
        <f t="shared" si="42"/>
        <v>0</v>
      </c>
    </row>
    <row r="125" spans="1:8" s="128" customFormat="1">
      <c r="A125" s="20">
        <v>192</v>
      </c>
      <c r="B125" s="19" t="s">
        <v>466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1385580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5.5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5.5">
      <c r="A128" s="13" t="s">
        <v>143</v>
      </c>
      <c r="B128" s="14" t="s">
        <v>144</v>
      </c>
      <c r="C128" s="15">
        <v>85988</v>
      </c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5.5">
      <c r="A129" s="13" t="s">
        <v>145</v>
      </c>
      <c r="B129" s="14" t="s">
        <v>146</v>
      </c>
      <c r="C129" s="15">
        <v>23216</v>
      </c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1494784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5.5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5.5">
      <c r="A135" s="16" t="s">
        <v>157</v>
      </c>
      <c r="B135" s="17" t="s">
        <v>158</v>
      </c>
      <c r="C135" s="18">
        <f t="shared" ref="C135:E135" si="74">C77+C78+C106+C113+C124+C130+C134</f>
        <v>3873067</v>
      </c>
      <c r="D135" s="18">
        <f t="shared" si="74"/>
        <v>5805000</v>
      </c>
      <c r="E135" s="18">
        <f t="shared" si="74"/>
        <v>-45000</v>
      </c>
      <c r="F135" s="18">
        <f t="shared" si="41"/>
        <v>5760000</v>
      </c>
      <c r="G135" s="18">
        <f t="shared" ref="G135" si="75">G77+G78+G106+G113+G124+G130+G134</f>
        <v>118945</v>
      </c>
      <c r="H135" s="125">
        <f t="shared" si="42"/>
        <v>2.065017361111111E-2</v>
      </c>
    </row>
    <row r="136" spans="1:8" ht="25.5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5.5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5.5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5.5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3873067</v>
      </c>
      <c r="D140" s="18">
        <f t="shared" si="80"/>
        <v>5805000</v>
      </c>
      <c r="E140" s="18">
        <f t="shared" si="80"/>
        <v>-45000</v>
      </c>
      <c r="F140" s="18">
        <f t="shared" si="41"/>
        <v>5760000</v>
      </c>
      <c r="G140" s="18">
        <f t="shared" ref="G140" si="81">G135+G139</f>
        <v>118945</v>
      </c>
      <c r="H140" s="125">
        <f t="shared" si="42"/>
        <v>2.065017361111111E-2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H140"/>
  <sheetViews>
    <sheetView view="pageBreakPreview" topLeftCell="A2" zoomScale="85" zoomScaleNormal="100" zoomScaleSheetLayoutView="85" workbookViewId="0">
      <selection activeCell="M17" sqref="M17"/>
    </sheetView>
  </sheetViews>
  <sheetFormatPr defaultRowHeight="15"/>
  <cols>
    <col min="2" max="2" width="33.21875" customWidth="1"/>
    <col min="3" max="3" width="18.109375" customWidth="1"/>
    <col min="4" max="4" width="10" customWidth="1"/>
    <col min="5" max="5" width="10.5546875" customWidth="1"/>
    <col min="6" max="6" width="10.6640625" customWidth="1"/>
    <col min="7" max="7" width="9.88671875" customWidth="1"/>
    <col min="8" max="8" width="11.33203125" style="126" customWidth="1"/>
  </cols>
  <sheetData>
    <row r="1" spans="1:8">
      <c r="A1" s="140" t="s">
        <v>428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429</v>
      </c>
      <c r="B3" s="141"/>
      <c r="C3" s="141"/>
      <c r="D3" s="141"/>
      <c r="E3" s="141"/>
      <c r="F3" s="141"/>
      <c r="G3" s="141"/>
      <c r="H3" s="141"/>
    </row>
    <row r="5" spans="1:8" ht="60">
      <c r="A5" s="1" t="s">
        <v>0</v>
      </c>
      <c r="B5" s="1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8.25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5.5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 t="shared" ref="C12:E12" si="2">SUM(C6:C11)</f>
        <v>0</v>
      </c>
      <c r="D12" s="15">
        <f t="shared" si="2"/>
        <v>0</v>
      </c>
      <c r="E12" s="15">
        <f t="shared" si="2"/>
        <v>0</v>
      </c>
      <c r="F12" s="15">
        <f t="shared" si="0"/>
        <v>0</v>
      </c>
      <c r="G12" s="15">
        <f t="shared" ref="G12" si="3">SUM(G6:G11)</f>
        <v>0</v>
      </c>
      <c r="H12" s="124" t="e">
        <f t="shared" si="1"/>
        <v>#DIV/0!</v>
      </c>
    </row>
    <row r="13" spans="1:8" ht="25.5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 t="shared" ref="C20:G20" si="6">C12+C13</f>
        <v>0</v>
      </c>
      <c r="D20" s="18">
        <f t="shared" si="6"/>
        <v>0</v>
      </c>
      <c r="E20" s="18">
        <f t="shared" si="6"/>
        <v>0</v>
      </c>
      <c r="F20" s="18">
        <f t="shared" si="0"/>
        <v>0</v>
      </c>
      <c r="G20" s="18">
        <f t="shared" si="6"/>
        <v>0</v>
      </c>
      <c r="H20" s="125" t="e">
        <f t="shared" si="1"/>
        <v>#DIV/0!</v>
      </c>
    </row>
    <row r="21" spans="1:8" ht="25.5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8.25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5.5">
      <c r="A49" s="16">
        <v>231</v>
      </c>
      <c r="B49" s="17" t="s">
        <v>460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8.25">
      <c r="A50" s="20">
        <v>232</v>
      </c>
      <c r="B50" s="19" t="s">
        <v>459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5.5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5.5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5.5">
      <c r="A56" s="16" t="s">
        <v>253</v>
      </c>
      <c r="B56" s="17" t="s">
        <v>254</v>
      </c>
      <c r="C56" s="18">
        <f t="shared" ref="C56:E56" si="30">C55+C46+C48+C36+C20+C22</f>
        <v>0</v>
      </c>
      <c r="D56" s="18">
        <f t="shared" si="30"/>
        <v>0</v>
      </c>
      <c r="E56" s="18">
        <f t="shared" si="30"/>
        <v>0</v>
      </c>
      <c r="F56" s="18">
        <f t="shared" si="0"/>
        <v>0</v>
      </c>
      <c r="G56" s="18">
        <f t="shared" ref="G56" si="31">G55+G46+G48+G36+G20+G22</f>
        <v>0</v>
      </c>
      <c r="H56" s="125" t="e">
        <f t="shared" si="1"/>
        <v>#DIV/0!</v>
      </c>
    </row>
    <row r="57" spans="1:8" ht="25.5">
      <c r="A57" s="13" t="s">
        <v>255</v>
      </c>
      <c r="B57" s="14" t="s">
        <v>256</v>
      </c>
      <c r="C57" s="15"/>
      <c r="D57" s="15"/>
      <c r="E57" s="15">
        <v>1376170</v>
      </c>
      <c r="F57" s="15">
        <f t="shared" si="0"/>
        <v>1376170</v>
      </c>
      <c r="G57" s="15">
        <v>1376170</v>
      </c>
      <c r="H57" s="124">
        <f t="shared" si="1"/>
        <v>1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1376170</v>
      </c>
      <c r="F58" s="15">
        <f t="shared" si="0"/>
        <v>1376170</v>
      </c>
      <c r="G58" s="15">
        <f t="shared" ref="G58" si="33">SUM(G57)</f>
        <v>1376170</v>
      </c>
      <c r="H58" s="124">
        <f t="shared" si="1"/>
        <v>1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412</v>
      </c>
      <c r="C60" s="15"/>
      <c r="D60" s="15"/>
      <c r="E60" s="15"/>
      <c r="F60" s="15"/>
      <c r="G60" s="15"/>
      <c r="H60" s="124"/>
    </row>
    <row r="61" spans="1:8" ht="25.5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1376170</v>
      </c>
      <c r="F61" s="15">
        <f t="shared" si="0"/>
        <v>1376170</v>
      </c>
      <c r="G61" s="15">
        <f>SUM(G58:G60)</f>
        <v>1376170</v>
      </c>
      <c r="H61" s="124">
        <f t="shared" si="1"/>
        <v>1</v>
      </c>
    </row>
    <row r="62" spans="1:8" ht="25.5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1376170</v>
      </c>
      <c r="F62" s="18">
        <f t="shared" si="0"/>
        <v>1376170</v>
      </c>
      <c r="G62" s="18">
        <f t="shared" ref="G62" si="36">SUM(G61)</f>
        <v>1376170</v>
      </c>
      <c r="H62" s="125">
        <f t="shared" si="1"/>
        <v>1</v>
      </c>
    </row>
    <row r="63" spans="1:8">
      <c r="A63" s="16" t="s">
        <v>264</v>
      </c>
      <c r="B63" s="17" t="s">
        <v>265</v>
      </c>
      <c r="C63" s="18">
        <f t="shared" ref="C63:E63" si="37">C56+C62</f>
        <v>0</v>
      </c>
      <c r="D63" s="18">
        <f t="shared" si="37"/>
        <v>0</v>
      </c>
      <c r="E63" s="18">
        <f t="shared" si="37"/>
        <v>1376170</v>
      </c>
      <c r="F63" s="18">
        <f t="shared" si="0"/>
        <v>1376170</v>
      </c>
      <c r="G63" s="18">
        <f t="shared" ref="G63" si="38">G56+G62</f>
        <v>1376170</v>
      </c>
      <c r="H63" s="125">
        <f t="shared" si="1"/>
        <v>1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457</v>
      </c>
      <c r="G65" s="12" t="s">
        <v>273</v>
      </c>
      <c r="H65" s="123" t="s">
        <v>274</v>
      </c>
    </row>
    <row r="66" spans="1:8" ht="25.5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5.5">
      <c r="A67" s="21" t="s">
        <v>178</v>
      </c>
      <c r="B67" s="14" t="s">
        <v>282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5.5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5.5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8.25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0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5.5">
      <c r="A78" s="16" t="s">
        <v>53</v>
      </c>
      <c r="B78" s="17" t="s">
        <v>54</v>
      </c>
      <c r="C78" s="18">
        <f t="shared" ref="C78:E78" si="47">SUM(C79:C82)</f>
        <v>0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5.5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>
        <v>6170</v>
      </c>
      <c r="F83" s="15">
        <f t="shared" si="41"/>
        <v>6170</v>
      </c>
      <c r="G83" s="15">
        <v>6170</v>
      </c>
      <c r="H83" s="124">
        <f t="shared" si="42"/>
        <v>1</v>
      </c>
    </row>
    <row r="84" spans="1:8">
      <c r="A84" s="13" t="s">
        <v>65</v>
      </c>
      <c r="B84" s="14" t="s">
        <v>66</v>
      </c>
      <c r="C84" s="15"/>
      <c r="D84" s="15"/>
      <c r="E84" s="15">
        <v>100000</v>
      </c>
      <c r="F84" s="15">
        <f t="shared" si="41"/>
        <v>100000</v>
      </c>
      <c r="G84" s="15">
        <v>51508</v>
      </c>
      <c r="H84" s="124">
        <f t="shared" si="42"/>
        <v>0.51507999999999998</v>
      </c>
    </row>
    <row r="85" spans="1:8">
      <c r="A85" s="13" t="s">
        <v>67</v>
      </c>
      <c r="B85" s="14" t="s">
        <v>68</v>
      </c>
      <c r="C85" s="15">
        <f t="shared" ref="C85:E85" si="49">SUM(C83:C84)</f>
        <v>0</v>
      </c>
      <c r="D85" s="15">
        <f t="shared" si="49"/>
        <v>0</v>
      </c>
      <c r="E85" s="15">
        <f t="shared" si="49"/>
        <v>106170</v>
      </c>
      <c r="F85" s="15">
        <f t="shared" si="41"/>
        <v>106170</v>
      </c>
      <c r="G85" s="15">
        <f t="shared" ref="G85" si="50">SUM(G83:G84)</f>
        <v>57678</v>
      </c>
      <c r="H85" s="124">
        <f t="shared" si="42"/>
        <v>0.54326080813789202</v>
      </c>
    </row>
    <row r="86" spans="1:8">
      <c r="A86" s="13" t="s">
        <v>69</v>
      </c>
      <c r="B86" s="14" t="s">
        <v>70</v>
      </c>
      <c r="C86" s="15"/>
      <c r="D86" s="15"/>
      <c r="E86" s="15">
        <v>50000</v>
      </c>
      <c r="F86" s="15">
        <f t="shared" si="41"/>
        <v>50000</v>
      </c>
      <c r="G86" s="15">
        <v>23940</v>
      </c>
      <c r="H86" s="124">
        <f t="shared" si="42"/>
        <v>0.4788</v>
      </c>
    </row>
    <row r="87" spans="1:8">
      <c r="A87" s="13" t="s">
        <v>71</v>
      </c>
      <c r="B87" s="14" t="s">
        <v>72</v>
      </c>
      <c r="C87" s="15"/>
      <c r="D87" s="15"/>
      <c r="E87" s="15">
        <v>10000</v>
      </c>
      <c r="F87" s="15">
        <f t="shared" si="41"/>
        <v>10000</v>
      </c>
      <c r="G87" s="15">
        <v>5941</v>
      </c>
      <c r="H87" s="124">
        <f t="shared" si="42"/>
        <v>0.59409999999999996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60000</v>
      </c>
      <c r="F88" s="15">
        <f t="shared" si="41"/>
        <v>60000</v>
      </c>
      <c r="G88" s="15">
        <f t="shared" ref="G88" si="52">SUM(G86:G87)</f>
        <v>29881</v>
      </c>
      <c r="H88" s="124">
        <f t="shared" si="42"/>
        <v>0.49801666666666666</v>
      </c>
    </row>
    <row r="89" spans="1:8">
      <c r="A89" s="13" t="s">
        <v>75</v>
      </c>
      <c r="B89" s="14" t="s">
        <v>76</v>
      </c>
      <c r="C89" s="15"/>
      <c r="D89" s="15"/>
      <c r="E89" s="15">
        <v>800000</v>
      </c>
      <c r="F89" s="15">
        <f t="shared" si="41"/>
        <v>800000</v>
      </c>
      <c r="G89" s="15">
        <f>538834+14968+1997</f>
        <v>555799</v>
      </c>
      <c r="H89" s="124">
        <f t="shared" si="42"/>
        <v>0.69474875000000003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276</v>
      </c>
      <c r="B91" s="19" t="s">
        <v>277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5.5">
      <c r="A95" s="13" t="s">
        <v>85</v>
      </c>
      <c r="B95" s="14" t="s">
        <v>86</v>
      </c>
      <c r="C95" s="15"/>
      <c r="D95" s="15"/>
      <c r="E95" s="15">
        <v>60000</v>
      </c>
      <c r="F95" s="15">
        <f t="shared" si="41"/>
        <v>60000</v>
      </c>
      <c r="G95" s="15">
        <v>37800</v>
      </c>
      <c r="H95" s="124">
        <f t="shared" si="42"/>
        <v>0.63</v>
      </c>
    </row>
    <row r="96" spans="1:8">
      <c r="A96" s="13" t="s">
        <v>87</v>
      </c>
      <c r="B96" s="14" t="s">
        <v>88</v>
      </c>
      <c r="C96" s="15"/>
      <c r="D96" s="15"/>
      <c r="E96" s="15"/>
      <c r="F96" s="15">
        <f t="shared" si="41"/>
        <v>0</v>
      </c>
      <c r="G96" s="15"/>
      <c r="H96" s="124" t="e">
        <f t="shared" si="42"/>
        <v>#DIV/0!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5.5">
      <c r="A98" s="13" t="s">
        <v>91</v>
      </c>
      <c r="B98" s="14" t="s">
        <v>92</v>
      </c>
      <c r="C98" s="15">
        <f>C89+C90+C92+C93+C95+C96+C91</f>
        <v>0</v>
      </c>
      <c r="D98" s="15">
        <f t="shared" ref="D98:G98" si="53">D89+D90+D92+D93+D95+D96+D91</f>
        <v>0</v>
      </c>
      <c r="E98" s="15">
        <f t="shared" si="53"/>
        <v>860000</v>
      </c>
      <c r="F98" s="15">
        <f t="shared" si="53"/>
        <v>860000</v>
      </c>
      <c r="G98" s="15">
        <f t="shared" si="53"/>
        <v>593599</v>
      </c>
      <c r="H98" s="124">
        <f t="shared" si="42"/>
        <v>0.69023139534883726</v>
      </c>
    </row>
    <row r="99" spans="1:8">
      <c r="A99" s="13" t="s">
        <v>280</v>
      </c>
      <c r="B99" s="14" t="s">
        <v>281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5.5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5.5">
      <c r="A102" s="13" t="s">
        <v>97</v>
      </c>
      <c r="B102" s="14" t="s">
        <v>98</v>
      </c>
      <c r="C102" s="15"/>
      <c r="D102" s="15"/>
      <c r="E102" s="15">
        <v>350000</v>
      </c>
      <c r="F102" s="15">
        <f t="shared" si="41"/>
        <v>350000</v>
      </c>
      <c r="G102" s="15">
        <f>171455+4042</f>
        <v>175497</v>
      </c>
      <c r="H102" s="124">
        <f t="shared" si="42"/>
        <v>0.50141999999999998</v>
      </c>
    </row>
    <row r="103" spans="1:8" s="122" customFormat="1">
      <c r="A103" s="13">
        <v>52</v>
      </c>
      <c r="B103" s="14" t="s">
        <v>458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5.5">
      <c r="A105" s="13" t="s">
        <v>101</v>
      </c>
      <c r="B105" s="14" t="s">
        <v>102</v>
      </c>
      <c r="C105" s="15">
        <f t="shared" ref="C105:E105" si="55">SUM(C102:C104)</f>
        <v>0</v>
      </c>
      <c r="D105" s="15">
        <f t="shared" si="55"/>
        <v>0</v>
      </c>
      <c r="E105" s="15">
        <f t="shared" si="55"/>
        <v>350000</v>
      </c>
      <c r="F105" s="15">
        <f t="shared" si="41"/>
        <v>350000</v>
      </c>
      <c r="G105" s="15">
        <f t="shared" ref="G105" si="56">SUM(G102:G104)</f>
        <v>175497</v>
      </c>
      <c r="H105" s="124">
        <f t="shared" si="42"/>
        <v>0.50141999999999998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0</v>
      </c>
      <c r="D106" s="18">
        <f t="shared" si="57"/>
        <v>0</v>
      </c>
      <c r="E106" s="18">
        <f t="shared" si="57"/>
        <v>1376170</v>
      </c>
      <c r="F106" s="18">
        <f t="shared" si="41"/>
        <v>1376170</v>
      </c>
      <c r="G106" s="18">
        <f t="shared" ref="G106" si="58">G85+G88+G98+G101+G105</f>
        <v>856655</v>
      </c>
      <c r="H106" s="125">
        <f t="shared" si="42"/>
        <v>0.62249213396600711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5.5">
      <c r="A108" s="13" t="s">
        <v>107</v>
      </c>
      <c r="B108" s="14" t="s">
        <v>108</v>
      </c>
      <c r="C108" s="15"/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5.5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5.5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8.25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5.5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5.5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5.5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5.5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5.5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5.5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5.5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275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8.25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466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5.5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5.5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5.5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5.5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5.5">
      <c r="A135" s="16" t="s">
        <v>157</v>
      </c>
      <c r="B135" s="17" t="s">
        <v>158</v>
      </c>
      <c r="C135" s="18">
        <f t="shared" ref="C135:E135" si="74">C77+C78+C106+C113+C124+C130+C134</f>
        <v>0</v>
      </c>
      <c r="D135" s="18">
        <f t="shared" si="74"/>
        <v>0</v>
      </c>
      <c r="E135" s="18">
        <f t="shared" si="74"/>
        <v>1376170</v>
      </c>
      <c r="F135" s="18">
        <f t="shared" si="41"/>
        <v>1376170</v>
      </c>
      <c r="G135" s="18">
        <f t="shared" ref="G135" si="75">G77+G78+G106+G113+G124+G130+G134</f>
        <v>856655</v>
      </c>
      <c r="H135" s="125">
        <f t="shared" si="42"/>
        <v>0.62249213396600711</v>
      </c>
    </row>
    <row r="136" spans="1:8" ht="25.5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5.5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5.5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5.5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0</v>
      </c>
      <c r="D140" s="18">
        <f t="shared" si="80"/>
        <v>0</v>
      </c>
      <c r="E140" s="18">
        <f t="shared" si="80"/>
        <v>1376170</v>
      </c>
      <c r="F140" s="18">
        <f t="shared" si="41"/>
        <v>1376170</v>
      </c>
      <c r="G140" s="18">
        <f t="shared" ref="G140" si="81">G135+G139</f>
        <v>856655</v>
      </c>
      <c r="H140" s="125">
        <f t="shared" si="42"/>
        <v>0.62249213396600711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40"/>
  <sheetViews>
    <sheetView view="pageBreakPreview" topLeftCell="A118" zoomScale="85" zoomScaleNormal="100" zoomScaleSheetLayoutView="85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9.6640625" customWidth="1"/>
    <col min="6" max="6" width="10.109375" customWidth="1"/>
    <col min="8" max="8" width="12" style="126" customWidth="1"/>
  </cols>
  <sheetData>
    <row r="1" spans="1:8">
      <c r="A1" s="140" t="s">
        <v>430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7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0</v>
      </c>
      <c r="D6" s="15">
        <v>1559000</v>
      </c>
      <c r="E6" s="15">
        <v>0</v>
      </c>
      <c r="F6" s="15">
        <f>SUM(D6:E6)</f>
        <v>1559000</v>
      </c>
      <c r="G6" s="15">
        <v>810680</v>
      </c>
      <c r="H6" s="124">
        <f>G6/F6</f>
        <v>0.52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8.25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5.5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 t="shared" ref="C12:E12" si="2">SUM(C6:C11)</f>
        <v>0</v>
      </c>
      <c r="D12" s="15">
        <f t="shared" si="2"/>
        <v>1559000</v>
      </c>
      <c r="E12" s="15">
        <f t="shared" si="2"/>
        <v>0</v>
      </c>
      <c r="F12" s="15">
        <f t="shared" si="0"/>
        <v>1559000</v>
      </c>
      <c r="G12" s="15">
        <f t="shared" ref="G12" si="3">SUM(G6:G11)</f>
        <v>810680</v>
      </c>
      <c r="H12" s="124">
        <f t="shared" si="1"/>
        <v>0.52</v>
      </c>
    </row>
    <row r="13" spans="1:8" ht="25.5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 t="shared" ref="C20:G20" si="6">C12+C13</f>
        <v>0</v>
      </c>
      <c r="D20" s="18">
        <f t="shared" si="6"/>
        <v>1559000</v>
      </c>
      <c r="E20" s="18">
        <f t="shared" si="6"/>
        <v>0</v>
      </c>
      <c r="F20" s="18">
        <f t="shared" si="0"/>
        <v>1559000</v>
      </c>
      <c r="G20" s="18">
        <f t="shared" si="6"/>
        <v>810680</v>
      </c>
      <c r="H20" s="125">
        <f t="shared" si="1"/>
        <v>0.52</v>
      </c>
    </row>
    <row r="21" spans="1:8" ht="25.5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>
        <v>50000</v>
      </c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>
        <v>0</v>
      </c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>
        <v>0</v>
      </c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>
        <v>0</v>
      </c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>
        <v>13500</v>
      </c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8.25">
      <c r="A46" s="16" t="s">
        <v>237</v>
      </c>
      <c r="B46" s="17" t="s">
        <v>238</v>
      </c>
      <c r="C46" s="18">
        <f t="shared" ref="C46:E46" si="22">C37+C38+C39+C40+C41+C42+C44+C45</f>
        <v>63500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5.5">
      <c r="A49" s="16">
        <v>231</v>
      </c>
      <c r="B49" s="17" t="s">
        <v>460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8.25">
      <c r="A50" s="20">
        <v>232</v>
      </c>
      <c r="B50" s="19" t="s">
        <v>459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5.5">
      <c r="A51" s="13" t="s">
        <v>243</v>
      </c>
      <c r="B51" s="14" t="s">
        <v>244</v>
      </c>
      <c r="C51" s="15">
        <f t="shared" ref="C51:E51" si="27">SUM(C52:C54)</f>
        <v>395000</v>
      </c>
      <c r="D51" s="15">
        <f t="shared" si="27"/>
        <v>300000</v>
      </c>
      <c r="E51" s="15">
        <f t="shared" si="27"/>
        <v>0</v>
      </c>
      <c r="F51" s="15">
        <f t="shared" si="0"/>
        <v>300000</v>
      </c>
      <c r="G51" s="15">
        <f t="shared" ref="G51" si="28">SUM(G52:G54)</f>
        <v>172000</v>
      </c>
      <c r="H51" s="124">
        <f t="shared" si="1"/>
        <v>0.57333333333333336</v>
      </c>
    </row>
    <row r="52" spans="1:8">
      <c r="A52" s="13" t="s">
        <v>245</v>
      </c>
      <c r="B52" s="14" t="s">
        <v>246</v>
      </c>
      <c r="C52" s="15"/>
      <c r="D52" s="15"/>
      <c r="E52" s="15">
        <v>45000</v>
      </c>
      <c r="F52" s="15">
        <f t="shared" si="0"/>
        <v>45000</v>
      </c>
      <c r="G52" s="15">
        <v>45000</v>
      </c>
      <c r="H52" s="124">
        <f t="shared" si="1"/>
        <v>1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>
        <v>395000</v>
      </c>
      <c r="D54" s="15">
        <v>300000</v>
      </c>
      <c r="E54" s="15">
        <v>-45000</v>
      </c>
      <c r="F54" s="15">
        <f t="shared" si="0"/>
        <v>255000</v>
      </c>
      <c r="G54" s="15">
        <v>127000</v>
      </c>
      <c r="H54" s="124">
        <f t="shared" si="1"/>
        <v>0.49803921568627452</v>
      </c>
    </row>
    <row r="55" spans="1:8" ht="25.5">
      <c r="A55" s="16" t="s">
        <v>251</v>
      </c>
      <c r="B55" s="17" t="s">
        <v>252</v>
      </c>
      <c r="C55" s="18">
        <f>C51+C49</f>
        <v>395000</v>
      </c>
      <c r="D55" s="18">
        <f t="shared" ref="D55:G55" si="29">D51+D49</f>
        <v>300000</v>
      </c>
      <c r="E55" s="18">
        <f t="shared" si="29"/>
        <v>0</v>
      </c>
      <c r="F55" s="18">
        <f t="shared" si="29"/>
        <v>300000</v>
      </c>
      <c r="G55" s="18">
        <f t="shared" si="29"/>
        <v>172000</v>
      </c>
      <c r="H55" s="125">
        <f t="shared" si="1"/>
        <v>0.57333333333333336</v>
      </c>
    </row>
    <row r="56" spans="1:8" ht="25.5">
      <c r="A56" s="16" t="s">
        <v>253</v>
      </c>
      <c r="B56" s="17" t="s">
        <v>254</v>
      </c>
      <c r="C56" s="18">
        <f t="shared" ref="C56:E56" si="30">C55+C46+C48+C36+C20+C22</f>
        <v>458500</v>
      </c>
      <c r="D56" s="18">
        <f t="shared" si="30"/>
        <v>1859000</v>
      </c>
      <c r="E56" s="18">
        <f t="shared" si="30"/>
        <v>0</v>
      </c>
      <c r="F56" s="18">
        <f t="shared" si="0"/>
        <v>1859000</v>
      </c>
      <c r="G56" s="18">
        <f t="shared" ref="G56" si="31">G55+G46+G48+G36+G20+G22</f>
        <v>982680</v>
      </c>
      <c r="H56" s="125">
        <f t="shared" si="1"/>
        <v>0.52860677783754706</v>
      </c>
    </row>
    <row r="57" spans="1:8" ht="25.5">
      <c r="A57" s="13" t="s">
        <v>255</v>
      </c>
      <c r="B57" s="14" t="s">
        <v>256</v>
      </c>
      <c r="C57" s="15">
        <v>3436000</v>
      </c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3436000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412</v>
      </c>
      <c r="C60" s="15"/>
      <c r="D60" s="15"/>
      <c r="E60" s="15"/>
      <c r="F60" s="15"/>
      <c r="G60" s="15"/>
      <c r="H60" s="124"/>
    </row>
    <row r="61" spans="1:8" ht="25.5">
      <c r="A61" s="13" t="s">
        <v>260</v>
      </c>
      <c r="B61" s="14" t="s">
        <v>261</v>
      </c>
      <c r="C61" s="15">
        <f>SUM(C58:C60)</f>
        <v>3436000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5.5">
      <c r="A62" s="16" t="s">
        <v>262</v>
      </c>
      <c r="B62" s="17" t="s">
        <v>263</v>
      </c>
      <c r="C62" s="18">
        <f t="shared" ref="C62:E62" si="35">SUM(C61)</f>
        <v>3436000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3894500</v>
      </c>
      <c r="D63" s="18">
        <f t="shared" si="37"/>
        <v>1859000</v>
      </c>
      <c r="E63" s="18">
        <f t="shared" si="37"/>
        <v>0</v>
      </c>
      <c r="F63" s="18">
        <f t="shared" si="0"/>
        <v>1859000</v>
      </c>
      <c r="G63" s="18">
        <f t="shared" ref="G63" si="38">G56+G62</f>
        <v>982680</v>
      </c>
      <c r="H63" s="125">
        <f t="shared" si="1"/>
        <v>0.52860677783754706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457</v>
      </c>
      <c r="G65" s="12" t="s">
        <v>273</v>
      </c>
      <c r="H65" s="123" t="s">
        <v>274</v>
      </c>
    </row>
    <row r="66" spans="1:8" ht="25.5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5.5">
      <c r="A67" s="21" t="s">
        <v>178</v>
      </c>
      <c r="B67" s="14" t="s">
        <v>282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5.5">
      <c r="A71" s="13" t="s">
        <v>39</v>
      </c>
      <c r="B71" s="14" t="s">
        <v>40</v>
      </c>
      <c r="C71" s="15">
        <v>240314</v>
      </c>
      <c r="D71" s="15">
        <v>200000</v>
      </c>
      <c r="E71" s="15"/>
      <c r="F71" s="15">
        <f t="shared" si="0"/>
        <v>200000</v>
      </c>
      <c r="G71" s="15"/>
      <c r="H71" s="124">
        <f t="shared" si="1"/>
        <v>0</v>
      </c>
    </row>
    <row r="72" spans="1:8" ht="25.5">
      <c r="A72" s="13" t="s">
        <v>41</v>
      </c>
      <c r="B72" s="14" t="s">
        <v>42</v>
      </c>
      <c r="C72" s="15">
        <f t="shared" ref="C72:E72" si="39">SUM(C66:C71)</f>
        <v>240314</v>
      </c>
      <c r="D72" s="15">
        <f t="shared" si="39"/>
        <v>200000</v>
      </c>
      <c r="E72" s="15">
        <f t="shared" si="39"/>
        <v>0</v>
      </c>
      <c r="F72" s="15">
        <f t="shared" si="0"/>
        <v>200000</v>
      </c>
      <c r="G72" s="15">
        <f t="shared" ref="G72" si="40">SUM(G66:G71)</f>
        <v>0</v>
      </c>
      <c r="H72" s="124">
        <f t="shared" si="1"/>
        <v>0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8.25">
      <c r="A74" s="13" t="s">
        <v>45</v>
      </c>
      <c r="B74" s="14" t="s">
        <v>46</v>
      </c>
      <c r="C74" s="15">
        <v>16855</v>
      </c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>
        <v>181762</v>
      </c>
      <c r="D75" s="15">
        <v>100000</v>
      </c>
      <c r="E75" s="15"/>
      <c r="F75" s="15">
        <f t="shared" ref="F75:F140" si="41">SUM(D75:E75)</f>
        <v>100000</v>
      </c>
      <c r="G75" s="15"/>
      <c r="H75" s="124">
        <f t="shared" ref="H75:H140" si="42">G75/F75</f>
        <v>0</v>
      </c>
    </row>
    <row r="76" spans="1:8">
      <c r="A76" s="13" t="s">
        <v>49</v>
      </c>
      <c r="B76" s="14" t="s">
        <v>50</v>
      </c>
      <c r="C76" s="15">
        <f t="shared" ref="C76:E76" si="43">SUM(C73:C75)</f>
        <v>198617</v>
      </c>
      <c r="D76" s="15">
        <f t="shared" si="43"/>
        <v>100000</v>
      </c>
      <c r="E76" s="15">
        <f t="shared" si="43"/>
        <v>0</v>
      </c>
      <c r="F76" s="15">
        <f t="shared" si="41"/>
        <v>100000</v>
      </c>
      <c r="G76" s="15">
        <f t="shared" ref="G76" si="44">SUM(G73:G75)</f>
        <v>0</v>
      </c>
      <c r="H76" s="124">
        <f t="shared" si="42"/>
        <v>0</v>
      </c>
    </row>
    <row r="77" spans="1:8">
      <c r="A77" s="16" t="s">
        <v>51</v>
      </c>
      <c r="B77" s="17" t="s">
        <v>52</v>
      </c>
      <c r="C77" s="18">
        <f t="shared" ref="C77:E77" si="45">C72+C76</f>
        <v>438931</v>
      </c>
      <c r="D77" s="18">
        <f t="shared" si="45"/>
        <v>300000</v>
      </c>
      <c r="E77" s="18">
        <f t="shared" si="45"/>
        <v>0</v>
      </c>
      <c r="F77" s="18">
        <f t="shared" si="41"/>
        <v>300000</v>
      </c>
      <c r="G77" s="18">
        <f t="shared" ref="G77" si="46">G72+G76</f>
        <v>0</v>
      </c>
      <c r="H77" s="125">
        <f t="shared" si="42"/>
        <v>0</v>
      </c>
    </row>
    <row r="78" spans="1:8" ht="25.5">
      <c r="A78" s="16" t="s">
        <v>53</v>
      </c>
      <c r="B78" s="17" t="s">
        <v>54</v>
      </c>
      <c r="C78" s="18">
        <f t="shared" ref="C78:E78" si="47">SUM(C79:C82)</f>
        <v>159828</v>
      </c>
      <c r="D78" s="18">
        <f t="shared" si="47"/>
        <v>93000</v>
      </c>
      <c r="E78" s="18">
        <f t="shared" si="47"/>
        <v>0</v>
      </c>
      <c r="F78" s="18">
        <f t="shared" si="41"/>
        <v>93000</v>
      </c>
      <c r="G78" s="18">
        <f t="shared" ref="G78" si="48">SUM(G79:G82)</f>
        <v>0</v>
      </c>
      <c r="H78" s="125">
        <f t="shared" si="42"/>
        <v>0</v>
      </c>
    </row>
    <row r="79" spans="1:8">
      <c r="A79" s="13" t="s">
        <v>55</v>
      </c>
      <c r="B79" s="14" t="s">
        <v>56</v>
      </c>
      <c r="C79" s="15">
        <v>68983</v>
      </c>
      <c r="D79" s="15">
        <v>44000</v>
      </c>
      <c r="E79" s="15"/>
      <c r="F79" s="15">
        <f t="shared" si="41"/>
        <v>44000</v>
      </c>
      <c r="G79" s="15"/>
      <c r="H79" s="124">
        <f t="shared" si="42"/>
        <v>0</v>
      </c>
    </row>
    <row r="80" spans="1:8">
      <c r="A80" s="13" t="s">
        <v>57</v>
      </c>
      <c r="B80" s="14" t="s">
        <v>58</v>
      </c>
      <c r="C80" s="15">
        <v>58400</v>
      </c>
      <c r="D80" s="15">
        <v>31000</v>
      </c>
      <c r="E80" s="15"/>
      <c r="F80" s="15">
        <f t="shared" si="41"/>
        <v>31000</v>
      </c>
      <c r="G80" s="15"/>
      <c r="H80" s="124">
        <f t="shared" si="42"/>
        <v>0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5.5">
      <c r="A82" s="13" t="s">
        <v>61</v>
      </c>
      <c r="B82" s="14" t="s">
        <v>62</v>
      </c>
      <c r="C82" s="15">
        <v>32445</v>
      </c>
      <c r="D82" s="15">
        <v>18000</v>
      </c>
      <c r="E82" s="15"/>
      <c r="F82" s="15">
        <f t="shared" si="41"/>
        <v>18000</v>
      </c>
      <c r="G82" s="15"/>
      <c r="H82" s="124">
        <f t="shared" si="42"/>
        <v>0</v>
      </c>
    </row>
    <row r="83" spans="1:8">
      <c r="A83" s="13" t="s">
        <v>63</v>
      </c>
      <c r="B83" s="14" t="s">
        <v>64</v>
      </c>
      <c r="C83" s="15">
        <v>8622</v>
      </c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>
        <v>5732</v>
      </c>
      <c r="D84" s="15">
        <v>40000</v>
      </c>
      <c r="E84" s="15"/>
      <c r="F84" s="15">
        <f t="shared" si="41"/>
        <v>40000</v>
      </c>
      <c r="G84" s="15"/>
      <c r="H84" s="124">
        <f t="shared" si="42"/>
        <v>0</v>
      </c>
    </row>
    <row r="85" spans="1:8">
      <c r="A85" s="13" t="s">
        <v>67</v>
      </c>
      <c r="B85" s="14" t="s">
        <v>68</v>
      </c>
      <c r="C85" s="15">
        <f t="shared" ref="C85:E85" si="49">SUM(C83:C84)</f>
        <v>14354</v>
      </c>
      <c r="D85" s="15">
        <f t="shared" si="49"/>
        <v>40000</v>
      </c>
      <c r="E85" s="15">
        <f t="shared" si="49"/>
        <v>0</v>
      </c>
      <c r="F85" s="15">
        <f t="shared" si="41"/>
        <v>40000</v>
      </c>
      <c r="G85" s="15">
        <f t="shared" ref="G85" si="50">SUM(G83:G84)</f>
        <v>0</v>
      </c>
      <c r="H85" s="124">
        <f t="shared" si="42"/>
        <v>0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/>
      <c r="D89" s="15"/>
      <c r="E89" s="15"/>
      <c r="F89" s="15">
        <f t="shared" si="41"/>
        <v>0</v>
      </c>
      <c r="G89" s="15"/>
      <c r="H89" s="124" t="e">
        <f t="shared" si="42"/>
        <v>#DIV/0!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276</v>
      </c>
      <c r="B91" s="19" t="s">
        <v>277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5.5">
      <c r="A95" s="13" t="s">
        <v>85</v>
      </c>
      <c r="B95" s="14" t="s">
        <v>86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>
        <v>1880750</v>
      </c>
      <c r="D96" s="15">
        <v>1000000</v>
      </c>
      <c r="E96" s="15"/>
      <c r="F96" s="15">
        <f t="shared" si="41"/>
        <v>1000000</v>
      </c>
      <c r="G96" s="15"/>
      <c r="H96" s="124">
        <f t="shared" si="42"/>
        <v>0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5.5">
      <c r="A98" s="13" t="s">
        <v>91</v>
      </c>
      <c r="B98" s="14" t="s">
        <v>92</v>
      </c>
      <c r="C98" s="15">
        <f>C89+C90+C92+C93+C95+C96+C91</f>
        <v>1880750</v>
      </c>
      <c r="D98" s="15">
        <f t="shared" ref="D98:G98" si="53">D89+D90+D92+D93+D95+D96+D91</f>
        <v>1000000</v>
      </c>
      <c r="E98" s="15">
        <f t="shared" si="53"/>
        <v>0</v>
      </c>
      <c r="F98" s="15">
        <f t="shared" si="53"/>
        <v>1000000</v>
      </c>
      <c r="G98" s="15">
        <f t="shared" si="53"/>
        <v>0</v>
      </c>
      <c r="H98" s="124">
        <f t="shared" si="42"/>
        <v>0</v>
      </c>
    </row>
    <row r="99" spans="1:8">
      <c r="A99" s="13" t="s">
        <v>280</v>
      </c>
      <c r="B99" s="14" t="s">
        <v>281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5.5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5.5">
      <c r="A102" s="13" t="s">
        <v>97</v>
      </c>
      <c r="B102" s="14" t="s">
        <v>98</v>
      </c>
      <c r="C102" s="15">
        <v>463365</v>
      </c>
      <c r="D102" s="15">
        <v>270000</v>
      </c>
      <c r="E102" s="15"/>
      <c r="F102" s="15">
        <f t="shared" si="41"/>
        <v>270000</v>
      </c>
      <c r="G102" s="15"/>
      <c r="H102" s="124">
        <f t="shared" si="42"/>
        <v>0</v>
      </c>
    </row>
    <row r="103" spans="1:8" s="122" customFormat="1">
      <c r="A103" s="13">
        <v>52</v>
      </c>
      <c r="B103" s="14" t="s">
        <v>458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>
        <v>170257</v>
      </c>
      <c r="D104" s="15">
        <v>156000</v>
      </c>
      <c r="E104" s="15"/>
      <c r="F104" s="15">
        <f t="shared" si="41"/>
        <v>156000</v>
      </c>
      <c r="G104" s="15"/>
      <c r="H104" s="124">
        <f t="shared" si="42"/>
        <v>0</v>
      </c>
    </row>
    <row r="105" spans="1:8" ht="25.5">
      <c r="A105" s="13" t="s">
        <v>101</v>
      </c>
      <c r="B105" s="14" t="s">
        <v>102</v>
      </c>
      <c r="C105" s="15">
        <f t="shared" ref="C105:E105" si="55">SUM(C102:C104)</f>
        <v>633622</v>
      </c>
      <c r="D105" s="15">
        <f t="shared" si="55"/>
        <v>426000</v>
      </c>
      <c r="E105" s="15">
        <f t="shared" si="55"/>
        <v>0</v>
      </c>
      <c r="F105" s="15">
        <f t="shared" si="41"/>
        <v>426000</v>
      </c>
      <c r="G105" s="15">
        <f t="shared" ref="G105" si="56">SUM(G102:G104)</f>
        <v>0</v>
      </c>
      <c r="H105" s="124">
        <f t="shared" si="42"/>
        <v>0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2528726</v>
      </c>
      <c r="D106" s="18">
        <f t="shared" si="57"/>
        <v>1466000</v>
      </c>
      <c r="E106" s="18">
        <f t="shared" si="57"/>
        <v>0</v>
      </c>
      <c r="F106" s="18">
        <f t="shared" si="41"/>
        <v>1466000</v>
      </c>
      <c r="G106" s="18">
        <f t="shared" ref="G106" si="58">G85+G88+G98+G101+G105</f>
        <v>0</v>
      </c>
      <c r="H106" s="125">
        <f t="shared" si="42"/>
        <v>0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5.5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5.5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5.5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8.25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5.5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5.5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5.5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5.5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5.5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5.5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5.5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275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8.25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466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5.5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5.5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5.5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5.5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5.5">
      <c r="A135" s="16" t="s">
        <v>157</v>
      </c>
      <c r="B135" s="17" t="s">
        <v>158</v>
      </c>
      <c r="C135" s="18">
        <f t="shared" ref="C135:E135" si="74">C77+C78+C106+C113+C124+C130+C134</f>
        <v>3127485</v>
      </c>
      <c r="D135" s="18">
        <f t="shared" si="74"/>
        <v>1859000</v>
      </c>
      <c r="E135" s="18">
        <f t="shared" si="74"/>
        <v>0</v>
      </c>
      <c r="F135" s="18">
        <f t="shared" si="41"/>
        <v>1859000</v>
      </c>
      <c r="G135" s="18">
        <f t="shared" ref="G135" si="75">G77+G78+G106+G113+G124+G130+G134</f>
        <v>0</v>
      </c>
      <c r="H135" s="125">
        <f t="shared" si="42"/>
        <v>0</v>
      </c>
    </row>
    <row r="136" spans="1:8" ht="25.5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5.5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5.5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5.5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3127485</v>
      </c>
      <c r="D140" s="18">
        <f t="shared" si="80"/>
        <v>1859000</v>
      </c>
      <c r="E140" s="18">
        <f t="shared" si="80"/>
        <v>0</v>
      </c>
      <c r="F140" s="18">
        <f t="shared" si="41"/>
        <v>1859000</v>
      </c>
      <c r="G140" s="18">
        <f t="shared" ref="G140" si="81">G135+G139</f>
        <v>0</v>
      </c>
      <c r="H140" s="125">
        <f t="shared" si="42"/>
        <v>0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40"/>
  <sheetViews>
    <sheetView view="pageBreakPreview" zoomScale="70" zoomScaleNormal="100" zoomScaleSheetLayoutView="70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9.5546875" customWidth="1"/>
    <col min="6" max="6" width="10.44140625" customWidth="1"/>
    <col min="8" max="8" width="11.77734375" style="126" customWidth="1"/>
  </cols>
  <sheetData>
    <row r="1" spans="1:8">
      <c r="A1" s="140" t="s">
        <v>431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10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181000</v>
      </c>
      <c r="D6" s="15">
        <v>209000</v>
      </c>
      <c r="E6" s="15">
        <v>0</v>
      </c>
      <c r="F6" s="15">
        <f>SUM(D6:E6)</f>
        <v>209000</v>
      </c>
      <c r="G6" s="15">
        <v>108680</v>
      </c>
      <c r="H6" s="124">
        <f>G6/F6</f>
        <v>0.52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8.25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5.5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 t="shared" ref="C12:E12" si="2">SUM(C6:C11)</f>
        <v>181000</v>
      </c>
      <c r="D12" s="15">
        <f t="shared" si="2"/>
        <v>209000</v>
      </c>
      <c r="E12" s="15">
        <f t="shared" si="2"/>
        <v>0</v>
      </c>
      <c r="F12" s="15">
        <f t="shared" si="0"/>
        <v>209000</v>
      </c>
      <c r="G12" s="15">
        <f t="shared" ref="G12" si="3">SUM(G6:G11)</f>
        <v>108680</v>
      </c>
      <c r="H12" s="124">
        <f t="shared" si="1"/>
        <v>0.52</v>
      </c>
    </row>
    <row r="13" spans="1:8" ht="25.5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 t="shared" ref="C20:G20" si="6">C12+C13</f>
        <v>181000</v>
      </c>
      <c r="D20" s="18">
        <f t="shared" si="6"/>
        <v>209000</v>
      </c>
      <c r="E20" s="18">
        <f t="shared" si="6"/>
        <v>0</v>
      </c>
      <c r="F20" s="18">
        <f t="shared" si="0"/>
        <v>209000</v>
      </c>
      <c r="G20" s="18">
        <f t="shared" si="6"/>
        <v>108680</v>
      </c>
      <c r="H20" s="125">
        <f t="shared" si="1"/>
        <v>0.52</v>
      </c>
    </row>
    <row r="21" spans="1:8" ht="25.5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>
        <v>0</v>
      </c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>
        <v>0</v>
      </c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8.25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5.5">
      <c r="A49" s="16">
        <v>231</v>
      </c>
      <c r="B49" s="17" t="s">
        <v>460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8.25">
      <c r="A50" s="20">
        <v>232</v>
      </c>
      <c r="B50" s="19" t="s">
        <v>459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5.5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5.5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5.5">
      <c r="A56" s="16" t="s">
        <v>253</v>
      </c>
      <c r="B56" s="17" t="s">
        <v>254</v>
      </c>
      <c r="C56" s="18">
        <f t="shared" ref="C56:E56" si="30">C55+C46+C48+C36+C20+C22</f>
        <v>181000</v>
      </c>
      <c r="D56" s="18">
        <f t="shared" si="30"/>
        <v>209000</v>
      </c>
      <c r="E56" s="18">
        <f t="shared" si="30"/>
        <v>0</v>
      </c>
      <c r="F56" s="18">
        <f t="shared" si="0"/>
        <v>209000</v>
      </c>
      <c r="G56" s="18">
        <f t="shared" ref="G56" si="31">G55+G46+G48+G36+G20+G22</f>
        <v>108680</v>
      </c>
      <c r="H56" s="125">
        <f t="shared" si="1"/>
        <v>0.52</v>
      </c>
    </row>
    <row r="57" spans="1:8" ht="25.5">
      <c r="A57" s="13" t="s">
        <v>255</v>
      </c>
      <c r="B57" s="14" t="s">
        <v>256</v>
      </c>
      <c r="C57" s="15"/>
      <c r="D57" s="15">
        <v>0</v>
      </c>
      <c r="E57" s="15">
        <v>0</v>
      </c>
      <c r="F57" s="15">
        <f t="shared" si="0"/>
        <v>0</v>
      </c>
      <c r="G57" s="15">
        <v>0</v>
      </c>
      <c r="H57" s="124" t="e">
        <f t="shared" si="1"/>
        <v>#DIV/0!</v>
      </c>
    </row>
    <row r="58" spans="1:8">
      <c r="A58" s="13" t="s">
        <v>163</v>
      </c>
      <c r="B58" s="14" t="s">
        <v>257</v>
      </c>
      <c r="C58" s="15">
        <f t="shared" ref="C58:E58" si="32">SUM(C57)</f>
        <v>0</v>
      </c>
      <c r="D58" s="15">
        <f t="shared" si="32"/>
        <v>0</v>
      </c>
      <c r="E58" s="15">
        <f t="shared" si="32"/>
        <v>0</v>
      </c>
      <c r="F58" s="15">
        <f t="shared" si="0"/>
        <v>0</v>
      </c>
      <c r="G58" s="15">
        <f t="shared" ref="G58" si="33">SUM(G57)</f>
        <v>0</v>
      </c>
      <c r="H58" s="124" t="e">
        <f t="shared" si="1"/>
        <v>#DIV/0!</v>
      </c>
    </row>
    <row r="59" spans="1:8">
      <c r="A59" s="13" t="s">
        <v>258</v>
      </c>
      <c r="B59" s="14" t="s">
        <v>259</v>
      </c>
      <c r="C59" s="15"/>
      <c r="D59" s="15">
        <v>0</v>
      </c>
      <c r="E59" s="15">
        <v>0</v>
      </c>
      <c r="F59" s="15">
        <f t="shared" si="0"/>
        <v>0</v>
      </c>
      <c r="G59" s="15">
        <v>0</v>
      </c>
      <c r="H59" s="124" t="e">
        <f t="shared" si="1"/>
        <v>#DIV/0!</v>
      </c>
    </row>
    <row r="60" spans="1:8">
      <c r="A60" s="13">
        <v>300</v>
      </c>
      <c r="B60" s="19" t="s">
        <v>412</v>
      </c>
      <c r="C60" s="15"/>
      <c r="D60" s="15"/>
      <c r="E60" s="15"/>
      <c r="F60" s="15"/>
      <c r="G60" s="15"/>
      <c r="H60" s="124"/>
    </row>
    <row r="61" spans="1:8" ht="25.5">
      <c r="A61" s="13" t="s">
        <v>260</v>
      </c>
      <c r="B61" s="14" t="s">
        <v>261</v>
      </c>
      <c r="C61" s="15">
        <f>SUM(C58:C60)</f>
        <v>0</v>
      </c>
      <c r="D61" s="15">
        <f t="shared" ref="D61:E61" si="34">SUM(D58:D60)</f>
        <v>0</v>
      </c>
      <c r="E61" s="15">
        <f t="shared" si="34"/>
        <v>0</v>
      </c>
      <c r="F61" s="15">
        <f t="shared" si="0"/>
        <v>0</v>
      </c>
      <c r="G61" s="15">
        <f>SUM(G58:G60)</f>
        <v>0</v>
      </c>
      <c r="H61" s="124" t="e">
        <f t="shared" si="1"/>
        <v>#DIV/0!</v>
      </c>
    </row>
    <row r="62" spans="1:8" ht="25.5">
      <c r="A62" s="16" t="s">
        <v>262</v>
      </c>
      <c r="B62" s="17" t="s">
        <v>263</v>
      </c>
      <c r="C62" s="18">
        <f t="shared" ref="C62:E62" si="35">SUM(C61)</f>
        <v>0</v>
      </c>
      <c r="D62" s="18">
        <f t="shared" si="35"/>
        <v>0</v>
      </c>
      <c r="E62" s="18">
        <f t="shared" si="35"/>
        <v>0</v>
      </c>
      <c r="F62" s="18">
        <f t="shared" si="0"/>
        <v>0</v>
      </c>
      <c r="G62" s="18">
        <f t="shared" ref="G62" si="36">SUM(G61)</f>
        <v>0</v>
      </c>
      <c r="H62" s="125" t="e">
        <f t="shared" si="1"/>
        <v>#DIV/0!</v>
      </c>
    </row>
    <row r="63" spans="1:8">
      <c r="A63" s="16" t="s">
        <v>264</v>
      </c>
      <c r="B63" s="17" t="s">
        <v>265</v>
      </c>
      <c r="C63" s="18">
        <f t="shared" ref="C63:E63" si="37">C56+C62</f>
        <v>181000</v>
      </c>
      <c r="D63" s="18">
        <f t="shared" si="37"/>
        <v>209000</v>
      </c>
      <c r="E63" s="18">
        <f t="shared" si="37"/>
        <v>0</v>
      </c>
      <c r="F63" s="18">
        <f t="shared" si="0"/>
        <v>209000</v>
      </c>
      <c r="G63" s="18">
        <f t="shared" ref="G63" si="38">G56+G62</f>
        <v>108680</v>
      </c>
      <c r="H63" s="125">
        <f t="shared" si="1"/>
        <v>0.52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457</v>
      </c>
      <c r="G65" s="12" t="s">
        <v>273</v>
      </c>
      <c r="H65" s="123" t="s">
        <v>274</v>
      </c>
    </row>
    <row r="66" spans="1:8" ht="25.5">
      <c r="A66" s="13" t="s">
        <v>31</v>
      </c>
      <c r="B66" s="14" t="s">
        <v>32</v>
      </c>
      <c r="C66" s="15"/>
      <c r="D66" s="15"/>
      <c r="E66" s="15"/>
      <c r="F66" s="15">
        <f t="shared" si="0"/>
        <v>0</v>
      </c>
      <c r="G66" s="15"/>
      <c r="H66" s="124" t="e">
        <f t="shared" si="1"/>
        <v>#DIV/0!</v>
      </c>
    </row>
    <row r="67" spans="1:8" ht="25.5">
      <c r="A67" s="21" t="s">
        <v>178</v>
      </c>
      <c r="B67" s="14" t="s">
        <v>282</v>
      </c>
      <c r="C67" s="15"/>
      <c r="D67" s="15"/>
      <c r="E67" s="15"/>
      <c r="F67" s="15"/>
      <c r="G67" s="15"/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5.5">
      <c r="A71" s="13" t="s">
        <v>39</v>
      </c>
      <c r="B71" s="14" t="s">
        <v>40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5.5">
      <c r="A72" s="13" t="s">
        <v>41</v>
      </c>
      <c r="B72" s="14" t="s">
        <v>42</v>
      </c>
      <c r="C72" s="15">
        <f t="shared" ref="C72:E72" si="39">SUM(C66:C71)</f>
        <v>0</v>
      </c>
      <c r="D72" s="15">
        <f t="shared" si="39"/>
        <v>0</v>
      </c>
      <c r="E72" s="15">
        <f t="shared" si="39"/>
        <v>0</v>
      </c>
      <c r="F72" s="15">
        <f t="shared" si="0"/>
        <v>0</v>
      </c>
      <c r="G72" s="15">
        <f t="shared" ref="G72" si="40">SUM(G66:G71)</f>
        <v>0</v>
      </c>
      <c r="H72" s="124" t="e">
        <f t="shared" si="1"/>
        <v>#DIV/0!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8.25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0</v>
      </c>
      <c r="D77" s="18">
        <f t="shared" si="45"/>
        <v>0</v>
      </c>
      <c r="E77" s="18">
        <f t="shared" si="45"/>
        <v>0</v>
      </c>
      <c r="F77" s="18">
        <f t="shared" si="41"/>
        <v>0</v>
      </c>
      <c r="G77" s="18">
        <f t="shared" ref="G77" si="46">G72+G76</f>
        <v>0</v>
      </c>
      <c r="H77" s="125" t="e">
        <f t="shared" si="42"/>
        <v>#DIV/0!</v>
      </c>
    </row>
    <row r="78" spans="1:8" ht="25.5">
      <c r="A78" s="16" t="s">
        <v>53</v>
      </c>
      <c r="B78" s="17" t="s">
        <v>54</v>
      </c>
      <c r="C78" s="18">
        <f t="shared" ref="C78:E78" si="47">SUM(C79:C82)</f>
        <v>0</v>
      </c>
      <c r="D78" s="18">
        <f t="shared" si="47"/>
        <v>0</v>
      </c>
      <c r="E78" s="18">
        <f t="shared" si="47"/>
        <v>0</v>
      </c>
      <c r="F78" s="18">
        <f t="shared" si="41"/>
        <v>0</v>
      </c>
      <c r="G78" s="18">
        <f t="shared" ref="G78" si="48">SUM(G79:G82)</f>
        <v>0</v>
      </c>
      <c r="H78" s="125" t="e">
        <f t="shared" si="42"/>
        <v>#DIV/0!</v>
      </c>
    </row>
    <row r="79" spans="1:8">
      <c r="A79" s="13" t="s">
        <v>55</v>
      </c>
      <c r="B79" s="14" t="s">
        <v>56</v>
      </c>
      <c r="C79" s="15"/>
      <c r="D79" s="15"/>
      <c r="E79" s="15"/>
      <c r="F79" s="15">
        <f t="shared" si="41"/>
        <v>0</v>
      </c>
      <c r="G79" s="15"/>
      <c r="H79" s="124" t="e">
        <f t="shared" si="42"/>
        <v>#DIV/0!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 ht="25.5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>
        <v>31400</v>
      </c>
      <c r="D84" s="15">
        <v>50000</v>
      </c>
      <c r="E84" s="15">
        <v>-5000</v>
      </c>
      <c r="F84" s="15">
        <f t="shared" si="41"/>
        <v>45000</v>
      </c>
      <c r="G84" s="15"/>
      <c r="H84" s="124">
        <f t="shared" si="42"/>
        <v>0</v>
      </c>
    </row>
    <row r="85" spans="1:8">
      <c r="A85" s="13" t="s">
        <v>67</v>
      </c>
      <c r="B85" s="14" t="s">
        <v>68</v>
      </c>
      <c r="C85" s="15">
        <f t="shared" ref="C85:E85" si="49">SUM(C83:C84)</f>
        <v>31400</v>
      </c>
      <c r="D85" s="15">
        <f t="shared" si="49"/>
        <v>50000</v>
      </c>
      <c r="E85" s="15">
        <f t="shared" si="49"/>
        <v>-5000</v>
      </c>
      <c r="F85" s="15">
        <f t="shared" si="41"/>
        <v>45000</v>
      </c>
      <c r="G85" s="15">
        <f t="shared" ref="G85" si="50">SUM(G83:G84)</f>
        <v>0</v>
      </c>
      <c r="H85" s="124">
        <f t="shared" si="42"/>
        <v>0</v>
      </c>
    </row>
    <row r="86" spans="1:8">
      <c r="A86" s="13" t="s">
        <v>69</v>
      </c>
      <c r="B86" s="14" t="s">
        <v>70</v>
      </c>
      <c r="C86" s="15">
        <v>93080</v>
      </c>
      <c r="D86" s="15">
        <v>95000</v>
      </c>
      <c r="E86" s="15"/>
      <c r="F86" s="15">
        <f t="shared" si="41"/>
        <v>95000</v>
      </c>
      <c r="G86" s="15">
        <v>45540</v>
      </c>
      <c r="H86" s="124">
        <f t="shared" si="42"/>
        <v>0.47936842105263155</v>
      </c>
    </row>
    <row r="87" spans="1:8">
      <c r="A87" s="13" t="s">
        <v>71</v>
      </c>
      <c r="B87" s="14" t="s">
        <v>72</v>
      </c>
      <c r="C87" s="15">
        <v>6971</v>
      </c>
      <c r="D87" s="15">
        <v>5000</v>
      </c>
      <c r="E87" s="15">
        <v>5000</v>
      </c>
      <c r="F87" s="15">
        <f t="shared" si="41"/>
        <v>10000</v>
      </c>
      <c r="G87" s="15">
        <v>5941</v>
      </c>
      <c r="H87" s="124">
        <f t="shared" si="42"/>
        <v>0.59409999999999996</v>
      </c>
    </row>
    <row r="88" spans="1:8">
      <c r="A88" s="13" t="s">
        <v>73</v>
      </c>
      <c r="B88" s="14" t="s">
        <v>74</v>
      </c>
      <c r="C88" s="15">
        <f t="shared" ref="C88:E88" si="51">SUM(C86:C87)</f>
        <v>100051</v>
      </c>
      <c r="D88" s="15">
        <f t="shared" si="51"/>
        <v>100000</v>
      </c>
      <c r="E88" s="15">
        <f t="shared" si="51"/>
        <v>5000</v>
      </c>
      <c r="F88" s="15">
        <f t="shared" si="41"/>
        <v>105000</v>
      </c>
      <c r="G88" s="15">
        <f t="shared" ref="G88" si="52">SUM(G86:G87)</f>
        <v>51481</v>
      </c>
      <c r="H88" s="124">
        <f t="shared" si="42"/>
        <v>0.49029523809523812</v>
      </c>
    </row>
    <row r="89" spans="1:8">
      <c r="A89" s="13" t="s">
        <v>75</v>
      </c>
      <c r="B89" s="14" t="s">
        <v>76</v>
      </c>
      <c r="C89" s="15">
        <v>6266</v>
      </c>
      <c r="D89" s="15">
        <v>10000</v>
      </c>
      <c r="E89" s="15"/>
      <c r="F89" s="15">
        <f t="shared" si="41"/>
        <v>10000</v>
      </c>
      <c r="G89" s="15">
        <v>2750</v>
      </c>
      <c r="H89" s="124">
        <f t="shared" si="42"/>
        <v>0.27500000000000002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276</v>
      </c>
      <c r="B91" s="19" t="s">
        <v>277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5.5">
      <c r="A95" s="13" t="s">
        <v>85</v>
      </c>
      <c r="B95" s="14" t="s">
        <v>86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>
        <v>6765</v>
      </c>
      <c r="D96" s="15">
        <v>10000</v>
      </c>
      <c r="E96" s="15"/>
      <c r="F96" s="15">
        <f t="shared" si="41"/>
        <v>10000</v>
      </c>
      <c r="G96" s="15"/>
      <c r="H96" s="124">
        <f t="shared" si="42"/>
        <v>0</v>
      </c>
    </row>
    <row r="97" spans="1:8">
      <c r="A97" s="13" t="s">
        <v>89</v>
      </c>
      <c r="B97" s="14" t="s">
        <v>90</v>
      </c>
      <c r="C97" s="15">
        <v>6765</v>
      </c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5.5">
      <c r="A98" s="13" t="s">
        <v>91</v>
      </c>
      <c r="B98" s="14" t="s">
        <v>92</v>
      </c>
      <c r="C98" s="15">
        <f>C89+C90+C92+C93+C95+C96+C91</f>
        <v>13031</v>
      </c>
      <c r="D98" s="15">
        <f t="shared" ref="D98:G98" si="53">D89+D90+D92+D93+D95+D96+D91</f>
        <v>20000</v>
      </c>
      <c r="E98" s="15">
        <f t="shared" si="53"/>
        <v>0</v>
      </c>
      <c r="F98" s="15">
        <f t="shared" si="53"/>
        <v>20000</v>
      </c>
      <c r="G98" s="15">
        <f t="shared" si="53"/>
        <v>2750</v>
      </c>
      <c r="H98" s="124">
        <f t="shared" si="42"/>
        <v>0.13750000000000001</v>
      </c>
    </row>
    <row r="99" spans="1:8">
      <c r="A99" s="13" t="s">
        <v>280</v>
      </c>
      <c r="B99" s="14" t="s">
        <v>281</v>
      </c>
      <c r="C99" s="15"/>
      <c r="D99" s="15"/>
      <c r="E99" s="15"/>
      <c r="F99" s="15"/>
      <c r="G99" s="15"/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5.5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0</v>
      </c>
      <c r="F101" s="15">
        <f t="shared" si="54"/>
        <v>0</v>
      </c>
      <c r="G101" s="15">
        <f t="shared" si="54"/>
        <v>0</v>
      </c>
      <c r="H101" s="124" t="e">
        <f t="shared" si="42"/>
        <v>#DIV/0!</v>
      </c>
    </row>
    <row r="102" spans="1:8" ht="25.5">
      <c r="A102" s="13" t="s">
        <v>97</v>
      </c>
      <c r="B102" s="14" t="s">
        <v>98</v>
      </c>
      <c r="C102" s="15">
        <v>37038</v>
      </c>
      <c r="D102" s="15">
        <v>39000</v>
      </c>
      <c r="E102" s="15"/>
      <c r="F102" s="15">
        <f t="shared" si="41"/>
        <v>39000</v>
      </c>
      <c r="G102" s="15">
        <v>11158</v>
      </c>
      <c r="H102" s="124">
        <f t="shared" si="42"/>
        <v>0.28610256410256413</v>
      </c>
    </row>
    <row r="103" spans="1:8" s="122" customFormat="1">
      <c r="A103" s="13">
        <v>52</v>
      </c>
      <c r="B103" s="14" t="s">
        <v>458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5.5">
      <c r="A105" s="13" t="s">
        <v>101</v>
      </c>
      <c r="B105" s="14" t="s">
        <v>102</v>
      </c>
      <c r="C105" s="15">
        <f t="shared" ref="C105:E105" si="55">SUM(C102:C104)</f>
        <v>37038</v>
      </c>
      <c r="D105" s="15">
        <f t="shared" si="55"/>
        <v>39000</v>
      </c>
      <c r="E105" s="15">
        <f t="shared" si="55"/>
        <v>0</v>
      </c>
      <c r="F105" s="15">
        <f t="shared" si="41"/>
        <v>39000</v>
      </c>
      <c r="G105" s="15">
        <f t="shared" ref="G105" si="56">SUM(G102:G104)</f>
        <v>11158</v>
      </c>
      <c r="H105" s="124">
        <f t="shared" si="42"/>
        <v>0.28610256410256413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181520</v>
      </c>
      <c r="D106" s="18">
        <f t="shared" si="57"/>
        <v>209000</v>
      </c>
      <c r="E106" s="18">
        <f t="shared" si="57"/>
        <v>0</v>
      </c>
      <c r="F106" s="18">
        <f t="shared" si="41"/>
        <v>209000</v>
      </c>
      <c r="G106" s="18">
        <f t="shared" ref="G106" si="58">G85+G88+G98+G101+G105</f>
        <v>65389</v>
      </c>
      <c r="H106" s="125">
        <f t="shared" si="42"/>
        <v>0.31286602870813396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5.5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5.5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5.5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8.25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5.5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5.5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5.5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5.5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5.5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5.5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5.5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275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8.25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466</v>
      </c>
      <c r="C125" s="18"/>
      <c r="D125" s="18"/>
      <c r="E125" s="18"/>
      <c r="F125" s="15">
        <f t="shared" si="41"/>
        <v>0</v>
      </c>
      <c r="G125" s="18"/>
      <c r="H125" s="124" t="e">
        <f t="shared" si="42"/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5.5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5.5">
      <c r="A128" s="13" t="s">
        <v>143</v>
      </c>
      <c r="B128" s="14" t="s">
        <v>144</v>
      </c>
      <c r="C128" s="15"/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5.5">
      <c r="A129" s="13" t="s">
        <v>145</v>
      </c>
      <c r="B129" s="14" t="s">
        <v>146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0</v>
      </c>
      <c r="D130" s="18">
        <f t="shared" ref="D130:G130" si="71">SUM(D125:D129)</f>
        <v>0</v>
      </c>
      <c r="E130" s="18">
        <f t="shared" si="71"/>
        <v>0</v>
      </c>
      <c r="F130" s="18">
        <f t="shared" si="71"/>
        <v>0</v>
      </c>
      <c r="G130" s="18">
        <f t="shared" si="71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5.5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2">SUM(C131:C133)</f>
        <v>0</v>
      </c>
      <c r="D134" s="18">
        <f t="shared" si="72"/>
        <v>0</v>
      </c>
      <c r="E134" s="18">
        <f t="shared" si="72"/>
        <v>0</v>
      </c>
      <c r="F134" s="18">
        <f t="shared" si="41"/>
        <v>0</v>
      </c>
      <c r="G134" s="18">
        <f t="shared" ref="G134" si="73">SUM(G131:G133)</f>
        <v>0</v>
      </c>
      <c r="H134" s="125" t="e">
        <f t="shared" si="42"/>
        <v>#DIV/0!</v>
      </c>
    </row>
    <row r="135" spans="1:8" ht="25.5">
      <c r="A135" s="16" t="s">
        <v>157</v>
      </c>
      <c r="B135" s="17" t="s">
        <v>158</v>
      </c>
      <c r="C135" s="18">
        <f t="shared" ref="C135:E135" si="74">C77+C78+C106+C113+C124+C130+C134</f>
        <v>181520</v>
      </c>
      <c r="D135" s="18">
        <f t="shared" si="74"/>
        <v>209000</v>
      </c>
      <c r="E135" s="18">
        <f t="shared" si="74"/>
        <v>0</v>
      </c>
      <c r="F135" s="18">
        <f t="shared" si="41"/>
        <v>209000</v>
      </c>
      <c r="G135" s="18">
        <f t="shared" ref="G135" si="75">G77+G78+G106+G113+G124+G130+G134</f>
        <v>65389</v>
      </c>
      <c r="H135" s="125">
        <f t="shared" si="42"/>
        <v>0.31286602870813396</v>
      </c>
    </row>
    <row r="136" spans="1:8" ht="25.5">
      <c r="A136" s="13" t="s">
        <v>159</v>
      </c>
      <c r="B136" s="14" t="s">
        <v>160</v>
      </c>
      <c r="C136" s="15">
        <v>0</v>
      </c>
      <c r="D136" s="15">
        <v>0</v>
      </c>
      <c r="E136" s="15">
        <v>0</v>
      </c>
      <c r="F136" s="15">
        <f t="shared" si="41"/>
        <v>0</v>
      </c>
      <c r="G136" s="15">
        <v>0</v>
      </c>
      <c r="H136" s="124" t="e">
        <f t="shared" si="42"/>
        <v>#DIV/0!</v>
      </c>
    </row>
    <row r="137" spans="1:8" ht="25.5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5.5">
      <c r="A138" s="13" t="s">
        <v>163</v>
      </c>
      <c r="B138" s="14" t="s">
        <v>164</v>
      </c>
      <c r="C138" s="15">
        <f t="shared" ref="C138:E138" si="76">SUM(C136:C137)</f>
        <v>0</v>
      </c>
      <c r="D138" s="15">
        <f t="shared" si="76"/>
        <v>0</v>
      </c>
      <c r="E138" s="15">
        <f t="shared" si="76"/>
        <v>0</v>
      </c>
      <c r="F138" s="15">
        <f t="shared" si="41"/>
        <v>0</v>
      </c>
      <c r="G138" s="15">
        <f t="shared" ref="G138" si="77">SUM(G136:G137)</f>
        <v>0</v>
      </c>
      <c r="H138" s="124" t="e">
        <f t="shared" si="42"/>
        <v>#DIV/0!</v>
      </c>
    </row>
    <row r="139" spans="1:8" ht="25.5">
      <c r="A139" s="16" t="s">
        <v>165</v>
      </c>
      <c r="B139" s="17" t="s">
        <v>166</v>
      </c>
      <c r="C139" s="18">
        <f t="shared" ref="C139:E139" si="78">SUM(C138)</f>
        <v>0</v>
      </c>
      <c r="D139" s="18">
        <f t="shared" si="78"/>
        <v>0</v>
      </c>
      <c r="E139" s="18">
        <f t="shared" si="78"/>
        <v>0</v>
      </c>
      <c r="F139" s="18">
        <f t="shared" si="41"/>
        <v>0</v>
      </c>
      <c r="G139" s="18">
        <f t="shared" ref="G139" si="79">SUM(G138)</f>
        <v>0</v>
      </c>
      <c r="H139" s="125" t="e">
        <f t="shared" si="42"/>
        <v>#DIV/0!</v>
      </c>
    </row>
    <row r="140" spans="1:8">
      <c r="A140" s="16" t="s">
        <v>167</v>
      </c>
      <c r="B140" s="17" t="s">
        <v>168</v>
      </c>
      <c r="C140" s="18">
        <f t="shared" ref="C140:E140" si="80">C135+C139</f>
        <v>181520</v>
      </c>
      <c r="D140" s="18">
        <f t="shared" si="80"/>
        <v>209000</v>
      </c>
      <c r="E140" s="18">
        <f t="shared" si="80"/>
        <v>0</v>
      </c>
      <c r="F140" s="18">
        <f t="shared" si="41"/>
        <v>209000</v>
      </c>
      <c r="G140" s="18">
        <f t="shared" ref="G140" si="81">G135+G139</f>
        <v>65389</v>
      </c>
      <c r="H140" s="125">
        <f t="shared" si="42"/>
        <v>0.31286602870813396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40"/>
  <sheetViews>
    <sheetView view="pageBreakPreview" topLeftCell="A124" zoomScale="85" zoomScaleNormal="100" zoomScaleSheetLayoutView="85" workbookViewId="0">
      <selection activeCell="M17" sqref="M17"/>
    </sheetView>
  </sheetViews>
  <sheetFormatPr defaultRowHeight="15"/>
  <cols>
    <col min="2" max="2" width="33.21875" customWidth="1"/>
    <col min="3" max="3" width="20.6640625" customWidth="1"/>
    <col min="4" max="4" width="9.88671875" customWidth="1"/>
    <col min="6" max="6" width="10.77734375" customWidth="1"/>
    <col min="8" max="8" width="12.33203125" style="126" customWidth="1"/>
  </cols>
  <sheetData>
    <row r="1" spans="1:8">
      <c r="A1" s="140" t="s">
        <v>432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11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0</v>
      </c>
      <c r="D6" s="15">
        <v>0</v>
      </c>
      <c r="E6" s="15">
        <v>0</v>
      </c>
      <c r="F6" s="15">
        <f>SUM(D6:E6)</f>
        <v>0</v>
      </c>
      <c r="G6" s="15">
        <v>0</v>
      </c>
      <c r="H6" s="124" t="e">
        <f>G6/F6</f>
        <v>#DIV/0!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4" si="0">SUM(D7:E7)</f>
        <v>0</v>
      </c>
      <c r="G7" s="15">
        <v>0</v>
      </c>
      <c r="H7" s="124" t="e">
        <f t="shared" ref="H7:H74" si="1">G7/F7</f>
        <v>#DIV/0!</v>
      </c>
    </row>
    <row r="8" spans="1:8" ht="38.25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5.5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 t="shared" ref="C12:E12" si="2">SUM(C6:C11)</f>
        <v>0</v>
      </c>
      <c r="D12" s="15">
        <f t="shared" si="2"/>
        <v>0</v>
      </c>
      <c r="E12" s="15">
        <f t="shared" si="2"/>
        <v>0</v>
      </c>
      <c r="F12" s="15">
        <f t="shared" si="0"/>
        <v>0</v>
      </c>
      <c r="G12" s="15">
        <f t="shared" ref="G12" si="3">SUM(G6:G11)</f>
        <v>0</v>
      </c>
      <c r="H12" s="124" t="e">
        <f t="shared" si="1"/>
        <v>#DIV/0!</v>
      </c>
    </row>
    <row r="13" spans="1:8" ht="25.5">
      <c r="A13" s="13" t="s">
        <v>67</v>
      </c>
      <c r="B13" s="14" t="s">
        <v>185</v>
      </c>
      <c r="C13" s="15">
        <f t="shared" ref="C13:E13" si="4">SUM(C14:C19)</f>
        <v>29502923</v>
      </c>
      <c r="D13" s="15">
        <f t="shared" si="4"/>
        <v>5865000</v>
      </c>
      <c r="E13" s="15">
        <f t="shared" si="4"/>
        <v>0</v>
      </c>
      <c r="F13" s="15">
        <f t="shared" si="0"/>
        <v>5865000</v>
      </c>
      <c r="G13" s="15">
        <f t="shared" ref="G13" si="5">SUM(G14:G19)</f>
        <v>6627919</v>
      </c>
      <c r="H13" s="124">
        <f t="shared" si="1"/>
        <v>1.1300799658994032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>
        <v>29502923</v>
      </c>
      <c r="D18" s="15">
        <v>5865000</v>
      </c>
      <c r="E18" s="15"/>
      <c r="F18" s="15">
        <f t="shared" si="0"/>
        <v>5865000</v>
      </c>
      <c r="G18" s="15">
        <v>6627919</v>
      </c>
      <c r="H18" s="124">
        <f t="shared" si="1"/>
        <v>1.1300799658994032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 t="shared" ref="C20:G20" si="6">C12+C13</f>
        <v>29502923</v>
      </c>
      <c r="D20" s="18">
        <f t="shared" si="6"/>
        <v>5865000</v>
      </c>
      <c r="E20" s="18">
        <f t="shared" si="6"/>
        <v>0</v>
      </c>
      <c r="F20" s="18">
        <f t="shared" si="0"/>
        <v>5865000</v>
      </c>
      <c r="G20" s="18">
        <f t="shared" si="6"/>
        <v>6627919</v>
      </c>
      <c r="H20" s="125">
        <f t="shared" si="1"/>
        <v>1.1300799658994032</v>
      </c>
    </row>
    <row r="21" spans="1:8" ht="25.5">
      <c r="A21" s="13" t="s">
        <v>87</v>
      </c>
      <c r="B21" s="14" t="s">
        <v>194</v>
      </c>
      <c r="C21" s="15"/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 t="shared" ref="C22:E22" si="7">SUM(C21)</f>
        <v>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>
        <v>0</v>
      </c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>
        <v>0</v>
      </c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>
        <v>0</v>
      </c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>
        <v>0</v>
      </c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>
        <v>0</v>
      </c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5.5">
      <c r="A43" s="13" t="s">
        <v>155</v>
      </c>
      <c r="B43" s="14" t="s">
        <v>232</v>
      </c>
      <c r="C43" s="15">
        <v>2430</v>
      </c>
      <c r="D43" s="15"/>
      <c r="E43" s="15"/>
      <c r="F43" s="15">
        <f t="shared" si="0"/>
        <v>0</v>
      </c>
      <c r="G43" s="15">
        <v>33</v>
      </c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>
        <f t="shared" ref="C44:E44" si="20">SUM(C43)</f>
        <v>2430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33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8.25">
      <c r="A46" s="16" t="s">
        <v>237</v>
      </c>
      <c r="B46" s="17" t="s">
        <v>238</v>
      </c>
      <c r="C46" s="18">
        <f t="shared" ref="C46:E46" si="22">C37+C38+C39+C40+C41+C42+C44+C45</f>
        <v>2430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33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5.5">
      <c r="A49" s="16">
        <v>231</v>
      </c>
      <c r="B49" s="17" t="s">
        <v>460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8.25">
      <c r="A50" s="20">
        <v>232</v>
      </c>
      <c r="B50" s="19" t="s">
        <v>459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5.5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5.5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5.5">
      <c r="A56" s="16" t="s">
        <v>253</v>
      </c>
      <c r="B56" s="17" t="s">
        <v>254</v>
      </c>
      <c r="C56" s="18">
        <f t="shared" ref="C56:E56" si="30">C55+C46+C48+C36+C20+C22</f>
        <v>29505353</v>
      </c>
      <c r="D56" s="18">
        <f t="shared" si="30"/>
        <v>5865000</v>
      </c>
      <c r="E56" s="18">
        <f t="shared" si="30"/>
        <v>0</v>
      </c>
      <c r="F56" s="18">
        <f t="shared" si="0"/>
        <v>5865000</v>
      </c>
      <c r="G56" s="18">
        <f t="shared" ref="G56" si="31">G55+G46+G48+G36+G20+G22</f>
        <v>6627952</v>
      </c>
      <c r="H56" s="125">
        <f t="shared" si="1"/>
        <v>1.1300855924978688</v>
      </c>
    </row>
    <row r="57" spans="1:8" ht="25.5">
      <c r="A57" s="13" t="s">
        <v>255</v>
      </c>
      <c r="B57" s="14" t="s">
        <v>256</v>
      </c>
      <c r="C57" s="15">
        <v>14123000</v>
      </c>
      <c r="D57" s="15">
        <v>0</v>
      </c>
      <c r="E57" s="15">
        <f>7139277-149000+20000</f>
        <v>7010277</v>
      </c>
      <c r="F57" s="15">
        <f t="shared" si="0"/>
        <v>7010277</v>
      </c>
      <c r="G57" s="15">
        <v>7010277</v>
      </c>
      <c r="H57" s="124">
        <f t="shared" si="1"/>
        <v>1</v>
      </c>
    </row>
    <row r="58" spans="1:8">
      <c r="A58" s="13" t="s">
        <v>163</v>
      </c>
      <c r="B58" s="14" t="s">
        <v>257</v>
      </c>
      <c r="C58" s="15">
        <f t="shared" ref="C58:E58" si="32">SUM(C57)</f>
        <v>14123000</v>
      </c>
      <c r="D58" s="15">
        <f t="shared" si="32"/>
        <v>0</v>
      </c>
      <c r="E58" s="15">
        <f t="shared" si="32"/>
        <v>7010277</v>
      </c>
      <c r="F58" s="15">
        <f t="shared" si="0"/>
        <v>7010277</v>
      </c>
      <c r="G58" s="15">
        <f t="shared" ref="G58" si="33">SUM(G57)</f>
        <v>7010277</v>
      </c>
      <c r="H58" s="124">
        <f t="shared" si="1"/>
        <v>1</v>
      </c>
    </row>
    <row r="59" spans="1:8">
      <c r="A59" s="13" t="s">
        <v>258</v>
      </c>
      <c r="B59" s="14" t="s">
        <v>259</v>
      </c>
      <c r="C59" s="15">
        <v>3270000</v>
      </c>
      <c r="D59" s="15">
        <v>1900000</v>
      </c>
      <c r="E59" s="15">
        <v>0</v>
      </c>
      <c r="F59" s="15">
        <f t="shared" si="0"/>
        <v>1900000</v>
      </c>
      <c r="G59" s="15">
        <v>0</v>
      </c>
      <c r="H59" s="124">
        <f t="shared" si="1"/>
        <v>0</v>
      </c>
    </row>
    <row r="60" spans="1:8">
      <c r="A60" s="13">
        <v>300</v>
      </c>
      <c r="B60" s="19" t="s">
        <v>412</v>
      </c>
      <c r="C60" s="15"/>
      <c r="D60" s="15"/>
      <c r="E60" s="15"/>
      <c r="F60" s="15"/>
      <c r="G60" s="15"/>
      <c r="H60" s="124"/>
    </row>
    <row r="61" spans="1:8" ht="25.5">
      <c r="A61" s="13" t="s">
        <v>260</v>
      </c>
      <c r="B61" s="14" t="s">
        <v>261</v>
      </c>
      <c r="C61" s="15">
        <f>SUM(C58:C60)</f>
        <v>17393000</v>
      </c>
      <c r="D61" s="15">
        <f t="shared" ref="D61:E61" si="34">SUM(D58:D60)</f>
        <v>1900000</v>
      </c>
      <c r="E61" s="15">
        <f t="shared" si="34"/>
        <v>7010277</v>
      </c>
      <c r="F61" s="15">
        <f t="shared" si="0"/>
        <v>8910277</v>
      </c>
      <c r="G61" s="15">
        <f>SUM(G58:G60)</f>
        <v>7010277</v>
      </c>
      <c r="H61" s="124">
        <f t="shared" si="1"/>
        <v>0.78676308267408523</v>
      </c>
    </row>
    <row r="62" spans="1:8" ht="25.5">
      <c r="A62" s="16" t="s">
        <v>262</v>
      </c>
      <c r="B62" s="17" t="s">
        <v>263</v>
      </c>
      <c r="C62" s="18">
        <f t="shared" ref="C62:E62" si="35">SUM(C61)</f>
        <v>17393000</v>
      </c>
      <c r="D62" s="18">
        <f t="shared" si="35"/>
        <v>1900000</v>
      </c>
      <c r="E62" s="18">
        <f t="shared" si="35"/>
        <v>7010277</v>
      </c>
      <c r="F62" s="18">
        <f t="shared" si="0"/>
        <v>8910277</v>
      </c>
      <c r="G62" s="18">
        <f t="shared" ref="G62" si="36">SUM(G61)</f>
        <v>7010277</v>
      </c>
      <c r="H62" s="125">
        <f t="shared" si="1"/>
        <v>0.78676308267408523</v>
      </c>
    </row>
    <row r="63" spans="1:8">
      <c r="A63" s="16" t="s">
        <v>264</v>
      </c>
      <c r="B63" s="17" t="s">
        <v>265</v>
      </c>
      <c r="C63" s="18">
        <f t="shared" ref="C63:E63" si="37">C56+C62</f>
        <v>46898353</v>
      </c>
      <c r="D63" s="18">
        <f t="shared" si="37"/>
        <v>7765000</v>
      </c>
      <c r="E63" s="18">
        <f t="shared" si="37"/>
        <v>7010277</v>
      </c>
      <c r="F63" s="18">
        <f t="shared" si="0"/>
        <v>14775277</v>
      </c>
      <c r="G63" s="18">
        <f t="shared" ref="G63" si="38">G56+G62</f>
        <v>13638229</v>
      </c>
      <c r="H63" s="125">
        <f t="shared" si="1"/>
        <v>0.92304387931271947</v>
      </c>
    </row>
    <row r="65" spans="1:8" ht="60">
      <c r="A65" s="12" t="s">
        <v>0</v>
      </c>
      <c r="B65" s="12" t="s">
        <v>1</v>
      </c>
      <c r="C65" s="12" t="s">
        <v>269</v>
      </c>
      <c r="D65" s="12" t="s">
        <v>270</v>
      </c>
      <c r="E65" s="12" t="s">
        <v>271</v>
      </c>
      <c r="F65" s="12" t="s">
        <v>457</v>
      </c>
      <c r="G65" s="12" t="s">
        <v>273</v>
      </c>
      <c r="H65" s="123" t="s">
        <v>274</v>
      </c>
    </row>
    <row r="66" spans="1:8" ht="25.5">
      <c r="A66" s="13" t="s">
        <v>31</v>
      </c>
      <c r="B66" s="14" t="s">
        <v>32</v>
      </c>
      <c r="C66" s="15">
        <v>22658427</v>
      </c>
      <c r="D66" s="15">
        <v>4618000</v>
      </c>
      <c r="E66" s="15">
        <f>5000000+659134-129000</f>
        <v>5530134</v>
      </c>
      <c r="F66" s="15">
        <f t="shared" si="0"/>
        <v>10148134</v>
      </c>
      <c r="G66" s="15">
        <v>7182760</v>
      </c>
      <c r="H66" s="124">
        <f t="shared" si="1"/>
        <v>0.70779120575270293</v>
      </c>
    </row>
    <row r="67" spans="1:8" ht="25.5">
      <c r="A67" s="21" t="s">
        <v>178</v>
      </c>
      <c r="B67" s="14" t="s">
        <v>282</v>
      </c>
      <c r="C67" s="15"/>
      <c r="D67" s="15"/>
      <c r="E67" s="15">
        <v>297532</v>
      </c>
      <c r="F67" s="15">
        <f t="shared" si="0"/>
        <v>297532</v>
      </c>
      <c r="G67" s="15">
        <v>297532</v>
      </c>
      <c r="H67" s="124"/>
    </row>
    <row r="68" spans="1:8">
      <c r="A68" s="13" t="s">
        <v>33</v>
      </c>
      <c r="B68" s="14" t="s">
        <v>34</v>
      </c>
      <c r="C68" s="15"/>
      <c r="D68" s="15"/>
      <c r="E68" s="15"/>
      <c r="F68" s="15">
        <f t="shared" si="0"/>
        <v>0</v>
      </c>
      <c r="G68" s="15"/>
      <c r="H68" s="124" t="e">
        <f t="shared" si="1"/>
        <v>#DIV/0!</v>
      </c>
    </row>
    <row r="69" spans="1:8">
      <c r="A69" s="13" t="s">
        <v>35</v>
      </c>
      <c r="B69" s="14" t="s">
        <v>36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37</v>
      </c>
      <c r="B70" s="14" t="s">
        <v>38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 ht="25.5">
      <c r="A71" s="13" t="s">
        <v>39</v>
      </c>
      <c r="B71" s="14" t="s">
        <v>40</v>
      </c>
      <c r="C71" s="15">
        <v>552272</v>
      </c>
      <c r="D71" s="15"/>
      <c r="E71" s="15">
        <v>117061</v>
      </c>
      <c r="F71" s="15">
        <f t="shared" si="0"/>
        <v>117061</v>
      </c>
      <c r="G71" s="15">
        <v>117061</v>
      </c>
      <c r="H71" s="124">
        <f t="shared" si="1"/>
        <v>1</v>
      </c>
    </row>
    <row r="72" spans="1:8" ht="25.5">
      <c r="A72" s="13" t="s">
        <v>41</v>
      </c>
      <c r="B72" s="14" t="s">
        <v>42</v>
      </c>
      <c r="C72" s="15">
        <f t="shared" ref="C72:E72" si="39">SUM(C66:C71)</f>
        <v>23210699</v>
      </c>
      <c r="D72" s="15">
        <f t="shared" si="39"/>
        <v>4618000</v>
      </c>
      <c r="E72" s="15">
        <f t="shared" si="39"/>
        <v>5944727</v>
      </c>
      <c r="F72" s="15">
        <f t="shared" si="0"/>
        <v>10562727</v>
      </c>
      <c r="G72" s="15">
        <f t="shared" ref="G72" si="40">SUM(G66:G71)</f>
        <v>7597353</v>
      </c>
      <c r="H72" s="124">
        <f t="shared" si="1"/>
        <v>0.71926056595044063</v>
      </c>
    </row>
    <row r="73" spans="1:8">
      <c r="A73" s="13" t="s">
        <v>43</v>
      </c>
      <c r="B73" s="14" t="s">
        <v>44</v>
      </c>
      <c r="C73" s="15"/>
      <c r="D73" s="15"/>
      <c r="E73" s="15"/>
      <c r="F73" s="15">
        <f t="shared" si="0"/>
        <v>0</v>
      </c>
      <c r="G73" s="15"/>
      <c r="H73" s="124" t="e">
        <f t="shared" si="1"/>
        <v>#DIV/0!</v>
      </c>
    </row>
    <row r="74" spans="1:8" ht="38.25">
      <c r="A74" s="13" t="s">
        <v>45</v>
      </c>
      <c r="B74" s="14" t="s">
        <v>46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>
      <c r="A75" s="13" t="s">
        <v>47</v>
      </c>
      <c r="B75" s="14" t="s">
        <v>48</v>
      </c>
      <c r="C75" s="15"/>
      <c r="D75" s="15"/>
      <c r="E75" s="15"/>
      <c r="F75" s="15">
        <f t="shared" ref="F75:F140" si="41">SUM(D75:E75)</f>
        <v>0</v>
      </c>
      <c r="G75" s="15"/>
      <c r="H75" s="124" t="e">
        <f t="shared" ref="H75:H140" si="42">G75/F75</f>
        <v>#DIV/0!</v>
      </c>
    </row>
    <row r="76" spans="1:8">
      <c r="A76" s="13" t="s">
        <v>49</v>
      </c>
      <c r="B76" s="14" t="s">
        <v>50</v>
      </c>
      <c r="C76" s="15">
        <f t="shared" ref="C76:E76" si="43">SUM(C73:C75)</f>
        <v>0</v>
      </c>
      <c r="D76" s="15">
        <f t="shared" si="43"/>
        <v>0</v>
      </c>
      <c r="E76" s="15">
        <f t="shared" si="43"/>
        <v>0</v>
      </c>
      <c r="F76" s="15">
        <f t="shared" si="41"/>
        <v>0</v>
      </c>
      <c r="G76" s="15">
        <f t="shared" ref="G76" si="44">SUM(G73:G75)</f>
        <v>0</v>
      </c>
      <c r="H76" s="124" t="e">
        <f t="shared" si="42"/>
        <v>#DIV/0!</v>
      </c>
    </row>
    <row r="77" spans="1:8">
      <c r="A77" s="16" t="s">
        <v>51</v>
      </c>
      <c r="B77" s="17" t="s">
        <v>52</v>
      </c>
      <c r="C77" s="18">
        <f t="shared" ref="C77:E77" si="45">C72+C76</f>
        <v>23210699</v>
      </c>
      <c r="D77" s="18">
        <f t="shared" si="45"/>
        <v>4618000</v>
      </c>
      <c r="E77" s="18">
        <f t="shared" si="45"/>
        <v>5944727</v>
      </c>
      <c r="F77" s="18">
        <f t="shared" si="41"/>
        <v>10562727</v>
      </c>
      <c r="G77" s="18">
        <f t="shared" ref="G77" si="46">G72+G76</f>
        <v>7597353</v>
      </c>
      <c r="H77" s="125">
        <f t="shared" si="42"/>
        <v>0.71926056595044063</v>
      </c>
    </row>
    <row r="78" spans="1:8" ht="25.5">
      <c r="A78" s="16" t="s">
        <v>53</v>
      </c>
      <c r="B78" s="17" t="s">
        <v>54</v>
      </c>
      <c r="C78" s="18">
        <f t="shared" ref="C78:E78" si="47">SUM(C79:C82)</f>
        <v>5561973</v>
      </c>
      <c r="D78" s="18">
        <f t="shared" si="47"/>
        <v>1247000</v>
      </c>
      <c r="E78" s="18">
        <f t="shared" si="47"/>
        <v>911000</v>
      </c>
      <c r="F78" s="18">
        <f t="shared" si="41"/>
        <v>2158000</v>
      </c>
      <c r="G78" s="18">
        <f t="shared" ref="G78" si="48">SUM(G79:G82)</f>
        <v>1766934</v>
      </c>
      <c r="H78" s="125">
        <f t="shared" si="42"/>
        <v>0.81878313253012047</v>
      </c>
    </row>
    <row r="79" spans="1:8">
      <c r="A79" s="13" t="s">
        <v>55</v>
      </c>
      <c r="B79" s="14" t="s">
        <v>56</v>
      </c>
      <c r="C79" s="15">
        <v>5450037</v>
      </c>
      <c r="D79" s="15">
        <v>1247000</v>
      </c>
      <c r="E79" s="15">
        <v>900000</v>
      </c>
      <c r="F79" s="15">
        <f t="shared" si="41"/>
        <v>2147000</v>
      </c>
      <c r="G79" s="15">
        <v>1755940</v>
      </c>
      <c r="H79" s="124">
        <f t="shared" si="42"/>
        <v>0.81785747554727528</v>
      </c>
    </row>
    <row r="80" spans="1:8">
      <c r="A80" s="13" t="s">
        <v>57</v>
      </c>
      <c r="B80" s="14" t="s">
        <v>58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59</v>
      </c>
      <c r="B81" s="14" t="s">
        <v>60</v>
      </c>
      <c r="C81" s="15">
        <v>111936</v>
      </c>
      <c r="D81" s="15"/>
      <c r="E81" s="15">
        <v>11000</v>
      </c>
      <c r="F81" s="15">
        <f t="shared" si="41"/>
        <v>11000</v>
      </c>
      <c r="G81" s="15">
        <v>10994</v>
      </c>
      <c r="H81" s="124">
        <f t="shared" si="42"/>
        <v>0.99945454545454548</v>
      </c>
    </row>
    <row r="82" spans="1:8" ht="25.5">
      <c r="A82" s="13" t="s">
        <v>61</v>
      </c>
      <c r="B82" s="14" t="s">
        <v>62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>
      <c r="A83" s="13" t="s">
        <v>63</v>
      </c>
      <c r="B83" s="14" t="s">
        <v>64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65</v>
      </c>
      <c r="B84" s="14" t="s">
        <v>66</v>
      </c>
      <c r="C84" s="15">
        <v>3155582</v>
      </c>
      <c r="D84" s="15"/>
      <c r="E84" s="15">
        <v>80000</v>
      </c>
      <c r="F84" s="15">
        <f t="shared" si="41"/>
        <v>80000</v>
      </c>
      <c r="G84" s="15">
        <v>51144</v>
      </c>
      <c r="H84" s="124">
        <f t="shared" si="42"/>
        <v>0.63929999999999998</v>
      </c>
    </row>
    <row r="85" spans="1:8">
      <c r="A85" s="13" t="s">
        <v>67</v>
      </c>
      <c r="B85" s="14" t="s">
        <v>68</v>
      </c>
      <c r="C85" s="15">
        <f t="shared" ref="C85:E85" si="49">SUM(C83:C84)</f>
        <v>3155582</v>
      </c>
      <c r="D85" s="15">
        <f t="shared" si="49"/>
        <v>0</v>
      </c>
      <c r="E85" s="15">
        <f t="shared" si="49"/>
        <v>80000</v>
      </c>
      <c r="F85" s="15">
        <f t="shared" si="41"/>
        <v>80000</v>
      </c>
      <c r="G85" s="15">
        <f t="shared" ref="G85" si="50">SUM(G83:G84)</f>
        <v>51144</v>
      </c>
      <c r="H85" s="124">
        <f t="shared" si="42"/>
        <v>0.63929999999999998</v>
      </c>
    </row>
    <row r="86" spans="1:8">
      <c r="A86" s="13" t="s">
        <v>69</v>
      </c>
      <c r="B86" s="14" t="s">
        <v>70</v>
      </c>
      <c r="C86" s="15"/>
      <c r="D86" s="15"/>
      <c r="E86" s="15"/>
      <c r="F86" s="15">
        <f t="shared" si="41"/>
        <v>0</v>
      </c>
      <c r="G86" s="15"/>
      <c r="H86" s="124" t="e">
        <f t="shared" si="42"/>
        <v>#DIV/0!</v>
      </c>
    </row>
    <row r="87" spans="1:8">
      <c r="A87" s="13" t="s">
        <v>71</v>
      </c>
      <c r="B87" s="14" t="s">
        <v>72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73</v>
      </c>
      <c r="B88" s="14" t="s">
        <v>74</v>
      </c>
      <c r="C88" s="15">
        <f t="shared" ref="C88:E88" si="51">SUM(C86:C87)</f>
        <v>0</v>
      </c>
      <c r="D88" s="15">
        <f t="shared" si="51"/>
        <v>0</v>
      </c>
      <c r="E88" s="15">
        <f t="shared" si="51"/>
        <v>0</v>
      </c>
      <c r="F88" s="15">
        <f t="shared" si="41"/>
        <v>0</v>
      </c>
      <c r="G88" s="15">
        <f t="shared" ref="G88" si="52">SUM(G86:G87)</f>
        <v>0</v>
      </c>
      <c r="H88" s="124" t="e">
        <f t="shared" si="42"/>
        <v>#DIV/0!</v>
      </c>
    </row>
    <row r="89" spans="1:8">
      <c r="A89" s="13" t="s">
        <v>75</v>
      </c>
      <c r="B89" s="14" t="s">
        <v>76</v>
      </c>
      <c r="C89" s="15"/>
      <c r="D89" s="15"/>
      <c r="E89" s="15"/>
      <c r="F89" s="15">
        <f t="shared" si="41"/>
        <v>0</v>
      </c>
      <c r="G89" s="15"/>
      <c r="H89" s="124" t="e">
        <f t="shared" si="42"/>
        <v>#DIV/0!</v>
      </c>
    </row>
    <row r="90" spans="1:8">
      <c r="A90" s="13" t="s">
        <v>77</v>
      </c>
      <c r="B90" s="14" t="s">
        <v>78</v>
      </c>
      <c r="C90" s="15">
        <v>0</v>
      </c>
      <c r="D90" s="15">
        <v>0</v>
      </c>
      <c r="E90" s="15">
        <v>0</v>
      </c>
      <c r="F90" s="15">
        <f t="shared" si="41"/>
        <v>0</v>
      </c>
      <c r="G90" s="15">
        <v>0</v>
      </c>
      <c r="H90" s="124" t="e">
        <f t="shared" si="42"/>
        <v>#DIV/0!</v>
      </c>
    </row>
    <row r="91" spans="1:8">
      <c r="A91" s="20" t="s">
        <v>276</v>
      </c>
      <c r="B91" s="19" t="s">
        <v>277</v>
      </c>
      <c r="C91" s="15"/>
      <c r="D91" s="15"/>
      <c r="E91" s="15"/>
      <c r="F91" s="15"/>
      <c r="G91" s="15"/>
      <c r="H91" s="124"/>
    </row>
    <row r="92" spans="1:8">
      <c r="A92" s="13" t="s">
        <v>79</v>
      </c>
      <c r="B92" s="14" t="s">
        <v>80</v>
      </c>
      <c r="C92" s="15">
        <v>0</v>
      </c>
      <c r="D92" s="15">
        <v>0</v>
      </c>
      <c r="E92" s="15">
        <v>0</v>
      </c>
      <c r="F92" s="15">
        <f t="shared" si="41"/>
        <v>0</v>
      </c>
      <c r="G92" s="15">
        <v>0</v>
      </c>
      <c r="H92" s="124" t="e">
        <f t="shared" si="42"/>
        <v>#DIV/0!</v>
      </c>
    </row>
    <row r="93" spans="1:8">
      <c r="A93" s="13" t="s">
        <v>81</v>
      </c>
      <c r="B93" s="14" t="s">
        <v>82</v>
      </c>
      <c r="C93" s="15"/>
      <c r="D93" s="15"/>
      <c r="E93" s="15"/>
      <c r="F93" s="15">
        <f t="shared" si="41"/>
        <v>0</v>
      </c>
      <c r="G93" s="15"/>
      <c r="H93" s="124" t="e">
        <f t="shared" si="42"/>
        <v>#DIV/0!</v>
      </c>
    </row>
    <row r="94" spans="1:8">
      <c r="A94" s="13" t="s">
        <v>83</v>
      </c>
      <c r="B94" s="14" t="s">
        <v>84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 ht="25.5">
      <c r="A95" s="13" t="s">
        <v>85</v>
      </c>
      <c r="B95" s="14" t="s">
        <v>86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>
      <c r="A96" s="13" t="s">
        <v>87</v>
      </c>
      <c r="B96" s="14" t="s">
        <v>88</v>
      </c>
      <c r="C96" s="15">
        <v>175756</v>
      </c>
      <c r="D96" s="15"/>
      <c r="E96" s="15">
        <v>50000</v>
      </c>
      <c r="F96" s="15">
        <f t="shared" si="41"/>
        <v>50000</v>
      </c>
      <c r="G96" s="15">
        <v>28049</v>
      </c>
      <c r="H96" s="124">
        <f t="shared" si="42"/>
        <v>0.56098000000000003</v>
      </c>
    </row>
    <row r="97" spans="1:8">
      <c r="A97" s="13" t="s">
        <v>89</v>
      </c>
      <c r="B97" s="14" t="s">
        <v>90</v>
      </c>
      <c r="C97" s="15"/>
      <c r="D97" s="15"/>
      <c r="E97" s="15"/>
      <c r="F97" s="15">
        <f t="shared" si="41"/>
        <v>0</v>
      </c>
      <c r="G97" s="15"/>
      <c r="H97" s="124" t="e">
        <f t="shared" si="42"/>
        <v>#DIV/0!</v>
      </c>
    </row>
    <row r="98" spans="1:8" ht="25.5">
      <c r="A98" s="13" t="s">
        <v>91</v>
      </c>
      <c r="B98" s="14" t="s">
        <v>92</v>
      </c>
      <c r="C98" s="15">
        <f>C89+C90+C92+C93+C95+C96+C91</f>
        <v>175756</v>
      </c>
      <c r="D98" s="15">
        <f t="shared" ref="D98:G98" si="53">D89+D90+D92+D93+D95+D96+D91</f>
        <v>0</v>
      </c>
      <c r="E98" s="15">
        <f t="shared" si="53"/>
        <v>50000</v>
      </c>
      <c r="F98" s="15">
        <f t="shared" si="53"/>
        <v>50000</v>
      </c>
      <c r="G98" s="15">
        <f t="shared" si="53"/>
        <v>28049</v>
      </c>
      <c r="H98" s="124">
        <f t="shared" si="42"/>
        <v>0.56098000000000003</v>
      </c>
    </row>
    <row r="99" spans="1:8">
      <c r="A99" s="13" t="s">
        <v>280</v>
      </c>
      <c r="B99" s="14" t="s">
        <v>281</v>
      </c>
      <c r="C99" s="15"/>
      <c r="D99" s="15"/>
      <c r="E99" s="15">
        <v>1550</v>
      </c>
      <c r="F99" s="15">
        <f t="shared" si="41"/>
        <v>1550</v>
      </c>
      <c r="G99" s="15">
        <v>1550</v>
      </c>
      <c r="H99" s="124"/>
    </row>
    <row r="100" spans="1:8">
      <c r="A100" s="13" t="s">
        <v>93</v>
      </c>
      <c r="B100" s="14" t="s">
        <v>94</v>
      </c>
      <c r="C100" s="15"/>
      <c r="D100" s="15"/>
      <c r="E100" s="15"/>
      <c r="F100" s="15">
        <f t="shared" si="41"/>
        <v>0</v>
      </c>
      <c r="G100" s="15"/>
      <c r="H100" s="124" t="e">
        <f t="shared" si="42"/>
        <v>#DIV/0!</v>
      </c>
    </row>
    <row r="101" spans="1:8" ht="25.5">
      <c r="A101" s="13" t="s">
        <v>95</v>
      </c>
      <c r="B101" s="14" t="s">
        <v>96</v>
      </c>
      <c r="C101" s="15">
        <f>SUM(C99:C100)</f>
        <v>0</v>
      </c>
      <c r="D101" s="15">
        <f t="shared" ref="D101:G101" si="54">SUM(D99:D100)</f>
        <v>0</v>
      </c>
      <c r="E101" s="15">
        <f t="shared" si="54"/>
        <v>1550</v>
      </c>
      <c r="F101" s="15">
        <f t="shared" si="54"/>
        <v>1550</v>
      </c>
      <c r="G101" s="15">
        <f t="shared" si="54"/>
        <v>1550</v>
      </c>
      <c r="H101" s="124">
        <f t="shared" si="42"/>
        <v>1</v>
      </c>
    </row>
    <row r="102" spans="1:8" ht="25.5">
      <c r="A102" s="13" t="s">
        <v>97</v>
      </c>
      <c r="B102" s="14" t="s">
        <v>98</v>
      </c>
      <c r="C102" s="15">
        <v>852006</v>
      </c>
      <c r="D102" s="15"/>
      <c r="E102" s="15">
        <v>23000</v>
      </c>
      <c r="F102" s="15">
        <f t="shared" si="41"/>
        <v>23000</v>
      </c>
      <c r="G102" s="15">
        <v>13808</v>
      </c>
      <c r="H102" s="124">
        <f t="shared" si="42"/>
        <v>0.60034782608695647</v>
      </c>
    </row>
    <row r="103" spans="1:8" s="122" customFormat="1">
      <c r="A103" s="13">
        <v>52</v>
      </c>
      <c r="B103" s="14" t="s">
        <v>458</v>
      </c>
      <c r="C103" s="15"/>
      <c r="D103" s="15"/>
      <c r="E103" s="15"/>
      <c r="F103" s="15">
        <f t="shared" si="41"/>
        <v>0</v>
      </c>
      <c r="G103" s="15"/>
      <c r="H103" s="124"/>
    </row>
    <row r="104" spans="1:8">
      <c r="A104" s="13" t="s">
        <v>99</v>
      </c>
      <c r="B104" s="14" t="s">
        <v>100</v>
      </c>
      <c r="C104" s="15"/>
      <c r="D104" s="15"/>
      <c r="E104" s="15"/>
      <c r="F104" s="15">
        <f t="shared" si="41"/>
        <v>0</v>
      </c>
      <c r="G104" s="15"/>
      <c r="H104" s="124" t="e">
        <f t="shared" si="42"/>
        <v>#DIV/0!</v>
      </c>
    </row>
    <row r="105" spans="1:8" ht="25.5">
      <c r="A105" s="13" t="s">
        <v>101</v>
      </c>
      <c r="B105" s="14" t="s">
        <v>102</v>
      </c>
      <c r="C105" s="15">
        <f t="shared" ref="C105:E105" si="55">SUM(C102:C104)</f>
        <v>852006</v>
      </c>
      <c r="D105" s="15">
        <f t="shared" si="55"/>
        <v>0</v>
      </c>
      <c r="E105" s="15">
        <f t="shared" si="55"/>
        <v>23000</v>
      </c>
      <c r="F105" s="15">
        <f t="shared" si="41"/>
        <v>23000</v>
      </c>
      <c r="G105" s="15">
        <f t="shared" ref="G105" si="56">SUM(G102:G104)</f>
        <v>13808</v>
      </c>
      <c r="H105" s="124">
        <f t="shared" si="42"/>
        <v>0.60034782608695647</v>
      </c>
    </row>
    <row r="106" spans="1:8">
      <c r="A106" s="16" t="s">
        <v>103</v>
      </c>
      <c r="B106" s="17" t="s">
        <v>104</v>
      </c>
      <c r="C106" s="18">
        <f t="shared" ref="C106:E106" si="57">C85+C88+C98+C101+C105</f>
        <v>4183344</v>
      </c>
      <c r="D106" s="18">
        <f t="shared" si="57"/>
        <v>0</v>
      </c>
      <c r="E106" s="18">
        <f t="shared" si="57"/>
        <v>154550</v>
      </c>
      <c r="F106" s="18">
        <f t="shared" si="41"/>
        <v>154550</v>
      </c>
      <c r="G106" s="18">
        <f t="shared" ref="G106" si="58">G85+G88+G98+G101+G105</f>
        <v>94551</v>
      </c>
      <c r="H106" s="125">
        <f t="shared" si="42"/>
        <v>0.61178259462956974</v>
      </c>
    </row>
    <row r="107" spans="1:8">
      <c r="A107" s="13" t="s">
        <v>105</v>
      </c>
      <c r="B107" s="14" t="s">
        <v>106</v>
      </c>
      <c r="C107" s="15">
        <f t="shared" ref="C107:E107" si="59">SUM(C108)</f>
        <v>0</v>
      </c>
      <c r="D107" s="15">
        <f t="shared" si="59"/>
        <v>0</v>
      </c>
      <c r="E107" s="15">
        <f t="shared" si="59"/>
        <v>0</v>
      </c>
      <c r="F107" s="15">
        <f t="shared" si="41"/>
        <v>0</v>
      </c>
      <c r="G107" s="15">
        <f t="shared" ref="G107" si="60">SUM(G108)</f>
        <v>0</v>
      </c>
      <c r="H107" s="124" t="e">
        <f t="shared" si="42"/>
        <v>#DIV/0!</v>
      </c>
    </row>
    <row r="108" spans="1:8" ht="25.5">
      <c r="A108" s="13" t="s">
        <v>107</v>
      </c>
      <c r="B108" s="14" t="s">
        <v>108</v>
      </c>
      <c r="C108" s="15">
        <v>0</v>
      </c>
      <c r="D108" s="15">
        <v>0</v>
      </c>
      <c r="E108" s="15">
        <v>0</v>
      </c>
      <c r="F108" s="15">
        <f t="shared" si="41"/>
        <v>0</v>
      </c>
      <c r="G108" s="15">
        <v>0</v>
      </c>
      <c r="H108" s="124" t="e">
        <f t="shared" si="42"/>
        <v>#DIV/0!</v>
      </c>
    </row>
    <row r="109" spans="1:8" ht="25.5">
      <c r="A109" s="13" t="s">
        <v>109</v>
      </c>
      <c r="B109" s="14" t="s">
        <v>110</v>
      </c>
      <c r="C109" s="15">
        <f t="shared" ref="C109:E109" si="61">SUM(C110:C112)</f>
        <v>0</v>
      </c>
      <c r="D109" s="15">
        <f t="shared" si="61"/>
        <v>0</v>
      </c>
      <c r="E109" s="15">
        <f t="shared" si="61"/>
        <v>0</v>
      </c>
      <c r="F109" s="15">
        <f t="shared" si="41"/>
        <v>0</v>
      </c>
      <c r="G109" s="15">
        <f t="shared" ref="G109" si="62">SUM(G110:G112)</f>
        <v>0</v>
      </c>
      <c r="H109" s="124" t="e">
        <f t="shared" si="42"/>
        <v>#DIV/0!</v>
      </c>
    </row>
    <row r="110" spans="1:8" ht="25.5">
      <c r="A110" s="13" t="s">
        <v>111</v>
      </c>
      <c r="B110" s="14" t="s">
        <v>112</v>
      </c>
      <c r="C110" s="15">
        <v>0</v>
      </c>
      <c r="D110" s="15">
        <v>0</v>
      </c>
      <c r="E110" s="15">
        <v>0</v>
      </c>
      <c r="F110" s="15">
        <f t="shared" si="41"/>
        <v>0</v>
      </c>
      <c r="G110" s="15">
        <v>0</v>
      </c>
      <c r="H110" s="124" t="e">
        <f t="shared" si="42"/>
        <v>#DIV/0!</v>
      </c>
    </row>
    <row r="111" spans="1:8">
      <c r="A111" s="13" t="s">
        <v>113</v>
      </c>
      <c r="B111" s="14" t="s">
        <v>114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 ht="38.25">
      <c r="A112" s="13" t="s">
        <v>115</v>
      </c>
      <c r="B112" s="14" t="s">
        <v>116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25.5">
      <c r="A113" s="16" t="s">
        <v>117</v>
      </c>
      <c r="B113" s="17" t="s">
        <v>118</v>
      </c>
      <c r="C113" s="18">
        <f t="shared" ref="C113:G113" si="63">C107+C109</f>
        <v>0</v>
      </c>
      <c r="D113" s="18">
        <f t="shared" si="63"/>
        <v>0</v>
      </c>
      <c r="E113" s="18">
        <f t="shared" si="63"/>
        <v>0</v>
      </c>
      <c r="F113" s="18">
        <f t="shared" si="41"/>
        <v>0</v>
      </c>
      <c r="G113" s="18">
        <f t="shared" si="63"/>
        <v>0</v>
      </c>
      <c r="H113" s="125" t="e">
        <f t="shared" si="42"/>
        <v>#DIV/0!</v>
      </c>
    </row>
    <row r="114" spans="1:8" ht="25.5">
      <c r="A114" s="13" t="s">
        <v>119</v>
      </c>
      <c r="B114" s="14" t="s">
        <v>120</v>
      </c>
      <c r="C114" s="15">
        <v>0</v>
      </c>
      <c r="D114" s="15">
        <v>0</v>
      </c>
      <c r="E114" s="15">
        <v>0</v>
      </c>
      <c r="F114" s="15">
        <f t="shared" si="41"/>
        <v>0</v>
      </c>
      <c r="G114" s="15">
        <v>0</v>
      </c>
      <c r="H114" s="124" t="e">
        <f t="shared" si="42"/>
        <v>#DIV/0!</v>
      </c>
    </row>
    <row r="115" spans="1:8" ht="25.5">
      <c r="A115" s="13" t="s">
        <v>121</v>
      </c>
      <c r="B115" s="14" t="s">
        <v>122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5.5">
      <c r="A116" s="13" t="s">
        <v>123</v>
      </c>
      <c r="B116" s="14" t="s">
        <v>124</v>
      </c>
      <c r="C116" s="15">
        <f t="shared" ref="C116:E116" si="64">SUM(C114:C115)</f>
        <v>0</v>
      </c>
      <c r="D116" s="15">
        <f t="shared" si="64"/>
        <v>0</v>
      </c>
      <c r="E116" s="15">
        <f t="shared" si="64"/>
        <v>0</v>
      </c>
      <c r="F116" s="15">
        <f t="shared" si="41"/>
        <v>0</v>
      </c>
      <c r="G116" s="15">
        <f t="shared" ref="G116" si="65">SUM(G114:G115)</f>
        <v>0</v>
      </c>
      <c r="H116" s="124" t="e">
        <f t="shared" si="42"/>
        <v>#DIV/0!</v>
      </c>
    </row>
    <row r="117" spans="1:8" ht="25.5">
      <c r="A117" s="13" t="s">
        <v>125</v>
      </c>
      <c r="B117" s="14" t="s">
        <v>126</v>
      </c>
      <c r="C117" s="15">
        <f t="shared" ref="C117:E117" si="66">SUM(C118)</f>
        <v>0</v>
      </c>
      <c r="D117" s="15">
        <f t="shared" si="66"/>
        <v>0</v>
      </c>
      <c r="E117" s="15">
        <f t="shared" si="66"/>
        <v>0</v>
      </c>
      <c r="F117" s="15">
        <f t="shared" si="41"/>
        <v>0</v>
      </c>
      <c r="G117" s="15">
        <f t="shared" ref="G117" si="67">SUM(G118)</f>
        <v>0</v>
      </c>
      <c r="H117" s="124" t="e">
        <f t="shared" si="42"/>
        <v>#DIV/0!</v>
      </c>
    </row>
    <row r="118" spans="1:8" ht="25.5">
      <c r="A118" s="13" t="s">
        <v>127</v>
      </c>
      <c r="B118" s="14" t="s">
        <v>128</v>
      </c>
      <c r="C118" s="15"/>
      <c r="D118" s="15"/>
      <c r="E118" s="15"/>
      <c r="F118" s="15">
        <f t="shared" si="41"/>
        <v>0</v>
      </c>
      <c r="G118" s="15"/>
      <c r="H118" s="124" t="e">
        <f t="shared" si="42"/>
        <v>#DIV/0!</v>
      </c>
    </row>
    <row r="119" spans="1:8" ht="25.5">
      <c r="A119" s="13" t="s">
        <v>129</v>
      </c>
      <c r="B119" s="14" t="s">
        <v>130</v>
      </c>
      <c r="C119" s="15">
        <f t="shared" ref="C119:E119" si="68">SUM(C120:C122)</f>
        <v>0</v>
      </c>
      <c r="D119" s="15">
        <f t="shared" si="68"/>
        <v>0</v>
      </c>
      <c r="E119" s="15">
        <f t="shared" si="68"/>
        <v>0</v>
      </c>
      <c r="F119" s="15">
        <f t="shared" si="41"/>
        <v>0</v>
      </c>
      <c r="G119" s="15">
        <f t="shared" ref="G119" si="69">SUM(G120:G122)</f>
        <v>0</v>
      </c>
      <c r="H119" s="124" t="e">
        <f t="shared" si="42"/>
        <v>#DIV/0!</v>
      </c>
    </row>
    <row r="120" spans="1:8">
      <c r="A120" s="13" t="s">
        <v>131</v>
      </c>
      <c r="B120" s="14" t="s">
        <v>132</v>
      </c>
      <c r="C120" s="15"/>
      <c r="D120" s="15"/>
      <c r="E120" s="15"/>
      <c r="F120" s="15">
        <f t="shared" si="41"/>
        <v>0</v>
      </c>
      <c r="G120" s="15"/>
      <c r="H120" s="124" t="e">
        <f t="shared" si="42"/>
        <v>#DIV/0!</v>
      </c>
    </row>
    <row r="121" spans="1:8">
      <c r="A121" s="13" t="s">
        <v>133</v>
      </c>
      <c r="B121" s="14" t="s">
        <v>134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135</v>
      </c>
      <c r="B122" s="14" t="s">
        <v>136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>
        <v>188</v>
      </c>
      <c r="B123" s="14" t="s">
        <v>275</v>
      </c>
      <c r="C123" s="15"/>
      <c r="D123" s="15"/>
      <c r="E123" s="15"/>
      <c r="F123" s="15">
        <f t="shared" si="41"/>
        <v>0</v>
      </c>
      <c r="G123" s="15"/>
      <c r="H123" s="124"/>
    </row>
    <row r="124" spans="1:8" ht="38.25">
      <c r="A124" s="16" t="s">
        <v>137</v>
      </c>
      <c r="B124" s="17" t="s">
        <v>138</v>
      </c>
      <c r="C124" s="18">
        <f>C116+C118+C119+C123</f>
        <v>0</v>
      </c>
      <c r="D124" s="18">
        <f t="shared" ref="D124:G124" si="70">D116+D118+D119+D123</f>
        <v>0</v>
      </c>
      <c r="E124" s="18">
        <f t="shared" si="70"/>
        <v>0</v>
      </c>
      <c r="F124" s="18">
        <f t="shared" si="70"/>
        <v>0</v>
      </c>
      <c r="G124" s="18">
        <f t="shared" si="70"/>
        <v>0</v>
      </c>
      <c r="H124" s="125" t="e">
        <f t="shared" si="42"/>
        <v>#DIV/0!</v>
      </c>
    </row>
    <row r="125" spans="1:8" s="128" customFormat="1">
      <c r="A125" s="20">
        <v>192</v>
      </c>
      <c r="B125" s="19" t="s">
        <v>466</v>
      </c>
      <c r="C125" s="18"/>
      <c r="D125" s="18"/>
      <c r="E125" s="18"/>
      <c r="F125" s="15">
        <f t="shared" ref="F125" si="71">SUM(D125:E125)</f>
        <v>0</v>
      </c>
      <c r="G125" s="15">
        <v>0</v>
      </c>
      <c r="H125" s="124" t="e">
        <f t="shared" ref="H125" si="72">G125/F125</f>
        <v>#DIV/0!</v>
      </c>
    </row>
    <row r="126" spans="1:8">
      <c r="A126" s="13" t="s">
        <v>139</v>
      </c>
      <c r="B126" s="14" t="s">
        <v>140</v>
      </c>
      <c r="C126" s="15">
        <v>0</v>
      </c>
      <c r="D126" s="15">
        <v>0</v>
      </c>
      <c r="E126" s="15">
        <v>0</v>
      </c>
      <c r="F126" s="15">
        <f t="shared" si="41"/>
        <v>0</v>
      </c>
      <c r="G126" s="15">
        <v>0</v>
      </c>
      <c r="H126" s="124" t="e">
        <f t="shared" si="42"/>
        <v>#DIV/0!</v>
      </c>
    </row>
    <row r="127" spans="1:8" ht="25.5">
      <c r="A127" s="13" t="s">
        <v>141</v>
      </c>
      <c r="B127" s="14" t="s">
        <v>142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5.5">
      <c r="A128" s="13" t="s">
        <v>143</v>
      </c>
      <c r="B128" s="14" t="s">
        <v>144</v>
      </c>
      <c r="C128" s="15">
        <v>787087</v>
      </c>
      <c r="D128" s="15"/>
      <c r="E128" s="15"/>
      <c r="F128" s="15">
        <f t="shared" si="41"/>
        <v>0</v>
      </c>
      <c r="G128" s="15"/>
      <c r="H128" s="124" t="e">
        <f t="shared" si="42"/>
        <v>#DIV/0!</v>
      </c>
    </row>
    <row r="129" spans="1:8" ht="25.5">
      <c r="A129" s="13" t="s">
        <v>145</v>
      </c>
      <c r="B129" s="14" t="s">
        <v>146</v>
      </c>
      <c r="C129" s="15">
        <v>212513</v>
      </c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>
      <c r="A130" s="16" t="s">
        <v>147</v>
      </c>
      <c r="B130" s="17" t="s">
        <v>148</v>
      </c>
      <c r="C130" s="18">
        <f>SUM(C125:C129)</f>
        <v>999600</v>
      </c>
      <c r="D130" s="18">
        <f t="shared" ref="D130:G130" si="73">SUM(D125:D129)</f>
        <v>0</v>
      </c>
      <c r="E130" s="18">
        <f t="shared" si="73"/>
        <v>0</v>
      </c>
      <c r="F130" s="18">
        <f t="shared" si="73"/>
        <v>0</v>
      </c>
      <c r="G130" s="18">
        <f t="shared" si="73"/>
        <v>0</v>
      </c>
      <c r="H130" s="125" t="e">
        <f t="shared" si="42"/>
        <v>#DIV/0!</v>
      </c>
    </row>
    <row r="131" spans="1:8">
      <c r="A131" s="13" t="s">
        <v>149</v>
      </c>
      <c r="B131" s="14" t="s">
        <v>150</v>
      </c>
      <c r="C131" s="15"/>
      <c r="D131" s="15"/>
      <c r="E131" s="15"/>
      <c r="F131" s="15">
        <f t="shared" si="41"/>
        <v>0</v>
      </c>
      <c r="G131" s="15"/>
      <c r="H131" s="124" t="e">
        <f t="shared" si="42"/>
        <v>#DIV/0!</v>
      </c>
    </row>
    <row r="132" spans="1:8">
      <c r="A132" s="13" t="s">
        <v>151</v>
      </c>
      <c r="B132" s="14" t="s">
        <v>152</v>
      </c>
      <c r="C132" s="15"/>
      <c r="D132" s="15"/>
      <c r="E132" s="15"/>
      <c r="F132" s="15">
        <f t="shared" si="41"/>
        <v>0</v>
      </c>
      <c r="G132" s="15"/>
      <c r="H132" s="124" t="e">
        <f t="shared" si="42"/>
        <v>#DIV/0!</v>
      </c>
    </row>
    <row r="133" spans="1:8" ht="25.5">
      <c r="A133" s="13" t="s">
        <v>153</v>
      </c>
      <c r="B133" s="14" t="s">
        <v>154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>
      <c r="A134" s="16" t="s">
        <v>155</v>
      </c>
      <c r="B134" s="17" t="s">
        <v>156</v>
      </c>
      <c r="C134" s="18">
        <f t="shared" ref="C134:E134" si="74">SUM(C131:C133)</f>
        <v>0</v>
      </c>
      <c r="D134" s="18">
        <f t="shared" si="74"/>
        <v>0</v>
      </c>
      <c r="E134" s="18">
        <f t="shared" si="74"/>
        <v>0</v>
      </c>
      <c r="F134" s="18">
        <f t="shared" si="41"/>
        <v>0</v>
      </c>
      <c r="G134" s="18">
        <f t="shared" ref="G134" si="75">SUM(G131:G133)</f>
        <v>0</v>
      </c>
      <c r="H134" s="125" t="e">
        <f t="shared" si="42"/>
        <v>#DIV/0!</v>
      </c>
    </row>
    <row r="135" spans="1:8" ht="25.5">
      <c r="A135" s="16" t="s">
        <v>157</v>
      </c>
      <c r="B135" s="17" t="s">
        <v>158</v>
      </c>
      <c r="C135" s="18">
        <f t="shared" ref="C135:E135" si="76">C77+C78+C106+C113+C124+C130+C134</f>
        <v>33955616</v>
      </c>
      <c r="D135" s="18">
        <f t="shared" si="76"/>
        <v>5865000</v>
      </c>
      <c r="E135" s="18">
        <f t="shared" si="76"/>
        <v>7010277</v>
      </c>
      <c r="F135" s="18">
        <f t="shared" si="41"/>
        <v>12875277</v>
      </c>
      <c r="G135" s="18">
        <f t="shared" ref="G135" si="77">G77+G78+G106+G113+G124+G130+G134</f>
        <v>9458838</v>
      </c>
      <c r="H135" s="125">
        <f t="shared" si="42"/>
        <v>0.73465122342610567</v>
      </c>
    </row>
    <row r="136" spans="1:8" ht="25.5">
      <c r="A136" s="13" t="s">
        <v>159</v>
      </c>
      <c r="B136" s="14" t="s">
        <v>160</v>
      </c>
      <c r="C136" s="15">
        <v>4203000</v>
      </c>
      <c r="D136" s="15">
        <v>1900000</v>
      </c>
      <c r="E136" s="15">
        <v>0</v>
      </c>
      <c r="F136" s="15">
        <f t="shared" si="41"/>
        <v>1900000</v>
      </c>
      <c r="G136" s="15">
        <v>1900000</v>
      </c>
      <c r="H136" s="124">
        <f t="shared" si="42"/>
        <v>1</v>
      </c>
    </row>
    <row r="137" spans="1:8" ht="25.5">
      <c r="A137" s="13" t="s">
        <v>161</v>
      </c>
      <c r="B137" s="14" t="s">
        <v>162</v>
      </c>
      <c r="C137" s="15">
        <v>0</v>
      </c>
      <c r="D137" s="15">
        <v>0</v>
      </c>
      <c r="E137" s="15">
        <v>0</v>
      </c>
      <c r="F137" s="15">
        <f t="shared" si="41"/>
        <v>0</v>
      </c>
      <c r="G137" s="15">
        <v>0</v>
      </c>
      <c r="H137" s="124" t="e">
        <f t="shared" si="42"/>
        <v>#DIV/0!</v>
      </c>
    </row>
    <row r="138" spans="1:8" ht="25.5">
      <c r="A138" s="13" t="s">
        <v>163</v>
      </c>
      <c r="B138" s="14" t="s">
        <v>164</v>
      </c>
      <c r="C138" s="15">
        <f t="shared" ref="C138:E138" si="78">SUM(C136:C137)</f>
        <v>4203000</v>
      </c>
      <c r="D138" s="15">
        <f t="shared" si="78"/>
        <v>1900000</v>
      </c>
      <c r="E138" s="15">
        <f t="shared" si="78"/>
        <v>0</v>
      </c>
      <c r="F138" s="15">
        <f t="shared" si="41"/>
        <v>1900000</v>
      </c>
      <c r="G138" s="15">
        <f t="shared" ref="G138" si="79">SUM(G136:G137)</f>
        <v>1900000</v>
      </c>
      <c r="H138" s="124">
        <f t="shared" si="42"/>
        <v>1</v>
      </c>
    </row>
    <row r="139" spans="1:8" ht="25.5">
      <c r="A139" s="16" t="s">
        <v>165</v>
      </c>
      <c r="B139" s="17" t="s">
        <v>166</v>
      </c>
      <c r="C139" s="18">
        <f t="shared" ref="C139:E139" si="80">SUM(C138)</f>
        <v>4203000</v>
      </c>
      <c r="D139" s="18">
        <f t="shared" si="80"/>
        <v>1900000</v>
      </c>
      <c r="E139" s="18">
        <f t="shared" si="80"/>
        <v>0</v>
      </c>
      <c r="F139" s="18">
        <f t="shared" si="41"/>
        <v>1900000</v>
      </c>
      <c r="G139" s="18">
        <f t="shared" ref="G139" si="81">SUM(G138)</f>
        <v>1900000</v>
      </c>
      <c r="H139" s="125">
        <f t="shared" si="42"/>
        <v>1</v>
      </c>
    </row>
    <row r="140" spans="1:8">
      <c r="A140" s="16" t="s">
        <v>167</v>
      </c>
      <c r="B140" s="17" t="s">
        <v>168</v>
      </c>
      <c r="C140" s="18">
        <f t="shared" ref="C140:E140" si="82">C135+C139</f>
        <v>38158616</v>
      </c>
      <c r="D140" s="18">
        <f t="shared" si="82"/>
        <v>7765000</v>
      </c>
      <c r="E140" s="18">
        <f t="shared" si="82"/>
        <v>7010277</v>
      </c>
      <c r="F140" s="18">
        <f t="shared" si="41"/>
        <v>14775277</v>
      </c>
      <c r="G140" s="18">
        <f t="shared" ref="G140" si="83">G135+G139</f>
        <v>11358838</v>
      </c>
      <c r="H140" s="125">
        <f t="shared" si="42"/>
        <v>0.76877326902229992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42"/>
  <sheetViews>
    <sheetView view="pageBreakPreview" topLeftCell="A19" zoomScale="85" zoomScaleNormal="100" zoomScaleSheetLayoutView="85" workbookViewId="0">
      <selection activeCell="A93" sqref="A93:H142"/>
    </sheetView>
  </sheetViews>
  <sheetFormatPr defaultRowHeight="15"/>
  <cols>
    <col min="2" max="2" width="33.21875" customWidth="1"/>
    <col min="3" max="3" width="19.33203125" customWidth="1"/>
    <col min="4" max="4" width="9.88671875" customWidth="1"/>
    <col min="5" max="5" width="10.21875" customWidth="1"/>
    <col min="6" max="6" width="10.5546875" customWidth="1"/>
    <col min="8" max="8" width="12.33203125" style="126" customWidth="1"/>
  </cols>
  <sheetData>
    <row r="1" spans="1:8">
      <c r="A1" s="140" t="s">
        <v>433</v>
      </c>
      <c r="B1" s="140"/>
      <c r="C1" s="140"/>
      <c r="D1" s="140"/>
      <c r="E1" s="140"/>
      <c r="F1" s="140"/>
      <c r="G1" s="140"/>
      <c r="H1" s="140"/>
    </row>
    <row r="2" spans="1:8">
      <c r="A2" s="141" t="s">
        <v>267</v>
      </c>
      <c r="B2" s="141"/>
      <c r="C2" s="141"/>
      <c r="D2" s="141"/>
      <c r="E2" s="141"/>
      <c r="F2" s="141"/>
      <c r="G2" s="141"/>
      <c r="H2" s="141"/>
    </row>
    <row r="3" spans="1:8">
      <c r="A3" s="141" t="s">
        <v>12</v>
      </c>
      <c r="B3" s="141"/>
      <c r="C3" s="141"/>
      <c r="D3" s="141"/>
      <c r="E3" s="141"/>
      <c r="F3" s="141"/>
      <c r="G3" s="141"/>
      <c r="H3" s="141"/>
    </row>
    <row r="5" spans="1:8" ht="60">
      <c r="A5" s="12" t="s">
        <v>0</v>
      </c>
      <c r="B5" s="12" t="s">
        <v>1</v>
      </c>
      <c r="C5" s="12" t="s">
        <v>269</v>
      </c>
      <c r="D5" s="12" t="s">
        <v>270</v>
      </c>
      <c r="E5" s="12" t="s">
        <v>271</v>
      </c>
      <c r="F5" s="12" t="s">
        <v>457</v>
      </c>
      <c r="G5" s="12" t="s">
        <v>273</v>
      </c>
      <c r="H5" s="123" t="s">
        <v>274</v>
      </c>
    </row>
    <row r="6" spans="1:8" ht="25.5">
      <c r="A6" s="13" t="s">
        <v>31</v>
      </c>
      <c r="B6" s="14" t="s">
        <v>173</v>
      </c>
      <c r="C6" s="15">
        <v>0</v>
      </c>
      <c r="D6" s="15">
        <v>4263000</v>
      </c>
      <c r="E6" s="15">
        <v>0</v>
      </c>
      <c r="F6" s="15">
        <f>SUM(D6:E6)</f>
        <v>4263000</v>
      </c>
      <c r="G6" s="15">
        <v>2216760</v>
      </c>
      <c r="H6" s="124">
        <f>G6/F6</f>
        <v>0.52</v>
      </c>
    </row>
    <row r="7" spans="1:8" ht="25.5">
      <c r="A7" s="13" t="s">
        <v>174</v>
      </c>
      <c r="B7" s="14" t="s">
        <v>175</v>
      </c>
      <c r="C7" s="15">
        <v>0</v>
      </c>
      <c r="D7" s="15">
        <v>0</v>
      </c>
      <c r="E7" s="15">
        <v>0</v>
      </c>
      <c r="F7" s="15">
        <f t="shared" ref="F7:F75" si="0">SUM(D7:E7)</f>
        <v>0</v>
      </c>
      <c r="G7" s="15">
        <v>0</v>
      </c>
      <c r="H7" s="124" t="e">
        <f t="shared" ref="H7:H75" si="1">G7/F7</f>
        <v>#DIV/0!</v>
      </c>
    </row>
    <row r="8" spans="1:8" ht="38.25">
      <c r="A8" s="13" t="s">
        <v>176</v>
      </c>
      <c r="B8" s="14" t="s">
        <v>177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v>0</v>
      </c>
      <c r="H8" s="124" t="e">
        <f t="shared" si="1"/>
        <v>#DIV/0!</v>
      </c>
    </row>
    <row r="9" spans="1:8" ht="25.5">
      <c r="A9" s="13" t="s">
        <v>178</v>
      </c>
      <c r="B9" s="14" t="s">
        <v>179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v>0</v>
      </c>
      <c r="H9" s="124" t="e">
        <f t="shared" si="1"/>
        <v>#DIV/0!</v>
      </c>
    </row>
    <row r="10" spans="1:8" ht="25.5">
      <c r="A10" s="13" t="s">
        <v>180</v>
      </c>
      <c r="B10" s="14" t="s">
        <v>181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v>0</v>
      </c>
      <c r="H10" s="124" t="e">
        <f t="shared" si="1"/>
        <v>#DIV/0!</v>
      </c>
    </row>
    <row r="11" spans="1:8">
      <c r="A11" s="13" t="s">
        <v>182</v>
      </c>
      <c r="B11" s="14" t="s">
        <v>183</v>
      </c>
      <c r="C11" s="15">
        <v>0</v>
      </c>
      <c r="D11" s="15">
        <v>0</v>
      </c>
      <c r="E11" s="15">
        <v>0</v>
      </c>
      <c r="F11" s="15">
        <f t="shared" si="0"/>
        <v>0</v>
      </c>
      <c r="G11" s="15">
        <v>0</v>
      </c>
      <c r="H11" s="124" t="e">
        <f t="shared" si="1"/>
        <v>#DIV/0!</v>
      </c>
    </row>
    <row r="12" spans="1:8" ht="25.5">
      <c r="A12" s="13" t="s">
        <v>33</v>
      </c>
      <c r="B12" s="14" t="s">
        <v>184</v>
      </c>
      <c r="C12" s="15">
        <f t="shared" ref="C12:E12" si="2">SUM(C6:C11)</f>
        <v>0</v>
      </c>
      <c r="D12" s="15">
        <f t="shared" si="2"/>
        <v>4263000</v>
      </c>
      <c r="E12" s="15">
        <f t="shared" si="2"/>
        <v>0</v>
      </c>
      <c r="F12" s="15">
        <f t="shared" si="0"/>
        <v>4263000</v>
      </c>
      <c r="G12" s="15">
        <f t="shared" ref="G12" si="3">SUM(G6:G11)</f>
        <v>2216760</v>
      </c>
      <c r="H12" s="124">
        <f t="shared" si="1"/>
        <v>0.52</v>
      </c>
    </row>
    <row r="13" spans="1:8" ht="25.5">
      <c r="A13" s="13" t="s">
        <v>67</v>
      </c>
      <c r="B13" s="14" t="s">
        <v>185</v>
      </c>
      <c r="C13" s="15">
        <f t="shared" ref="C13:E13" si="4">SUM(C14:C19)</f>
        <v>0</v>
      </c>
      <c r="D13" s="15">
        <f t="shared" si="4"/>
        <v>0</v>
      </c>
      <c r="E13" s="15">
        <f t="shared" si="4"/>
        <v>0</v>
      </c>
      <c r="F13" s="15">
        <f t="shared" si="0"/>
        <v>0</v>
      </c>
      <c r="G13" s="15">
        <f t="shared" ref="G13" si="5">SUM(G14:G19)</f>
        <v>0</v>
      </c>
      <c r="H13" s="124" t="e">
        <f t="shared" si="1"/>
        <v>#DIV/0!</v>
      </c>
    </row>
    <row r="14" spans="1:8">
      <c r="A14" s="13" t="s">
        <v>69</v>
      </c>
      <c r="B14" s="14" t="s">
        <v>186</v>
      </c>
      <c r="C14" s="15">
        <v>0</v>
      </c>
      <c r="D14" s="15">
        <v>0</v>
      </c>
      <c r="E14" s="15">
        <v>0</v>
      </c>
      <c r="F14" s="15">
        <f t="shared" si="0"/>
        <v>0</v>
      </c>
      <c r="G14" s="15">
        <v>0</v>
      </c>
      <c r="H14" s="124" t="e">
        <f t="shared" si="1"/>
        <v>#DIV/0!</v>
      </c>
    </row>
    <row r="15" spans="1:8" ht="38.25">
      <c r="A15" s="13" t="s">
        <v>73</v>
      </c>
      <c r="B15" s="14" t="s">
        <v>187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v>0</v>
      </c>
      <c r="H15" s="124" t="e">
        <f t="shared" si="1"/>
        <v>#DIV/0!</v>
      </c>
    </row>
    <row r="16" spans="1:8" ht="25.5">
      <c r="A16" s="13" t="s">
        <v>75</v>
      </c>
      <c r="B16" s="14" t="s">
        <v>188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v>0</v>
      </c>
      <c r="H16" s="124" t="e">
        <f t="shared" si="1"/>
        <v>#DIV/0!</v>
      </c>
    </row>
    <row r="17" spans="1:8" ht="25.5">
      <c r="A17" s="13" t="s">
        <v>77</v>
      </c>
      <c r="B17" s="14" t="s">
        <v>189</v>
      </c>
      <c r="C17" s="15">
        <v>0</v>
      </c>
      <c r="D17" s="15">
        <v>0</v>
      </c>
      <c r="E17" s="15">
        <v>0</v>
      </c>
      <c r="F17" s="15">
        <f t="shared" si="0"/>
        <v>0</v>
      </c>
      <c r="G17" s="15">
        <v>0</v>
      </c>
      <c r="H17" s="124" t="e">
        <f t="shared" si="1"/>
        <v>#DIV/0!</v>
      </c>
    </row>
    <row r="18" spans="1:8">
      <c r="A18" s="13" t="s">
        <v>190</v>
      </c>
      <c r="B18" s="14" t="s">
        <v>191</v>
      </c>
      <c r="C18" s="15"/>
      <c r="D18" s="15"/>
      <c r="E18" s="15"/>
      <c r="F18" s="15">
        <f t="shared" si="0"/>
        <v>0</v>
      </c>
      <c r="G18" s="15"/>
      <c r="H18" s="124" t="e">
        <f t="shared" si="1"/>
        <v>#DIV/0!</v>
      </c>
    </row>
    <row r="19" spans="1:8" ht="25.5">
      <c r="A19" s="13" t="s">
        <v>81</v>
      </c>
      <c r="B19" s="14" t="s">
        <v>192</v>
      </c>
      <c r="C19" s="15"/>
      <c r="D19" s="15"/>
      <c r="E19" s="15"/>
      <c r="F19" s="15">
        <f t="shared" si="0"/>
        <v>0</v>
      </c>
      <c r="G19" s="15"/>
      <c r="H19" s="124" t="e">
        <f t="shared" si="1"/>
        <v>#DIV/0!</v>
      </c>
    </row>
    <row r="20" spans="1:8" ht="38.25">
      <c r="A20" s="16" t="s">
        <v>85</v>
      </c>
      <c r="B20" s="17" t="s">
        <v>193</v>
      </c>
      <c r="C20" s="18">
        <f t="shared" ref="C20:G20" si="6">C12+C13</f>
        <v>0</v>
      </c>
      <c r="D20" s="18">
        <f t="shared" si="6"/>
        <v>4263000</v>
      </c>
      <c r="E20" s="18">
        <f t="shared" si="6"/>
        <v>0</v>
      </c>
      <c r="F20" s="18">
        <f t="shared" si="0"/>
        <v>4263000</v>
      </c>
      <c r="G20" s="18">
        <f t="shared" si="6"/>
        <v>2216760</v>
      </c>
      <c r="H20" s="125">
        <f t="shared" si="1"/>
        <v>0.52</v>
      </c>
    </row>
    <row r="21" spans="1:8" ht="25.5">
      <c r="A21" s="13" t="s">
        <v>87</v>
      </c>
      <c r="B21" s="14" t="s">
        <v>194</v>
      </c>
      <c r="C21" s="15">
        <v>112010470</v>
      </c>
      <c r="D21" s="15">
        <v>0</v>
      </c>
      <c r="E21" s="15">
        <v>0</v>
      </c>
      <c r="F21" s="15">
        <f t="shared" si="0"/>
        <v>0</v>
      </c>
      <c r="G21" s="15">
        <v>0</v>
      </c>
      <c r="H21" s="124" t="e">
        <f t="shared" si="1"/>
        <v>#DIV/0!</v>
      </c>
    </row>
    <row r="22" spans="1:8" ht="38.25">
      <c r="A22" s="16" t="s">
        <v>195</v>
      </c>
      <c r="B22" s="17" t="s">
        <v>196</v>
      </c>
      <c r="C22" s="18">
        <f t="shared" ref="C22:E22" si="7">SUM(C21)</f>
        <v>112010470</v>
      </c>
      <c r="D22" s="18">
        <f t="shared" si="7"/>
        <v>0</v>
      </c>
      <c r="E22" s="18">
        <f t="shared" si="7"/>
        <v>0</v>
      </c>
      <c r="F22" s="18">
        <f t="shared" si="0"/>
        <v>0</v>
      </c>
      <c r="G22" s="18">
        <f t="shared" ref="G22" si="8">SUM(G21)</f>
        <v>0</v>
      </c>
      <c r="H22" s="125" t="e">
        <f t="shared" si="1"/>
        <v>#DIV/0!</v>
      </c>
    </row>
    <row r="23" spans="1:8" ht="25.5">
      <c r="A23" s="13" t="s">
        <v>197</v>
      </c>
      <c r="B23" s="14" t="s">
        <v>198</v>
      </c>
      <c r="C23" s="15"/>
      <c r="D23" s="15"/>
      <c r="E23" s="15"/>
      <c r="F23" s="15">
        <f t="shared" si="0"/>
        <v>0</v>
      </c>
      <c r="G23" s="15"/>
      <c r="H23" s="124" t="e">
        <f t="shared" si="1"/>
        <v>#DIV/0!</v>
      </c>
    </row>
    <row r="24" spans="1:8" ht="25.5">
      <c r="A24" s="13" t="s">
        <v>199</v>
      </c>
      <c r="B24" s="14" t="s">
        <v>200</v>
      </c>
      <c r="C24" s="15"/>
      <c r="D24" s="15">
        <v>0</v>
      </c>
      <c r="E24" s="15">
        <v>0</v>
      </c>
      <c r="F24" s="15">
        <f t="shared" si="0"/>
        <v>0</v>
      </c>
      <c r="G24" s="15">
        <v>0</v>
      </c>
      <c r="H24" s="124" t="e">
        <f t="shared" si="1"/>
        <v>#DIV/0!</v>
      </c>
    </row>
    <row r="25" spans="1:8">
      <c r="A25" s="13" t="s">
        <v>201</v>
      </c>
      <c r="B25" s="14" t="s">
        <v>202</v>
      </c>
      <c r="C25" s="15">
        <f t="shared" ref="C25:G25" si="9">SUM(C23)</f>
        <v>0</v>
      </c>
      <c r="D25" s="15">
        <f t="shared" si="9"/>
        <v>0</v>
      </c>
      <c r="E25" s="15">
        <f t="shared" si="9"/>
        <v>0</v>
      </c>
      <c r="F25" s="15">
        <f t="shared" si="0"/>
        <v>0</v>
      </c>
      <c r="G25" s="15">
        <f t="shared" si="9"/>
        <v>0</v>
      </c>
      <c r="H25" s="124" t="e">
        <f t="shared" si="1"/>
        <v>#DIV/0!</v>
      </c>
    </row>
    <row r="26" spans="1:8">
      <c r="A26" s="13" t="s">
        <v>203</v>
      </c>
      <c r="B26" s="14" t="s">
        <v>204</v>
      </c>
      <c r="C26" s="15">
        <f t="shared" ref="C26:E26" si="10">SUM(C27)</f>
        <v>0</v>
      </c>
      <c r="D26" s="15">
        <f t="shared" si="10"/>
        <v>0</v>
      </c>
      <c r="E26" s="15">
        <f t="shared" si="10"/>
        <v>0</v>
      </c>
      <c r="F26" s="15">
        <f t="shared" si="0"/>
        <v>0</v>
      </c>
      <c r="G26" s="15">
        <f t="shared" ref="G26" si="11">SUM(G27)</f>
        <v>0</v>
      </c>
      <c r="H26" s="124" t="e">
        <f t="shared" si="1"/>
        <v>#DIV/0!</v>
      </c>
    </row>
    <row r="27" spans="1:8">
      <c r="A27" s="13" t="s">
        <v>205</v>
      </c>
      <c r="B27" s="14" t="s">
        <v>206</v>
      </c>
      <c r="C27" s="15"/>
      <c r="D27" s="15"/>
      <c r="E27" s="15"/>
      <c r="F27" s="15">
        <f t="shared" si="0"/>
        <v>0</v>
      </c>
      <c r="G27" s="15"/>
      <c r="H27" s="124" t="e">
        <f t="shared" si="1"/>
        <v>#DIV/0!</v>
      </c>
    </row>
    <row r="28" spans="1:8" ht="25.5">
      <c r="A28" s="13" t="s">
        <v>207</v>
      </c>
      <c r="B28" s="14" t="s">
        <v>208</v>
      </c>
      <c r="C28" s="15">
        <f t="shared" ref="C28:E28" si="12">SUM(C29)</f>
        <v>0</v>
      </c>
      <c r="D28" s="15">
        <f t="shared" si="12"/>
        <v>0</v>
      </c>
      <c r="E28" s="15">
        <f t="shared" si="12"/>
        <v>0</v>
      </c>
      <c r="F28" s="15">
        <f t="shared" si="0"/>
        <v>0</v>
      </c>
      <c r="G28" s="15">
        <f t="shared" ref="G28" si="13">SUM(G29)</f>
        <v>0</v>
      </c>
      <c r="H28" s="124" t="e">
        <f t="shared" si="1"/>
        <v>#DIV/0!</v>
      </c>
    </row>
    <row r="29" spans="1:8" ht="38.25">
      <c r="A29" s="13" t="s">
        <v>119</v>
      </c>
      <c r="B29" s="14" t="s">
        <v>209</v>
      </c>
      <c r="C29" s="15"/>
      <c r="D29" s="15">
        <v>0</v>
      </c>
      <c r="E29" s="15">
        <v>0</v>
      </c>
      <c r="F29" s="15">
        <f t="shared" si="0"/>
        <v>0</v>
      </c>
      <c r="G29" s="15">
        <v>0</v>
      </c>
      <c r="H29" s="124" t="e">
        <f t="shared" si="1"/>
        <v>#DIV/0!</v>
      </c>
    </row>
    <row r="30" spans="1:8">
      <c r="A30" s="13" t="s">
        <v>210</v>
      </c>
      <c r="B30" s="14" t="s">
        <v>211</v>
      </c>
      <c r="C30" s="15">
        <f t="shared" ref="C30:E30" si="14">SUM(C31)</f>
        <v>0</v>
      </c>
      <c r="D30" s="15">
        <f t="shared" si="14"/>
        <v>0</v>
      </c>
      <c r="E30" s="15">
        <f t="shared" si="14"/>
        <v>0</v>
      </c>
      <c r="F30" s="15">
        <f t="shared" si="0"/>
        <v>0</v>
      </c>
      <c r="G30" s="15">
        <f t="shared" ref="G30" si="15">SUM(G31)</f>
        <v>0</v>
      </c>
      <c r="H30" s="124" t="e">
        <f t="shared" si="1"/>
        <v>#DIV/0!</v>
      </c>
    </row>
    <row r="31" spans="1:8" ht="25.5">
      <c r="A31" s="13" t="s">
        <v>212</v>
      </c>
      <c r="B31" s="14" t="s">
        <v>213</v>
      </c>
      <c r="C31" s="15"/>
      <c r="D31" s="15">
        <v>0</v>
      </c>
      <c r="E31" s="15">
        <v>0</v>
      </c>
      <c r="F31" s="15">
        <f t="shared" si="0"/>
        <v>0</v>
      </c>
      <c r="G31" s="15">
        <v>0</v>
      </c>
      <c r="H31" s="124" t="e">
        <f t="shared" si="1"/>
        <v>#DIV/0!</v>
      </c>
    </row>
    <row r="32" spans="1:8" ht="25.5">
      <c r="A32" s="13" t="s">
        <v>214</v>
      </c>
      <c r="B32" s="14" t="s">
        <v>215</v>
      </c>
      <c r="C32" s="15">
        <f t="shared" ref="C32:G32" si="16">C28+C30</f>
        <v>0</v>
      </c>
      <c r="D32" s="15">
        <f t="shared" si="16"/>
        <v>0</v>
      </c>
      <c r="E32" s="15">
        <f t="shared" si="16"/>
        <v>0</v>
      </c>
      <c r="F32" s="15">
        <f t="shared" si="0"/>
        <v>0</v>
      </c>
      <c r="G32" s="15">
        <f t="shared" si="16"/>
        <v>0</v>
      </c>
      <c r="H32" s="124" t="e">
        <f t="shared" si="1"/>
        <v>#DIV/0!</v>
      </c>
    </row>
    <row r="33" spans="1:8" ht="25.5">
      <c r="A33" s="13" t="s">
        <v>216</v>
      </c>
      <c r="B33" s="14" t="s">
        <v>217</v>
      </c>
      <c r="C33" s="15">
        <f t="shared" ref="C33:E33" si="17">SUM(C34:C35)</f>
        <v>0</v>
      </c>
      <c r="D33" s="15">
        <f t="shared" si="17"/>
        <v>0</v>
      </c>
      <c r="E33" s="15">
        <f t="shared" si="17"/>
        <v>0</v>
      </c>
      <c r="F33" s="15">
        <f t="shared" si="0"/>
        <v>0</v>
      </c>
      <c r="G33" s="15">
        <f t="shared" ref="G33" si="18">SUM(G34:G35)</f>
        <v>0</v>
      </c>
      <c r="H33" s="124" t="e">
        <f t="shared" si="1"/>
        <v>#DIV/0!</v>
      </c>
    </row>
    <row r="34" spans="1:8">
      <c r="A34" s="13" t="s">
        <v>131</v>
      </c>
      <c r="B34" s="14" t="s">
        <v>218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v>0</v>
      </c>
      <c r="H34" s="124" t="e">
        <f t="shared" si="1"/>
        <v>#DIV/0!</v>
      </c>
    </row>
    <row r="35" spans="1:8">
      <c r="A35" s="13" t="s">
        <v>219</v>
      </c>
      <c r="B35" s="14" t="s">
        <v>220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v>0</v>
      </c>
      <c r="H35" s="124" t="e">
        <f t="shared" si="1"/>
        <v>#DIV/0!</v>
      </c>
    </row>
    <row r="36" spans="1:8" ht="25.5">
      <c r="A36" s="16" t="s">
        <v>221</v>
      </c>
      <c r="B36" s="17" t="s">
        <v>222</v>
      </c>
      <c r="C36" s="18">
        <f t="shared" ref="C36:G36" si="19">C25+C26+C32+C33</f>
        <v>0</v>
      </c>
      <c r="D36" s="18">
        <f t="shared" si="19"/>
        <v>0</v>
      </c>
      <c r="E36" s="18">
        <f t="shared" si="19"/>
        <v>0</v>
      </c>
      <c r="F36" s="18">
        <f t="shared" si="0"/>
        <v>0</v>
      </c>
      <c r="G36" s="18">
        <f t="shared" si="19"/>
        <v>0</v>
      </c>
      <c r="H36" s="125" t="e">
        <f t="shared" si="1"/>
        <v>#DIV/0!</v>
      </c>
    </row>
    <row r="37" spans="1:8">
      <c r="A37" s="13" t="s">
        <v>223</v>
      </c>
      <c r="B37" s="14" t="s">
        <v>224</v>
      </c>
      <c r="C37" s="15"/>
      <c r="D37" s="15"/>
      <c r="E37" s="15"/>
      <c r="F37" s="15">
        <f t="shared" si="0"/>
        <v>0</v>
      </c>
      <c r="G37" s="15"/>
      <c r="H37" s="124" t="e">
        <f t="shared" si="1"/>
        <v>#DIV/0!</v>
      </c>
    </row>
    <row r="38" spans="1:8">
      <c r="A38" s="13" t="s">
        <v>135</v>
      </c>
      <c r="B38" s="14" t="s">
        <v>225</v>
      </c>
      <c r="C38" s="15"/>
      <c r="D38" s="15"/>
      <c r="E38" s="15"/>
      <c r="F38" s="15">
        <f t="shared" si="0"/>
        <v>0</v>
      </c>
      <c r="G38" s="15"/>
      <c r="H38" s="124" t="e">
        <f t="shared" si="1"/>
        <v>#DIV/0!</v>
      </c>
    </row>
    <row r="39" spans="1:8" ht="25.5">
      <c r="A39" s="13" t="s">
        <v>226</v>
      </c>
      <c r="B39" s="14" t="s">
        <v>227</v>
      </c>
      <c r="C39" s="15"/>
      <c r="D39" s="15"/>
      <c r="E39" s="15"/>
      <c r="F39" s="15">
        <f t="shared" si="0"/>
        <v>0</v>
      </c>
      <c r="G39" s="15"/>
      <c r="H39" s="124" t="e">
        <f t="shared" si="1"/>
        <v>#DIV/0!</v>
      </c>
    </row>
    <row r="40" spans="1:8">
      <c r="A40" s="13" t="s">
        <v>228</v>
      </c>
      <c r="B40" s="14" t="s">
        <v>229</v>
      </c>
      <c r="C40" s="15"/>
      <c r="D40" s="15">
        <v>0</v>
      </c>
      <c r="E40" s="15">
        <v>0</v>
      </c>
      <c r="F40" s="15">
        <f t="shared" si="0"/>
        <v>0</v>
      </c>
      <c r="G40" s="15">
        <v>0</v>
      </c>
      <c r="H40" s="124" t="e">
        <f t="shared" si="1"/>
        <v>#DIV/0!</v>
      </c>
    </row>
    <row r="41" spans="1:8">
      <c r="A41" s="13" t="s">
        <v>145</v>
      </c>
      <c r="B41" s="14" t="s">
        <v>230</v>
      </c>
      <c r="C41" s="15"/>
      <c r="D41" s="15">
        <v>0</v>
      </c>
      <c r="E41" s="15">
        <v>0</v>
      </c>
      <c r="F41" s="15">
        <f t="shared" si="0"/>
        <v>0</v>
      </c>
      <c r="G41" s="15">
        <v>0</v>
      </c>
      <c r="H41" s="124" t="e">
        <f t="shared" si="1"/>
        <v>#DIV/0!</v>
      </c>
    </row>
    <row r="42" spans="1:8">
      <c r="A42" s="13" t="s">
        <v>147</v>
      </c>
      <c r="B42" s="14" t="s">
        <v>231</v>
      </c>
      <c r="C42" s="15"/>
      <c r="D42" s="15"/>
      <c r="E42" s="15"/>
      <c r="F42" s="15">
        <f t="shared" si="0"/>
        <v>0</v>
      </c>
      <c r="G42" s="15"/>
      <c r="H42" s="124" t="e">
        <f t="shared" si="1"/>
        <v>#DIV/0!</v>
      </c>
    </row>
    <row r="43" spans="1:8" ht="25.5">
      <c r="A43" s="13" t="s">
        <v>155</v>
      </c>
      <c r="B43" s="14" t="s">
        <v>232</v>
      </c>
      <c r="C43" s="15"/>
      <c r="D43" s="15"/>
      <c r="E43" s="15"/>
      <c r="F43" s="15">
        <f t="shared" si="0"/>
        <v>0</v>
      </c>
      <c r="G43" s="15"/>
      <c r="H43" s="124" t="e">
        <f t="shared" si="1"/>
        <v>#DIV/0!</v>
      </c>
    </row>
    <row r="44" spans="1:8" ht="25.5">
      <c r="A44" s="13" t="s">
        <v>233</v>
      </c>
      <c r="B44" s="14" t="s">
        <v>234</v>
      </c>
      <c r="C44" s="15">
        <f t="shared" ref="C44:E44" si="20">SUM(C43)</f>
        <v>0</v>
      </c>
      <c r="D44" s="15">
        <f t="shared" si="20"/>
        <v>0</v>
      </c>
      <c r="E44" s="15">
        <f t="shared" si="20"/>
        <v>0</v>
      </c>
      <c r="F44" s="15">
        <f t="shared" si="0"/>
        <v>0</v>
      </c>
      <c r="G44" s="15">
        <f t="shared" ref="G44" si="21">SUM(G43)</f>
        <v>0</v>
      </c>
      <c r="H44" s="124" t="e">
        <f t="shared" si="1"/>
        <v>#DIV/0!</v>
      </c>
    </row>
    <row r="45" spans="1:8">
      <c r="A45" s="13" t="s">
        <v>235</v>
      </c>
      <c r="B45" s="14" t="s">
        <v>236</v>
      </c>
      <c r="C45" s="15"/>
      <c r="D45" s="15"/>
      <c r="E45" s="15"/>
      <c r="F45" s="15">
        <f t="shared" si="0"/>
        <v>0</v>
      </c>
      <c r="G45" s="15"/>
      <c r="H45" s="124" t="e">
        <f t="shared" si="1"/>
        <v>#DIV/0!</v>
      </c>
    </row>
    <row r="46" spans="1:8" ht="38.25">
      <c r="A46" s="16" t="s">
        <v>237</v>
      </c>
      <c r="B46" s="17" t="s">
        <v>238</v>
      </c>
      <c r="C46" s="18">
        <f t="shared" ref="C46:E46" si="22">C37+C38+C39+C40+C41+C42+C44+C45</f>
        <v>0</v>
      </c>
      <c r="D46" s="18">
        <f t="shared" si="22"/>
        <v>0</v>
      </c>
      <c r="E46" s="18">
        <f t="shared" si="22"/>
        <v>0</v>
      </c>
      <c r="F46" s="18">
        <f t="shared" si="0"/>
        <v>0</v>
      </c>
      <c r="G46" s="18">
        <f t="shared" ref="G46" si="23">G37+G38+G39+G40+G41+G42+G44+G45</f>
        <v>0</v>
      </c>
      <c r="H46" s="125" t="e">
        <f t="shared" si="1"/>
        <v>#DIV/0!</v>
      </c>
    </row>
    <row r="47" spans="1:8">
      <c r="A47" s="13" t="s">
        <v>239</v>
      </c>
      <c r="B47" s="14" t="s">
        <v>240</v>
      </c>
      <c r="C47" s="15"/>
      <c r="D47" s="15">
        <v>0</v>
      </c>
      <c r="E47" s="15">
        <v>0</v>
      </c>
      <c r="F47" s="15">
        <f t="shared" si="0"/>
        <v>0</v>
      </c>
      <c r="G47" s="15">
        <v>0</v>
      </c>
      <c r="H47" s="124" t="e">
        <f t="shared" si="1"/>
        <v>#DIV/0!</v>
      </c>
    </row>
    <row r="48" spans="1:8" ht="25.5">
      <c r="A48" s="16" t="s">
        <v>241</v>
      </c>
      <c r="B48" s="17" t="s">
        <v>242</v>
      </c>
      <c r="C48" s="18">
        <f t="shared" ref="C48:E48" si="24">SUM(C47)</f>
        <v>0</v>
      </c>
      <c r="D48" s="18">
        <f t="shared" si="24"/>
        <v>0</v>
      </c>
      <c r="E48" s="18">
        <f t="shared" si="24"/>
        <v>0</v>
      </c>
      <c r="F48" s="18">
        <f t="shared" si="0"/>
        <v>0</v>
      </c>
      <c r="G48" s="18">
        <f t="shared" ref="G48" si="25">SUM(G47)</f>
        <v>0</v>
      </c>
      <c r="H48" s="125" t="e">
        <f t="shared" si="1"/>
        <v>#DIV/0!</v>
      </c>
    </row>
    <row r="49" spans="1:8" s="122" customFormat="1" ht="25.5">
      <c r="A49" s="16">
        <v>231</v>
      </c>
      <c r="B49" s="17" t="s">
        <v>460</v>
      </c>
      <c r="C49" s="18">
        <f>SUM(C50)</f>
        <v>0</v>
      </c>
      <c r="D49" s="18">
        <f t="shared" ref="D49:G49" si="26">SUM(D50)</f>
        <v>0</v>
      </c>
      <c r="E49" s="18">
        <f t="shared" si="26"/>
        <v>0</v>
      </c>
      <c r="F49" s="18">
        <f t="shared" si="26"/>
        <v>0</v>
      </c>
      <c r="G49" s="18">
        <f t="shared" si="26"/>
        <v>0</v>
      </c>
      <c r="H49" s="125" t="e">
        <f t="shared" si="1"/>
        <v>#DIV/0!</v>
      </c>
    </row>
    <row r="50" spans="1:8" s="130" customFormat="1" ht="38.25">
      <c r="A50" s="20">
        <v>232</v>
      </c>
      <c r="B50" s="19" t="s">
        <v>459</v>
      </c>
      <c r="C50" s="129"/>
      <c r="D50" s="129"/>
      <c r="E50" s="129"/>
      <c r="F50" s="129">
        <f>SUM(D50:E50)</f>
        <v>0</v>
      </c>
      <c r="G50" s="129"/>
      <c r="H50" s="125" t="e">
        <f t="shared" si="1"/>
        <v>#DIV/0!</v>
      </c>
    </row>
    <row r="51" spans="1:8" ht="25.5">
      <c r="A51" s="13" t="s">
        <v>243</v>
      </c>
      <c r="B51" s="14" t="s">
        <v>244</v>
      </c>
      <c r="C51" s="15">
        <f t="shared" ref="C51:E51" si="27">SUM(C52:C54)</f>
        <v>0</v>
      </c>
      <c r="D51" s="15">
        <f t="shared" si="27"/>
        <v>0</v>
      </c>
      <c r="E51" s="15">
        <f t="shared" si="27"/>
        <v>0</v>
      </c>
      <c r="F51" s="15">
        <f t="shared" si="0"/>
        <v>0</v>
      </c>
      <c r="G51" s="15">
        <f t="shared" ref="G51" si="28">SUM(G52:G54)</f>
        <v>0</v>
      </c>
      <c r="H51" s="124" t="e">
        <f t="shared" si="1"/>
        <v>#DIV/0!</v>
      </c>
    </row>
    <row r="52" spans="1:8">
      <c r="A52" s="13" t="s">
        <v>245</v>
      </c>
      <c r="B52" s="14" t="s">
        <v>246</v>
      </c>
      <c r="C52" s="15"/>
      <c r="D52" s="15"/>
      <c r="E52" s="15"/>
      <c r="F52" s="15">
        <f t="shared" si="0"/>
        <v>0</v>
      </c>
      <c r="G52" s="15"/>
      <c r="H52" s="124" t="e">
        <f t="shared" si="1"/>
        <v>#DIV/0!</v>
      </c>
    </row>
    <row r="53" spans="1:8">
      <c r="A53" s="13" t="s">
        <v>247</v>
      </c>
      <c r="B53" s="14" t="s">
        <v>248</v>
      </c>
      <c r="C53" s="15"/>
      <c r="D53" s="15"/>
      <c r="E53" s="15"/>
      <c r="F53" s="15">
        <f t="shared" si="0"/>
        <v>0</v>
      </c>
      <c r="G53" s="15"/>
      <c r="H53" s="124" t="e">
        <f t="shared" si="1"/>
        <v>#DIV/0!</v>
      </c>
    </row>
    <row r="54" spans="1:8">
      <c r="A54" s="13" t="s">
        <v>249</v>
      </c>
      <c r="B54" s="14" t="s">
        <v>250</v>
      </c>
      <c r="C54" s="15"/>
      <c r="D54" s="15"/>
      <c r="E54" s="15">
        <v>0</v>
      </c>
      <c r="F54" s="15">
        <f t="shared" si="0"/>
        <v>0</v>
      </c>
      <c r="G54" s="15">
        <v>0</v>
      </c>
      <c r="H54" s="124" t="e">
        <f t="shared" si="1"/>
        <v>#DIV/0!</v>
      </c>
    </row>
    <row r="55" spans="1:8" ht="25.5">
      <c r="A55" s="16" t="s">
        <v>251</v>
      </c>
      <c r="B55" s="17" t="s">
        <v>252</v>
      </c>
      <c r="C55" s="18">
        <f>C51+C49</f>
        <v>0</v>
      </c>
      <c r="D55" s="18">
        <f t="shared" ref="D55:G55" si="29">D51+D49</f>
        <v>0</v>
      </c>
      <c r="E55" s="18">
        <f t="shared" si="29"/>
        <v>0</v>
      </c>
      <c r="F55" s="18">
        <f t="shared" si="29"/>
        <v>0</v>
      </c>
      <c r="G55" s="18">
        <f t="shared" si="29"/>
        <v>0</v>
      </c>
      <c r="H55" s="125" t="e">
        <f t="shared" si="1"/>
        <v>#DIV/0!</v>
      </c>
    </row>
    <row r="56" spans="1:8" ht="25.5">
      <c r="A56" s="16" t="s">
        <v>253</v>
      </c>
      <c r="B56" s="17" t="s">
        <v>254</v>
      </c>
      <c r="C56" s="18">
        <f t="shared" ref="C56:E56" si="30">C55+C46+C48+C36+C20+C22</f>
        <v>112010470</v>
      </c>
      <c r="D56" s="18">
        <f t="shared" si="30"/>
        <v>4263000</v>
      </c>
      <c r="E56" s="18">
        <f t="shared" si="30"/>
        <v>0</v>
      </c>
      <c r="F56" s="18">
        <f t="shared" si="0"/>
        <v>4263000</v>
      </c>
      <c r="G56" s="18">
        <f t="shared" ref="G56" si="31">G55+G46+G48+G36+G20+G22</f>
        <v>2216760</v>
      </c>
      <c r="H56" s="125">
        <f t="shared" si="1"/>
        <v>0.52</v>
      </c>
    </row>
    <row r="57" spans="1:8" s="128" customFormat="1" ht="25.5">
      <c r="A57" s="20">
        <v>294</v>
      </c>
      <c r="B57" s="19" t="s">
        <v>465</v>
      </c>
      <c r="C57" s="18"/>
      <c r="D57" s="18"/>
      <c r="E57" s="129">
        <v>200000000</v>
      </c>
      <c r="F57" s="15">
        <f t="shared" si="0"/>
        <v>200000000</v>
      </c>
      <c r="G57" s="129">
        <v>200000000</v>
      </c>
      <c r="H57" s="124">
        <f t="shared" si="1"/>
        <v>1</v>
      </c>
    </row>
    <row r="58" spans="1:8" ht="25.5">
      <c r="A58" s="13" t="s">
        <v>255</v>
      </c>
      <c r="B58" s="14" t="s">
        <v>256</v>
      </c>
      <c r="C58" s="15">
        <v>81138000</v>
      </c>
      <c r="D58" s="15">
        <v>225918000</v>
      </c>
      <c r="E58" s="15">
        <v>-100000</v>
      </c>
      <c r="F58" s="15">
        <f t="shared" si="0"/>
        <v>225818000</v>
      </c>
      <c r="G58" s="15">
        <v>225818000</v>
      </c>
      <c r="H58" s="124">
        <f t="shared" si="1"/>
        <v>1</v>
      </c>
    </row>
    <row r="59" spans="1:8">
      <c r="A59" s="13" t="s">
        <v>163</v>
      </c>
      <c r="B59" s="14" t="s">
        <v>257</v>
      </c>
      <c r="C59" s="15">
        <f t="shared" ref="C59:E59" si="32">SUM(C58)</f>
        <v>81138000</v>
      </c>
      <c r="D59" s="15">
        <f t="shared" si="32"/>
        <v>225918000</v>
      </c>
      <c r="E59" s="15">
        <f t="shared" si="32"/>
        <v>-100000</v>
      </c>
      <c r="F59" s="15">
        <f t="shared" si="0"/>
        <v>225818000</v>
      </c>
      <c r="G59" s="15">
        <f t="shared" ref="G59" si="33">SUM(G58)</f>
        <v>225818000</v>
      </c>
      <c r="H59" s="124">
        <f t="shared" si="1"/>
        <v>1</v>
      </c>
    </row>
    <row r="60" spans="1:8">
      <c r="A60" s="13" t="s">
        <v>258</v>
      </c>
      <c r="B60" s="14" t="s">
        <v>259</v>
      </c>
      <c r="C60" s="15"/>
      <c r="D60" s="15">
        <v>0</v>
      </c>
      <c r="E60" s="15">
        <v>0</v>
      </c>
      <c r="F60" s="15">
        <f t="shared" si="0"/>
        <v>0</v>
      </c>
      <c r="G60" s="15">
        <v>0</v>
      </c>
      <c r="H60" s="124" t="e">
        <f t="shared" si="1"/>
        <v>#DIV/0!</v>
      </c>
    </row>
    <row r="61" spans="1:8">
      <c r="A61" s="13">
        <v>300</v>
      </c>
      <c r="B61" s="19" t="s">
        <v>412</v>
      </c>
      <c r="C61" s="15"/>
      <c r="D61" s="15"/>
      <c r="E61" s="15"/>
      <c r="F61" s="15"/>
      <c r="G61" s="15"/>
      <c r="H61" s="124"/>
    </row>
    <row r="62" spans="1:8" ht="25.5">
      <c r="A62" s="13" t="s">
        <v>260</v>
      </c>
      <c r="B62" s="14" t="s">
        <v>261</v>
      </c>
      <c r="C62" s="15">
        <f>C57+C59+C60+C61</f>
        <v>81138000</v>
      </c>
      <c r="D62" s="15">
        <f t="shared" ref="D62:G62" si="34">D57+D59+D60+D61</f>
        <v>225918000</v>
      </c>
      <c r="E62" s="15">
        <f t="shared" si="34"/>
        <v>199900000</v>
      </c>
      <c r="F62" s="15">
        <f t="shared" si="34"/>
        <v>425818000</v>
      </c>
      <c r="G62" s="15">
        <f t="shared" si="34"/>
        <v>425818000</v>
      </c>
      <c r="H62" s="124">
        <f t="shared" si="1"/>
        <v>1</v>
      </c>
    </row>
    <row r="63" spans="1:8" ht="25.5">
      <c r="A63" s="16" t="s">
        <v>262</v>
      </c>
      <c r="B63" s="17" t="s">
        <v>263</v>
      </c>
      <c r="C63" s="18">
        <f t="shared" ref="C63:E63" si="35">SUM(C62)</f>
        <v>81138000</v>
      </c>
      <c r="D63" s="18">
        <f t="shared" si="35"/>
        <v>225918000</v>
      </c>
      <c r="E63" s="18">
        <f t="shared" si="35"/>
        <v>199900000</v>
      </c>
      <c r="F63" s="18">
        <f t="shared" si="0"/>
        <v>425818000</v>
      </c>
      <c r="G63" s="18">
        <f t="shared" ref="G63" si="36">SUM(G62)</f>
        <v>425818000</v>
      </c>
      <c r="H63" s="125">
        <f t="shared" si="1"/>
        <v>1</v>
      </c>
    </row>
    <row r="64" spans="1:8">
      <c r="A64" s="16" t="s">
        <v>264</v>
      </c>
      <c r="B64" s="17" t="s">
        <v>265</v>
      </c>
      <c r="C64" s="18">
        <f t="shared" ref="C64:E64" si="37">C56+C63</f>
        <v>193148470</v>
      </c>
      <c r="D64" s="18">
        <f t="shared" si="37"/>
        <v>230181000</v>
      </c>
      <c r="E64" s="18">
        <f t="shared" si="37"/>
        <v>199900000</v>
      </c>
      <c r="F64" s="18">
        <f t="shared" si="0"/>
        <v>430081000</v>
      </c>
      <c r="G64" s="18">
        <f t="shared" ref="G64" si="38">G56+G63</f>
        <v>428034760</v>
      </c>
      <c r="H64" s="125">
        <f t="shared" si="1"/>
        <v>0.99524219856259633</v>
      </c>
    </row>
    <row r="66" spans="1:8" ht="60">
      <c r="A66" s="12" t="s">
        <v>0</v>
      </c>
      <c r="B66" s="12" t="s">
        <v>1</v>
      </c>
      <c r="C66" s="12" t="s">
        <v>269</v>
      </c>
      <c r="D66" s="12" t="s">
        <v>270</v>
      </c>
      <c r="E66" s="12" t="s">
        <v>271</v>
      </c>
      <c r="F66" s="12" t="s">
        <v>457</v>
      </c>
      <c r="G66" s="12" t="s">
        <v>273</v>
      </c>
      <c r="H66" s="123" t="s">
        <v>274</v>
      </c>
    </row>
    <row r="67" spans="1:8" ht="25.5">
      <c r="A67" s="13" t="s">
        <v>31</v>
      </c>
      <c r="B67" s="14" t="s">
        <v>32</v>
      </c>
      <c r="C67" s="15"/>
      <c r="D67" s="15"/>
      <c r="E67" s="15"/>
      <c r="F67" s="15">
        <f t="shared" si="0"/>
        <v>0</v>
      </c>
      <c r="G67" s="15"/>
      <c r="H67" s="124" t="e">
        <f t="shared" si="1"/>
        <v>#DIV/0!</v>
      </c>
    </row>
    <row r="68" spans="1:8" ht="25.5">
      <c r="A68" s="21" t="s">
        <v>178</v>
      </c>
      <c r="B68" s="14" t="s">
        <v>282</v>
      </c>
      <c r="C68" s="15"/>
      <c r="D68" s="15"/>
      <c r="E68" s="15"/>
      <c r="F68" s="15"/>
      <c r="G68" s="15"/>
      <c r="H68" s="124"/>
    </row>
    <row r="69" spans="1:8">
      <c r="A69" s="13" t="s">
        <v>33</v>
      </c>
      <c r="B69" s="14" t="s">
        <v>34</v>
      </c>
      <c r="C69" s="15"/>
      <c r="D69" s="15"/>
      <c r="E69" s="15"/>
      <c r="F69" s="15">
        <f t="shared" si="0"/>
        <v>0</v>
      </c>
      <c r="G69" s="15"/>
      <c r="H69" s="124" t="e">
        <f t="shared" si="1"/>
        <v>#DIV/0!</v>
      </c>
    </row>
    <row r="70" spans="1:8">
      <c r="A70" s="13" t="s">
        <v>35</v>
      </c>
      <c r="B70" s="14" t="s">
        <v>36</v>
      </c>
      <c r="C70" s="15"/>
      <c r="D70" s="15"/>
      <c r="E70" s="15"/>
      <c r="F70" s="15">
        <f t="shared" si="0"/>
        <v>0</v>
      </c>
      <c r="G70" s="15"/>
      <c r="H70" s="124" t="e">
        <f t="shared" si="1"/>
        <v>#DIV/0!</v>
      </c>
    </row>
    <row r="71" spans="1:8">
      <c r="A71" s="13" t="s">
        <v>37</v>
      </c>
      <c r="B71" s="14" t="s">
        <v>38</v>
      </c>
      <c r="C71" s="15"/>
      <c r="D71" s="15"/>
      <c r="E71" s="15"/>
      <c r="F71" s="15">
        <f t="shared" si="0"/>
        <v>0</v>
      </c>
      <c r="G71" s="15"/>
      <c r="H71" s="124" t="e">
        <f t="shared" si="1"/>
        <v>#DIV/0!</v>
      </c>
    </row>
    <row r="72" spans="1:8" ht="25.5">
      <c r="A72" s="13" t="s">
        <v>39</v>
      </c>
      <c r="B72" s="14" t="s">
        <v>40</v>
      </c>
      <c r="C72" s="15"/>
      <c r="D72" s="15"/>
      <c r="E72" s="15"/>
      <c r="F72" s="15">
        <f t="shared" si="0"/>
        <v>0</v>
      </c>
      <c r="G72" s="15"/>
      <c r="H72" s="124" t="e">
        <f t="shared" si="1"/>
        <v>#DIV/0!</v>
      </c>
    </row>
    <row r="73" spans="1:8" ht="25.5">
      <c r="A73" s="13" t="s">
        <v>41</v>
      </c>
      <c r="B73" s="14" t="s">
        <v>42</v>
      </c>
      <c r="C73" s="15">
        <f t="shared" ref="C73:E73" si="39">SUM(C67:C72)</f>
        <v>0</v>
      </c>
      <c r="D73" s="15">
        <f t="shared" si="39"/>
        <v>0</v>
      </c>
      <c r="E73" s="15">
        <f t="shared" si="39"/>
        <v>0</v>
      </c>
      <c r="F73" s="15">
        <f t="shared" si="0"/>
        <v>0</v>
      </c>
      <c r="G73" s="15">
        <f t="shared" ref="G73" si="40">SUM(G67:G72)</f>
        <v>0</v>
      </c>
      <c r="H73" s="124" t="e">
        <f t="shared" si="1"/>
        <v>#DIV/0!</v>
      </c>
    </row>
    <row r="74" spans="1:8">
      <c r="A74" s="13" t="s">
        <v>43</v>
      </c>
      <c r="B74" s="14" t="s">
        <v>44</v>
      </c>
      <c r="C74" s="15"/>
      <c r="D74" s="15"/>
      <c r="E74" s="15"/>
      <c r="F74" s="15">
        <f t="shared" si="0"/>
        <v>0</v>
      </c>
      <c r="G74" s="15"/>
      <c r="H74" s="124" t="e">
        <f t="shared" si="1"/>
        <v>#DIV/0!</v>
      </c>
    </row>
    <row r="75" spans="1:8" ht="38.25">
      <c r="A75" s="13" t="s">
        <v>45</v>
      </c>
      <c r="B75" s="14" t="s">
        <v>46</v>
      </c>
      <c r="C75" s="15"/>
      <c r="D75" s="15"/>
      <c r="E75" s="15"/>
      <c r="F75" s="15">
        <f t="shared" si="0"/>
        <v>0</v>
      </c>
      <c r="G75" s="15"/>
      <c r="H75" s="124" t="e">
        <f t="shared" si="1"/>
        <v>#DIV/0!</v>
      </c>
    </row>
    <row r="76" spans="1:8">
      <c r="A76" s="13" t="s">
        <v>47</v>
      </c>
      <c r="B76" s="14" t="s">
        <v>48</v>
      </c>
      <c r="C76" s="15"/>
      <c r="D76" s="15"/>
      <c r="E76" s="15"/>
      <c r="F76" s="15">
        <f t="shared" ref="F76:F142" si="41">SUM(D76:E76)</f>
        <v>0</v>
      </c>
      <c r="G76" s="15"/>
      <c r="H76" s="124" t="e">
        <f t="shared" ref="H76:H142" si="42">G76/F76</f>
        <v>#DIV/0!</v>
      </c>
    </row>
    <row r="77" spans="1:8">
      <c r="A77" s="13" t="s">
        <v>49</v>
      </c>
      <c r="B77" s="14" t="s">
        <v>50</v>
      </c>
      <c r="C77" s="15">
        <f t="shared" ref="C77:E77" si="43">SUM(C74:C76)</f>
        <v>0</v>
      </c>
      <c r="D77" s="15">
        <f t="shared" si="43"/>
        <v>0</v>
      </c>
      <c r="E77" s="15">
        <f t="shared" si="43"/>
        <v>0</v>
      </c>
      <c r="F77" s="15">
        <f t="shared" si="41"/>
        <v>0</v>
      </c>
      <c r="G77" s="15">
        <f t="shared" ref="G77" si="44">SUM(G74:G76)</f>
        <v>0</v>
      </c>
      <c r="H77" s="124" t="e">
        <f t="shared" si="42"/>
        <v>#DIV/0!</v>
      </c>
    </row>
    <row r="78" spans="1:8">
      <c r="A78" s="16" t="s">
        <v>51</v>
      </c>
      <c r="B78" s="17" t="s">
        <v>52</v>
      </c>
      <c r="C78" s="18">
        <f t="shared" ref="C78:E78" si="45">C73+C77</f>
        <v>0</v>
      </c>
      <c r="D78" s="18">
        <f t="shared" si="45"/>
        <v>0</v>
      </c>
      <c r="E78" s="18">
        <f t="shared" si="45"/>
        <v>0</v>
      </c>
      <c r="F78" s="18">
        <f t="shared" si="41"/>
        <v>0</v>
      </c>
      <c r="G78" s="18">
        <f t="shared" ref="G78" si="46">G73+G77</f>
        <v>0</v>
      </c>
      <c r="H78" s="125" t="e">
        <f t="shared" si="42"/>
        <v>#DIV/0!</v>
      </c>
    </row>
    <row r="79" spans="1:8" ht="25.5">
      <c r="A79" s="16" t="s">
        <v>53</v>
      </c>
      <c r="B79" s="17" t="s">
        <v>54</v>
      </c>
      <c r="C79" s="18">
        <f t="shared" ref="C79:E79" si="47">SUM(C80:C83)</f>
        <v>0</v>
      </c>
      <c r="D79" s="18">
        <f t="shared" si="47"/>
        <v>0</v>
      </c>
      <c r="E79" s="18">
        <f t="shared" si="47"/>
        <v>0</v>
      </c>
      <c r="F79" s="18">
        <f t="shared" si="41"/>
        <v>0</v>
      </c>
      <c r="G79" s="18">
        <f t="shared" ref="G79" si="48">SUM(G80:G83)</f>
        <v>0</v>
      </c>
      <c r="H79" s="125" t="e">
        <f t="shared" si="42"/>
        <v>#DIV/0!</v>
      </c>
    </row>
    <row r="80" spans="1:8">
      <c r="A80" s="13" t="s">
        <v>55</v>
      </c>
      <c r="B80" s="14" t="s">
        <v>56</v>
      </c>
      <c r="C80" s="15"/>
      <c r="D80" s="15"/>
      <c r="E80" s="15"/>
      <c r="F80" s="15">
        <f t="shared" si="41"/>
        <v>0</v>
      </c>
      <c r="G80" s="15"/>
      <c r="H80" s="124" t="e">
        <f t="shared" si="42"/>
        <v>#DIV/0!</v>
      </c>
    </row>
    <row r="81" spans="1:8">
      <c r="A81" s="13" t="s">
        <v>57</v>
      </c>
      <c r="B81" s="14" t="s">
        <v>58</v>
      </c>
      <c r="C81" s="15"/>
      <c r="D81" s="15"/>
      <c r="E81" s="15"/>
      <c r="F81" s="15">
        <f t="shared" si="41"/>
        <v>0</v>
      </c>
      <c r="G81" s="15"/>
      <c r="H81" s="124" t="e">
        <f t="shared" si="42"/>
        <v>#DIV/0!</v>
      </c>
    </row>
    <row r="82" spans="1:8">
      <c r="A82" s="13" t="s">
        <v>59</v>
      </c>
      <c r="B82" s="14" t="s">
        <v>60</v>
      </c>
      <c r="C82" s="15"/>
      <c r="D82" s="15"/>
      <c r="E82" s="15"/>
      <c r="F82" s="15">
        <f t="shared" si="41"/>
        <v>0</v>
      </c>
      <c r="G82" s="15"/>
      <c r="H82" s="124" t="e">
        <f t="shared" si="42"/>
        <v>#DIV/0!</v>
      </c>
    </row>
    <row r="83" spans="1:8" ht="25.5">
      <c r="A83" s="13" t="s">
        <v>61</v>
      </c>
      <c r="B83" s="14" t="s">
        <v>62</v>
      </c>
      <c r="C83" s="15"/>
      <c r="D83" s="15"/>
      <c r="E83" s="15"/>
      <c r="F83" s="15">
        <f t="shared" si="41"/>
        <v>0</v>
      </c>
      <c r="G83" s="15"/>
      <c r="H83" s="124" t="e">
        <f t="shared" si="42"/>
        <v>#DIV/0!</v>
      </c>
    </row>
    <row r="84" spans="1:8">
      <c r="A84" s="13" t="s">
        <v>63</v>
      </c>
      <c r="B84" s="14" t="s">
        <v>64</v>
      </c>
      <c r="C84" s="15"/>
      <c r="D84" s="15"/>
      <c r="E84" s="15"/>
      <c r="F84" s="15">
        <f t="shared" si="41"/>
        <v>0</v>
      </c>
      <c r="G84" s="15"/>
      <c r="H84" s="124" t="e">
        <f t="shared" si="42"/>
        <v>#DIV/0!</v>
      </c>
    </row>
    <row r="85" spans="1:8">
      <c r="A85" s="13" t="s">
        <v>65</v>
      </c>
      <c r="B85" s="14" t="s">
        <v>66</v>
      </c>
      <c r="C85" s="15">
        <v>841484</v>
      </c>
      <c r="D85" s="15">
        <v>1350000</v>
      </c>
      <c r="E85" s="15"/>
      <c r="F85" s="15">
        <f t="shared" si="41"/>
        <v>1350000</v>
      </c>
      <c r="G85" s="15">
        <v>27717</v>
      </c>
      <c r="H85" s="124">
        <f t="shared" si="42"/>
        <v>2.0531111111111111E-2</v>
      </c>
    </row>
    <row r="86" spans="1:8">
      <c r="A86" s="13" t="s">
        <v>67</v>
      </c>
      <c r="B86" s="14" t="s">
        <v>68</v>
      </c>
      <c r="C86" s="15">
        <f t="shared" ref="C86:E86" si="49">SUM(C84:C85)</f>
        <v>841484</v>
      </c>
      <c r="D86" s="15">
        <f t="shared" si="49"/>
        <v>1350000</v>
      </c>
      <c r="E86" s="15">
        <f t="shared" si="49"/>
        <v>0</v>
      </c>
      <c r="F86" s="15">
        <f t="shared" si="41"/>
        <v>1350000</v>
      </c>
      <c r="G86" s="15">
        <f t="shared" ref="G86" si="50">SUM(G84:G85)</f>
        <v>27717</v>
      </c>
      <c r="H86" s="124">
        <f t="shared" si="42"/>
        <v>2.0531111111111111E-2</v>
      </c>
    </row>
    <row r="87" spans="1:8">
      <c r="A87" s="13" t="s">
        <v>69</v>
      </c>
      <c r="B87" s="14" t="s">
        <v>70</v>
      </c>
      <c r="C87" s="15"/>
      <c r="D87" s="15"/>
      <c r="E87" s="15"/>
      <c r="F87" s="15">
        <f t="shared" si="41"/>
        <v>0</v>
      </c>
      <c r="G87" s="15"/>
      <c r="H87" s="124" t="e">
        <f t="shared" si="42"/>
        <v>#DIV/0!</v>
      </c>
    </row>
    <row r="88" spans="1:8">
      <c r="A88" s="13" t="s">
        <v>71</v>
      </c>
      <c r="B88" s="14" t="s">
        <v>72</v>
      </c>
      <c r="C88" s="15"/>
      <c r="D88" s="15"/>
      <c r="E88" s="15"/>
      <c r="F88" s="15">
        <f t="shared" si="41"/>
        <v>0</v>
      </c>
      <c r="G88" s="15"/>
      <c r="H88" s="124" t="e">
        <f t="shared" si="42"/>
        <v>#DIV/0!</v>
      </c>
    </row>
    <row r="89" spans="1:8">
      <c r="A89" s="13" t="s">
        <v>73</v>
      </c>
      <c r="B89" s="14" t="s">
        <v>74</v>
      </c>
      <c r="C89" s="15">
        <f t="shared" ref="C89:E89" si="51">SUM(C87:C88)</f>
        <v>0</v>
      </c>
      <c r="D89" s="15">
        <f t="shared" si="51"/>
        <v>0</v>
      </c>
      <c r="E89" s="15">
        <f t="shared" si="51"/>
        <v>0</v>
      </c>
      <c r="F89" s="15">
        <f t="shared" si="41"/>
        <v>0</v>
      </c>
      <c r="G89" s="15">
        <f t="shared" ref="G89" si="52">SUM(G87:G88)</f>
        <v>0</v>
      </c>
      <c r="H89" s="124" t="e">
        <f t="shared" si="42"/>
        <v>#DIV/0!</v>
      </c>
    </row>
    <row r="90" spans="1:8">
      <c r="A90" s="13" t="s">
        <v>75</v>
      </c>
      <c r="B90" s="14" t="s">
        <v>76</v>
      </c>
      <c r="C90" s="15"/>
      <c r="D90" s="15"/>
      <c r="E90" s="15"/>
      <c r="F90" s="15">
        <f t="shared" si="41"/>
        <v>0</v>
      </c>
      <c r="G90" s="15"/>
      <c r="H90" s="124" t="e">
        <f t="shared" si="42"/>
        <v>#DIV/0!</v>
      </c>
    </row>
    <row r="91" spans="1:8">
      <c r="A91" s="13" t="s">
        <v>77</v>
      </c>
      <c r="B91" s="14" t="s">
        <v>78</v>
      </c>
      <c r="C91" s="15">
        <v>0</v>
      </c>
      <c r="D91" s="15">
        <v>0</v>
      </c>
      <c r="E91" s="15">
        <v>0</v>
      </c>
      <c r="F91" s="15">
        <f t="shared" si="41"/>
        <v>0</v>
      </c>
      <c r="G91" s="15">
        <v>0</v>
      </c>
      <c r="H91" s="124" t="e">
        <f t="shared" si="42"/>
        <v>#DIV/0!</v>
      </c>
    </row>
    <row r="92" spans="1:8">
      <c r="A92" s="20" t="s">
        <v>276</v>
      </c>
      <c r="B92" s="19" t="s">
        <v>277</v>
      </c>
      <c r="C92" s="15"/>
      <c r="D92" s="15"/>
      <c r="E92" s="15"/>
      <c r="F92" s="15"/>
      <c r="G92" s="15"/>
      <c r="H92" s="124"/>
    </row>
    <row r="93" spans="1:8">
      <c r="A93" s="13" t="s">
        <v>79</v>
      </c>
      <c r="B93" s="14" t="s">
        <v>80</v>
      </c>
      <c r="C93" s="15">
        <v>0</v>
      </c>
      <c r="D93" s="15">
        <v>500000</v>
      </c>
      <c r="E93" s="15">
        <v>0</v>
      </c>
      <c r="F93" s="15">
        <f t="shared" si="41"/>
        <v>500000</v>
      </c>
      <c r="G93" s="15">
        <v>0</v>
      </c>
      <c r="H93" s="124">
        <f t="shared" si="42"/>
        <v>0</v>
      </c>
    </row>
    <row r="94" spans="1:8">
      <c r="A94" s="13" t="s">
        <v>81</v>
      </c>
      <c r="B94" s="14" t="s">
        <v>82</v>
      </c>
      <c r="C94" s="15"/>
      <c r="D94" s="15"/>
      <c r="E94" s="15"/>
      <c r="F94" s="15">
        <f t="shared" si="41"/>
        <v>0</v>
      </c>
      <c r="G94" s="15"/>
      <c r="H94" s="124" t="e">
        <f t="shared" si="42"/>
        <v>#DIV/0!</v>
      </c>
    </row>
    <row r="95" spans="1:8">
      <c r="A95" s="13" t="s">
        <v>83</v>
      </c>
      <c r="B95" s="14" t="s">
        <v>84</v>
      </c>
      <c r="C95" s="15"/>
      <c r="D95" s="15"/>
      <c r="E95" s="15"/>
      <c r="F95" s="15">
        <f t="shared" si="41"/>
        <v>0</v>
      </c>
      <c r="G95" s="15"/>
      <c r="H95" s="124" t="e">
        <f t="shared" si="42"/>
        <v>#DIV/0!</v>
      </c>
    </row>
    <row r="96" spans="1:8" ht="25.5">
      <c r="A96" s="13" t="s">
        <v>85</v>
      </c>
      <c r="B96" s="14" t="s">
        <v>86</v>
      </c>
      <c r="C96" s="15"/>
      <c r="D96" s="15"/>
      <c r="E96" s="15"/>
      <c r="F96" s="15">
        <f t="shared" si="41"/>
        <v>0</v>
      </c>
      <c r="G96" s="15"/>
      <c r="H96" s="124" t="e">
        <f t="shared" si="42"/>
        <v>#DIV/0!</v>
      </c>
    </row>
    <row r="97" spans="1:8">
      <c r="A97" s="13" t="s">
        <v>87</v>
      </c>
      <c r="B97" s="14" t="s">
        <v>88</v>
      </c>
      <c r="C97" s="15">
        <v>1300000</v>
      </c>
      <c r="D97" s="15">
        <v>1400000</v>
      </c>
      <c r="E97" s="15"/>
      <c r="F97" s="15">
        <f t="shared" si="41"/>
        <v>1400000</v>
      </c>
      <c r="G97" s="15">
        <v>1300000</v>
      </c>
      <c r="H97" s="124">
        <f t="shared" si="42"/>
        <v>0.9285714285714286</v>
      </c>
    </row>
    <row r="98" spans="1:8">
      <c r="A98" s="13" t="s">
        <v>89</v>
      </c>
      <c r="B98" s="14" t="s">
        <v>90</v>
      </c>
      <c r="C98" s="15"/>
      <c r="D98" s="15"/>
      <c r="E98" s="15"/>
      <c r="F98" s="15">
        <f t="shared" si="41"/>
        <v>0</v>
      </c>
      <c r="G98" s="15"/>
      <c r="H98" s="124" t="e">
        <f t="shared" si="42"/>
        <v>#DIV/0!</v>
      </c>
    </row>
    <row r="99" spans="1:8" ht="25.5">
      <c r="A99" s="13" t="s">
        <v>91</v>
      </c>
      <c r="B99" s="14" t="s">
        <v>92</v>
      </c>
      <c r="C99" s="15">
        <f>C90+C91+C93+C94+C96+C97+C92</f>
        <v>1300000</v>
      </c>
      <c r="D99" s="15">
        <f t="shared" ref="D99:G99" si="53">D90+D91+D93+D94+D96+D97+D92</f>
        <v>1900000</v>
      </c>
      <c r="E99" s="15">
        <f t="shared" si="53"/>
        <v>0</v>
      </c>
      <c r="F99" s="15">
        <f t="shared" si="53"/>
        <v>1900000</v>
      </c>
      <c r="G99" s="15">
        <f t="shared" si="53"/>
        <v>1300000</v>
      </c>
      <c r="H99" s="124">
        <f t="shared" si="42"/>
        <v>0.68421052631578949</v>
      </c>
    </row>
    <row r="100" spans="1:8">
      <c r="A100" s="13" t="s">
        <v>280</v>
      </c>
      <c r="B100" s="14" t="s">
        <v>281</v>
      </c>
      <c r="C100" s="15"/>
      <c r="D100" s="15"/>
      <c r="E100" s="15"/>
      <c r="F100" s="15"/>
      <c r="G100" s="15"/>
      <c r="H100" s="124"/>
    </row>
    <row r="101" spans="1:8">
      <c r="A101" s="13" t="s">
        <v>93</v>
      </c>
      <c r="B101" s="14" t="s">
        <v>94</v>
      </c>
      <c r="C101" s="15"/>
      <c r="D101" s="15"/>
      <c r="E101" s="15"/>
      <c r="F101" s="15">
        <f t="shared" si="41"/>
        <v>0</v>
      </c>
      <c r="G101" s="15"/>
      <c r="H101" s="124" t="e">
        <f t="shared" si="42"/>
        <v>#DIV/0!</v>
      </c>
    </row>
    <row r="102" spans="1:8" ht="25.5">
      <c r="A102" s="13" t="s">
        <v>95</v>
      </c>
      <c r="B102" s="14" t="s">
        <v>96</v>
      </c>
      <c r="C102" s="15">
        <f>SUM(C100:C101)</f>
        <v>0</v>
      </c>
      <c r="D102" s="15">
        <f t="shared" ref="D102:G102" si="54">SUM(D100:D101)</f>
        <v>0</v>
      </c>
      <c r="E102" s="15">
        <f t="shared" si="54"/>
        <v>0</v>
      </c>
      <c r="F102" s="15">
        <f t="shared" si="54"/>
        <v>0</v>
      </c>
      <c r="G102" s="15">
        <f t="shared" si="54"/>
        <v>0</v>
      </c>
      <c r="H102" s="124" t="e">
        <f t="shared" si="42"/>
        <v>#DIV/0!</v>
      </c>
    </row>
    <row r="103" spans="1:8" ht="25.5">
      <c r="A103" s="13" t="s">
        <v>97</v>
      </c>
      <c r="B103" s="14" t="s">
        <v>98</v>
      </c>
      <c r="C103" s="15">
        <v>578201</v>
      </c>
      <c r="D103" s="15">
        <v>1013000</v>
      </c>
      <c r="E103" s="15">
        <v>-20000</v>
      </c>
      <c r="F103" s="15">
        <f t="shared" si="41"/>
        <v>993000</v>
      </c>
      <c r="G103" s="15">
        <v>358483</v>
      </c>
      <c r="H103" s="124">
        <f t="shared" si="42"/>
        <v>0.36101007049345418</v>
      </c>
    </row>
    <row r="104" spans="1:8" s="122" customFormat="1">
      <c r="A104" s="13">
        <v>52</v>
      </c>
      <c r="B104" s="14" t="s">
        <v>458</v>
      </c>
      <c r="C104" s="15"/>
      <c r="D104" s="15"/>
      <c r="E104" s="15"/>
      <c r="F104" s="15">
        <f t="shared" si="41"/>
        <v>0</v>
      </c>
      <c r="G104" s="15"/>
      <c r="H104" s="124"/>
    </row>
    <row r="105" spans="1:8">
      <c r="A105" s="13" t="s">
        <v>99</v>
      </c>
      <c r="B105" s="14" t="s">
        <v>100</v>
      </c>
      <c r="C105" s="15"/>
      <c r="D105" s="15"/>
      <c r="E105" s="15">
        <v>100000</v>
      </c>
      <c r="F105" s="15">
        <f t="shared" si="41"/>
        <v>100000</v>
      </c>
      <c r="G105" s="15">
        <v>100000</v>
      </c>
      <c r="H105" s="124">
        <f t="shared" si="42"/>
        <v>1</v>
      </c>
    </row>
    <row r="106" spans="1:8" ht="25.5">
      <c r="A106" s="13" t="s">
        <v>101</v>
      </c>
      <c r="B106" s="14" t="s">
        <v>102</v>
      </c>
      <c r="C106" s="15">
        <f t="shared" ref="C106:E106" si="55">SUM(C103:C105)</f>
        <v>578201</v>
      </c>
      <c r="D106" s="15">
        <f t="shared" si="55"/>
        <v>1013000</v>
      </c>
      <c r="E106" s="15">
        <f t="shared" si="55"/>
        <v>80000</v>
      </c>
      <c r="F106" s="15">
        <f t="shared" si="41"/>
        <v>1093000</v>
      </c>
      <c r="G106" s="15">
        <f t="shared" ref="G106" si="56">SUM(G103:G105)</f>
        <v>458483</v>
      </c>
      <c r="H106" s="124">
        <f t="shared" si="42"/>
        <v>0.41947209515096068</v>
      </c>
    </row>
    <row r="107" spans="1:8">
      <c r="A107" s="16" t="s">
        <v>103</v>
      </c>
      <c r="B107" s="17" t="s">
        <v>104</v>
      </c>
      <c r="C107" s="18">
        <f t="shared" ref="C107:E107" si="57">C86+C89+C99+C102+C106</f>
        <v>2719685</v>
      </c>
      <c r="D107" s="18">
        <f t="shared" si="57"/>
        <v>4263000</v>
      </c>
      <c r="E107" s="18">
        <f t="shared" si="57"/>
        <v>80000</v>
      </c>
      <c r="F107" s="18">
        <f t="shared" si="41"/>
        <v>4343000</v>
      </c>
      <c r="G107" s="18">
        <f t="shared" ref="G107" si="58">G86+G89+G99+G102+G106</f>
        <v>1786200</v>
      </c>
      <c r="H107" s="125">
        <f t="shared" si="42"/>
        <v>0.41128252360119733</v>
      </c>
    </row>
    <row r="108" spans="1:8">
      <c r="A108" s="13" t="s">
        <v>105</v>
      </c>
      <c r="B108" s="14" t="s">
        <v>106</v>
      </c>
      <c r="C108" s="15">
        <f t="shared" ref="C108:E108" si="59">SUM(C109)</f>
        <v>0</v>
      </c>
      <c r="D108" s="15">
        <f t="shared" si="59"/>
        <v>0</v>
      </c>
      <c r="E108" s="15">
        <f t="shared" si="59"/>
        <v>0</v>
      </c>
      <c r="F108" s="15">
        <f t="shared" si="41"/>
        <v>0</v>
      </c>
      <c r="G108" s="15">
        <f t="shared" ref="G108" si="60">SUM(G109)</f>
        <v>0</v>
      </c>
      <c r="H108" s="124" t="e">
        <f t="shared" si="42"/>
        <v>#DIV/0!</v>
      </c>
    </row>
    <row r="109" spans="1:8" ht="25.5">
      <c r="A109" s="13" t="s">
        <v>107</v>
      </c>
      <c r="B109" s="14" t="s">
        <v>108</v>
      </c>
      <c r="C109" s="15">
        <v>0</v>
      </c>
      <c r="D109" s="15">
        <v>0</v>
      </c>
      <c r="E109" s="15">
        <v>0</v>
      </c>
      <c r="F109" s="15">
        <f t="shared" si="41"/>
        <v>0</v>
      </c>
      <c r="G109" s="15">
        <v>0</v>
      </c>
      <c r="H109" s="124" t="e">
        <f t="shared" si="42"/>
        <v>#DIV/0!</v>
      </c>
    </row>
    <row r="110" spans="1:8" ht="25.5">
      <c r="A110" s="13" t="s">
        <v>109</v>
      </c>
      <c r="B110" s="14" t="s">
        <v>110</v>
      </c>
      <c r="C110" s="15">
        <f t="shared" ref="C110:E110" si="61">SUM(C111:C113)</f>
        <v>0</v>
      </c>
      <c r="D110" s="15">
        <f t="shared" si="61"/>
        <v>0</v>
      </c>
      <c r="E110" s="15">
        <f t="shared" si="61"/>
        <v>0</v>
      </c>
      <c r="F110" s="15">
        <f t="shared" si="41"/>
        <v>0</v>
      </c>
      <c r="G110" s="15">
        <f t="shared" ref="G110" si="62">SUM(G111:G113)</f>
        <v>0</v>
      </c>
      <c r="H110" s="124" t="e">
        <f t="shared" si="42"/>
        <v>#DIV/0!</v>
      </c>
    </row>
    <row r="111" spans="1:8" ht="25.5">
      <c r="A111" s="13" t="s">
        <v>111</v>
      </c>
      <c r="B111" s="14" t="s">
        <v>112</v>
      </c>
      <c r="C111" s="15">
        <v>0</v>
      </c>
      <c r="D111" s="15">
        <v>0</v>
      </c>
      <c r="E111" s="15">
        <v>0</v>
      </c>
      <c r="F111" s="15">
        <f t="shared" si="41"/>
        <v>0</v>
      </c>
      <c r="G111" s="15">
        <v>0</v>
      </c>
      <c r="H111" s="124" t="e">
        <f t="shared" si="42"/>
        <v>#DIV/0!</v>
      </c>
    </row>
    <row r="112" spans="1:8">
      <c r="A112" s="13" t="s">
        <v>113</v>
      </c>
      <c r="B112" s="14" t="s">
        <v>114</v>
      </c>
      <c r="C112" s="15">
        <v>0</v>
      </c>
      <c r="D112" s="15">
        <v>0</v>
      </c>
      <c r="E112" s="15">
        <v>0</v>
      </c>
      <c r="F112" s="15">
        <f t="shared" si="41"/>
        <v>0</v>
      </c>
      <c r="G112" s="15">
        <v>0</v>
      </c>
      <c r="H112" s="124" t="e">
        <f t="shared" si="42"/>
        <v>#DIV/0!</v>
      </c>
    </row>
    <row r="113" spans="1:8" ht="38.25">
      <c r="A113" s="13" t="s">
        <v>115</v>
      </c>
      <c r="B113" s="14" t="s">
        <v>116</v>
      </c>
      <c r="C113" s="15">
        <v>0</v>
      </c>
      <c r="D113" s="15">
        <v>0</v>
      </c>
      <c r="E113" s="15">
        <v>0</v>
      </c>
      <c r="F113" s="15">
        <f t="shared" si="41"/>
        <v>0</v>
      </c>
      <c r="G113" s="15">
        <v>0</v>
      </c>
      <c r="H113" s="124" t="e">
        <f t="shared" si="42"/>
        <v>#DIV/0!</v>
      </c>
    </row>
    <row r="114" spans="1:8" ht="25.5">
      <c r="A114" s="16" t="s">
        <v>117</v>
      </c>
      <c r="B114" s="17" t="s">
        <v>118</v>
      </c>
      <c r="C114" s="18">
        <f t="shared" ref="C114:G114" si="63">C108+C110</f>
        <v>0</v>
      </c>
      <c r="D114" s="18">
        <f t="shared" si="63"/>
        <v>0</v>
      </c>
      <c r="E114" s="18">
        <f t="shared" si="63"/>
        <v>0</v>
      </c>
      <c r="F114" s="18">
        <f t="shared" si="41"/>
        <v>0</v>
      </c>
      <c r="G114" s="18">
        <f t="shared" si="63"/>
        <v>0</v>
      </c>
      <c r="H114" s="125" t="e">
        <f t="shared" si="42"/>
        <v>#DIV/0!</v>
      </c>
    </row>
    <row r="115" spans="1:8" ht="25.5">
      <c r="A115" s="13" t="s">
        <v>119</v>
      </c>
      <c r="B115" s="14" t="s">
        <v>120</v>
      </c>
      <c r="C115" s="15">
        <v>0</v>
      </c>
      <c r="D115" s="15">
        <v>0</v>
      </c>
      <c r="E115" s="15">
        <v>0</v>
      </c>
      <c r="F115" s="15">
        <f t="shared" si="41"/>
        <v>0</v>
      </c>
      <c r="G115" s="15">
        <v>0</v>
      </c>
      <c r="H115" s="124" t="e">
        <f t="shared" si="42"/>
        <v>#DIV/0!</v>
      </c>
    </row>
    <row r="116" spans="1:8" ht="25.5">
      <c r="A116" s="13" t="s">
        <v>121</v>
      </c>
      <c r="B116" s="14" t="s">
        <v>122</v>
      </c>
      <c r="C116" s="15">
        <v>0</v>
      </c>
      <c r="D116" s="15">
        <v>0</v>
      </c>
      <c r="E116" s="15">
        <v>0</v>
      </c>
      <c r="F116" s="15">
        <f t="shared" si="41"/>
        <v>0</v>
      </c>
      <c r="G116" s="15">
        <v>0</v>
      </c>
      <c r="H116" s="124" t="e">
        <f t="shared" si="42"/>
        <v>#DIV/0!</v>
      </c>
    </row>
    <row r="117" spans="1:8" ht="25.5">
      <c r="A117" s="13" t="s">
        <v>123</v>
      </c>
      <c r="B117" s="14" t="s">
        <v>124</v>
      </c>
      <c r="C117" s="15">
        <f t="shared" ref="C117:E117" si="64">SUM(C115:C116)</f>
        <v>0</v>
      </c>
      <c r="D117" s="15">
        <f t="shared" si="64"/>
        <v>0</v>
      </c>
      <c r="E117" s="15">
        <f t="shared" si="64"/>
        <v>0</v>
      </c>
      <c r="F117" s="15">
        <f t="shared" si="41"/>
        <v>0</v>
      </c>
      <c r="G117" s="15">
        <f t="shared" ref="G117" si="65">SUM(G115:G116)</f>
        <v>0</v>
      </c>
      <c r="H117" s="124" t="e">
        <f t="shared" si="42"/>
        <v>#DIV/0!</v>
      </c>
    </row>
    <row r="118" spans="1:8" ht="25.5">
      <c r="A118" s="13" t="s">
        <v>125</v>
      </c>
      <c r="B118" s="14" t="s">
        <v>126</v>
      </c>
      <c r="C118" s="15">
        <f t="shared" ref="C118:E118" si="66">SUM(C119)</f>
        <v>0</v>
      </c>
      <c r="D118" s="15">
        <f t="shared" si="66"/>
        <v>0</v>
      </c>
      <c r="E118" s="15">
        <f t="shared" si="66"/>
        <v>0</v>
      </c>
      <c r="F118" s="15">
        <f t="shared" si="41"/>
        <v>0</v>
      </c>
      <c r="G118" s="15">
        <f t="shared" ref="G118" si="67">SUM(G119)</f>
        <v>0</v>
      </c>
      <c r="H118" s="124" t="e">
        <f t="shared" si="42"/>
        <v>#DIV/0!</v>
      </c>
    </row>
    <row r="119" spans="1:8" ht="25.5">
      <c r="A119" s="13" t="s">
        <v>127</v>
      </c>
      <c r="B119" s="14" t="s">
        <v>128</v>
      </c>
      <c r="C119" s="15"/>
      <c r="D119" s="15"/>
      <c r="E119" s="15"/>
      <c r="F119" s="15">
        <f t="shared" si="41"/>
        <v>0</v>
      </c>
      <c r="G119" s="15"/>
      <c r="H119" s="124" t="e">
        <f t="shared" si="42"/>
        <v>#DIV/0!</v>
      </c>
    </row>
    <row r="120" spans="1:8" ht="25.5">
      <c r="A120" s="13" t="s">
        <v>129</v>
      </c>
      <c r="B120" s="14" t="s">
        <v>130</v>
      </c>
      <c r="C120" s="15">
        <f t="shared" ref="C120:E120" si="68">SUM(C121:C123)</f>
        <v>0</v>
      </c>
      <c r="D120" s="15">
        <f t="shared" si="68"/>
        <v>0</v>
      </c>
      <c r="E120" s="15">
        <f t="shared" si="68"/>
        <v>0</v>
      </c>
      <c r="F120" s="15">
        <f t="shared" si="41"/>
        <v>0</v>
      </c>
      <c r="G120" s="15">
        <f t="shared" ref="G120" si="69">SUM(G121:G123)</f>
        <v>0</v>
      </c>
      <c r="H120" s="124" t="e">
        <f t="shared" si="42"/>
        <v>#DIV/0!</v>
      </c>
    </row>
    <row r="121" spans="1:8">
      <c r="A121" s="13" t="s">
        <v>131</v>
      </c>
      <c r="B121" s="14" t="s">
        <v>132</v>
      </c>
      <c r="C121" s="15"/>
      <c r="D121" s="15"/>
      <c r="E121" s="15"/>
      <c r="F121" s="15">
        <f t="shared" si="41"/>
        <v>0</v>
      </c>
      <c r="G121" s="15"/>
      <c r="H121" s="124" t="e">
        <f t="shared" si="42"/>
        <v>#DIV/0!</v>
      </c>
    </row>
    <row r="122" spans="1:8">
      <c r="A122" s="13" t="s">
        <v>133</v>
      </c>
      <c r="B122" s="14" t="s">
        <v>134</v>
      </c>
      <c r="C122" s="15"/>
      <c r="D122" s="15"/>
      <c r="E122" s="15"/>
      <c r="F122" s="15">
        <f t="shared" si="41"/>
        <v>0</v>
      </c>
      <c r="G122" s="15"/>
      <c r="H122" s="124" t="e">
        <f t="shared" si="42"/>
        <v>#DIV/0!</v>
      </c>
    </row>
    <row r="123" spans="1:8">
      <c r="A123" s="13" t="s">
        <v>135</v>
      </c>
      <c r="B123" s="14" t="s">
        <v>136</v>
      </c>
      <c r="C123" s="15"/>
      <c r="D123" s="15"/>
      <c r="E123" s="15"/>
      <c r="F123" s="15">
        <f t="shared" si="41"/>
        <v>0</v>
      </c>
      <c r="G123" s="15"/>
      <c r="H123" s="124" t="e">
        <f t="shared" si="42"/>
        <v>#DIV/0!</v>
      </c>
    </row>
    <row r="124" spans="1:8">
      <c r="A124" s="13">
        <v>188</v>
      </c>
      <c r="B124" s="14" t="s">
        <v>275</v>
      </c>
      <c r="C124" s="15"/>
      <c r="D124" s="15"/>
      <c r="E124" s="15"/>
      <c r="F124" s="15">
        <f t="shared" si="41"/>
        <v>0</v>
      </c>
      <c r="G124" s="15"/>
      <c r="H124" s="124"/>
    </row>
    <row r="125" spans="1:8" ht="38.25">
      <c r="A125" s="16" t="s">
        <v>137</v>
      </c>
      <c r="B125" s="17" t="s">
        <v>138</v>
      </c>
      <c r="C125" s="18">
        <f>C117+C119+C120+C124</f>
        <v>0</v>
      </c>
      <c r="D125" s="18">
        <f t="shared" ref="D125:G125" si="70">D117+D119+D120+D124</f>
        <v>0</v>
      </c>
      <c r="E125" s="18">
        <f t="shared" si="70"/>
        <v>0</v>
      </c>
      <c r="F125" s="18">
        <f t="shared" si="70"/>
        <v>0</v>
      </c>
      <c r="G125" s="18">
        <f t="shared" si="70"/>
        <v>0</v>
      </c>
      <c r="H125" s="125" t="e">
        <f t="shared" si="42"/>
        <v>#DIV/0!</v>
      </c>
    </row>
    <row r="126" spans="1:8" s="128" customFormat="1">
      <c r="A126" s="20">
        <v>192</v>
      </c>
      <c r="B126" s="19" t="s">
        <v>466</v>
      </c>
      <c r="C126" s="18"/>
      <c r="D126" s="18"/>
      <c r="E126" s="18"/>
      <c r="F126" s="15">
        <f t="shared" ref="F126" si="71">SUM(D126:E126)</f>
        <v>0</v>
      </c>
      <c r="G126" s="15"/>
      <c r="H126" s="124" t="e">
        <f t="shared" ref="H126" si="72">G126/F126</f>
        <v>#DIV/0!</v>
      </c>
    </row>
    <row r="127" spans="1:8">
      <c r="A127" s="13" t="s">
        <v>139</v>
      </c>
      <c r="B127" s="14" t="s">
        <v>140</v>
      </c>
      <c r="C127" s="15">
        <v>0</v>
      </c>
      <c r="D127" s="15">
        <v>0</v>
      </c>
      <c r="E127" s="15">
        <v>0</v>
      </c>
      <c r="F127" s="15">
        <f t="shared" si="41"/>
        <v>0</v>
      </c>
      <c r="G127" s="15">
        <v>0</v>
      </c>
      <c r="H127" s="124" t="e">
        <f t="shared" si="42"/>
        <v>#DIV/0!</v>
      </c>
    </row>
    <row r="128" spans="1:8" ht="25.5">
      <c r="A128" s="13" t="s">
        <v>141</v>
      </c>
      <c r="B128" s="14" t="s">
        <v>142</v>
      </c>
      <c r="C128" s="15">
        <v>0</v>
      </c>
      <c r="D128" s="15">
        <v>0</v>
      </c>
      <c r="E128" s="15">
        <v>0</v>
      </c>
      <c r="F128" s="15">
        <f t="shared" si="41"/>
        <v>0</v>
      </c>
      <c r="G128" s="15">
        <v>0</v>
      </c>
      <c r="H128" s="124" t="e">
        <f t="shared" si="42"/>
        <v>#DIV/0!</v>
      </c>
    </row>
    <row r="129" spans="1:8" ht="25.5">
      <c r="A129" s="13" t="s">
        <v>143</v>
      </c>
      <c r="B129" s="14" t="s">
        <v>144</v>
      </c>
      <c r="C129" s="15"/>
      <c r="D129" s="15"/>
      <c r="E129" s="15"/>
      <c r="F129" s="15">
        <f t="shared" si="41"/>
        <v>0</v>
      </c>
      <c r="G129" s="15"/>
      <c r="H129" s="124" t="e">
        <f t="shared" si="42"/>
        <v>#DIV/0!</v>
      </c>
    </row>
    <row r="130" spans="1:8" ht="25.5">
      <c r="A130" s="13" t="s">
        <v>145</v>
      </c>
      <c r="B130" s="14" t="s">
        <v>146</v>
      </c>
      <c r="C130" s="15"/>
      <c r="D130" s="15"/>
      <c r="E130" s="15"/>
      <c r="F130" s="15">
        <f t="shared" si="41"/>
        <v>0</v>
      </c>
      <c r="G130" s="15"/>
      <c r="H130" s="124" t="e">
        <f t="shared" si="42"/>
        <v>#DIV/0!</v>
      </c>
    </row>
    <row r="131" spans="1:8">
      <c r="A131" s="16" t="s">
        <v>147</v>
      </c>
      <c r="B131" s="17" t="s">
        <v>148</v>
      </c>
      <c r="C131" s="18">
        <f>SUM(C126:C130)</f>
        <v>0</v>
      </c>
      <c r="D131" s="18">
        <f t="shared" ref="D131:G131" si="73">SUM(D126:D130)</f>
        <v>0</v>
      </c>
      <c r="E131" s="18">
        <f t="shared" si="73"/>
        <v>0</v>
      </c>
      <c r="F131" s="18">
        <f t="shared" si="73"/>
        <v>0</v>
      </c>
      <c r="G131" s="18">
        <f t="shared" si="73"/>
        <v>0</v>
      </c>
      <c r="H131" s="125" t="e">
        <f t="shared" si="42"/>
        <v>#DIV/0!</v>
      </c>
    </row>
    <row r="132" spans="1:8">
      <c r="A132" s="13" t="s">
        <v>149</v>
      </c>
      <c r="B132" s="14" t="s">
        <v>150</v>
      </c>
      <c r="C132" s="15">
        <v>16862933</v>
      </c>
      <c r="D132" s="15">
        <v>177888000</v>
      </c>
      <c r="E132" s="15">
        <v>-157480315</v>
      </c>
      <c r="F132" s="15">
        <f t="shared" si="41"/>
        <v>20407685</v>
      </c>
      <c r="G132" s="15"/>
      <c r="H132" s="124">
        <f t="shared" si="42"/>
        <v>0</v>
      </c>
    </row>
    <row r="133" spans="1:8">
      <c r="A133" s="13" t="s">
        <v>151</v>
      </c>
      <c r="B133" s="14" t="s">
        <v>152</v>
      </c>
      <c r="C133" s="15"/>
      <c r="D133" s="15"/>
      <c r="E133" s="15"/>
      <c r="F133" s="15">
        <f t="shared" si="41"/>
        <v>0</v>
      </c>
      <c r="G133" s="15"/>
      <c r="H133" s="124" t="e">
        <f t="shared" si="42"/>
        <v>#DIV/0!</v>
      </c>
    </row>
    <row r="134" spans="1:8" ht="25.5">
      <c r="A134" s="13" t="s">
        <v>153</v>
      </c>
      <c r="B134" s="14" t="s">
        <v>154</v>
      </c>
      <c r="C134" s="15">
        <v>4552992</v>
      </c>
      <c r="D134" s="15">
        <v>48030000</v>
      </c>
      <c r="E134" s="15">
        <v>-42519685</v>
      </c>
      <c r="F134" s="15">
        <f t="shared" si="41"/>
        <v>5510315</v>
      </c>
      <c r="G134" s="15"/>
      <c r="H134" s="124">
        <f t="shared" si="42"/>
        <v>0</v>
      </c>
    </row>
    <row r="135" spans="1:8">
      <c r="A135" s="16" t="s">
        <v>155</v>
      </c>
      <c r="B135" s="17" t="s">
        <v>156</v>
      </c>
      <c r="C135" s="18">
        <f t="shared" ref="C135:E135" si="74">SUM(C132:C134)</f>
        <v>21415925</v>
      </c>
      <c r="D135" s="18">
        <f t="shared" si="74"/>
        <v>225918000</v>
      </c>
      <c r="E135" s="18">
        <f t="shared" si="74"/>
        <v>-200000000</v>
      </c>
      <c r="F135" s="18">
        <f t="shared" si="41"/>
        <v>25918000</v>
      </c>
      <c r="G135" s="18">
        <f t="shared" ref="G135" si="75">SUM(G132:G134)</f>
        <v>0</v>
      </c>
      <c r="H135" s="125">
        <f t="shared" si="42"/>
        <v>0</v>
      </c>
    </row>
    <row r="136" spans="1:8" ht="25.5">
      <c r="A136" s="16" t="s">
        <v>157</v>
      </c>
      <c r="B136" s="17" t="s">
        <v>158</v>
      </c>
      <c r="C136" s="18">
        <f t="shared" ref="C136:E136" si="76">C78+C79+C107+C114+C125+C131+C135</f>
        <v>24135610</v>
      </c>
      <c r="D136" s="18">
        <f t="shared" si="76"/>
        <v>230181000</v>
      </c>
      <c r="E136" s="18">
        <f t="shared" si="76"/>
        <v>-199920000</v>
      </c>
      <c r="F136" s="18">
        <f t="shared" si="41"/>
        <v>30261000</v>
      </c>
      <c r="G136" s="18">
        <f t="shared" ref="G136" si="77">G78+G79+G107+G114+G125+G131+G135</f>
        <v>1786200</v>
      </c>
      <c r="H136" s="125">
        <f t="shared" si="42"/>
        <v>5.9026469713492617E-2</v>
      </c>
    </row>
    <row r="137" spans="1:8" s="130" customFormat="1" ht="25.5">
      <c r="A137" s="20">
        <v>288</v>
      </c>
      <c r="B137" s="19" t="s">
        <v>463</v>
      </c>
      <c r="C137" s="129"/>
      <c r="D137" s="129"/>
      <c r="E137" s="129">
        <v>399820000</v>
      </c>
      <c r="F137" s="15">
        <f t="shared" si="41"/>
        <v>399820000</v>
      </c>
      <c r="G137" s="129">
        <v>399820000</v>
      </c>
      <c r="H137" s="125">
        <f t="shared" si="42"/>
        <v>1</v>
      </c>
    </row>
    <row r="138" spans="1:8" ht="25.5">
      <c r="A138" s="13" t="s">
        <v>159</v>
      </c>
      <c r="B138" s="14" t="s">
        <v>160</v>
      </c>
      <c r="C138" s="15">
        <v>0</v>
      </c>
      <c r="D138" s="15">
        <v>0</v>
      </c>
      <c r="E138" s="15">
        <v>0</v>
      </c>
      <c r="F138" s="15">
        <f t="shared" si="41"/>
        <v>0</v>
      </c>
      <c r="G138" s="15">
        <v>0</v>
      </c>
      <c r="H138" s="124" t="e">
        <f t="shared" si="42"/>
        <v>#DIV/0!</v>
      </c>
    </row>
    <row r="139" spans="1:8" ht="25.5">
      <c r="A139" s="13" t="s">
        <v>161</v>
      </c>
      <c r="B139" s="14" t="s">
        <v>162</v>
      </c>
      <c r="C139" s="15">
        <v>0</v>
      </c>
      <c r="D139" s="15">
        <v>0</v>
      </c>
      <c r="E139" s="15">
        <v>0</v>
      </c>
      <c r="F139" s="15">
        <f t="shared" si="41"/>
        <v>0</v>
      </c>
      <c r="G139" s="15">
        <v>0</v>
      </c>
      <c r="H139" s="124" t="e">
        <f t="shared" si="42"/>
        <v>#DIV/0!</v>
      </c>
    </row>
    <row r="140" spans="1:8" ht="25.5">
      <c r="A140" s="13" t="s">
        <v>163</v>
      </c>
      <c r="B140" s="14" t="s">
        <v>164</v>
      </c>
      <c r="C140" s="15">
        <f>SUM(C137:C139)</f>
        <v>0</v>
      </c>
      <c r="D140" s="15">
        <f t="shared" ref="D140:G140" si="78">SUM(D137:D139)</f>
        <v>0</v>
      </c>
      <c r="E140" s="15">
        <f t="shared" si="78"/>
        <v>399820000</v>
      </c>
      <c r="F140" s="15">
        <f t="shared" si="78"/>
        <v>399820000</v>
      </c>
      <c r="G140" s="15">
        <f t="shared" si="78"/>
        <v>399820000</v>
      </c>
      <c r="H140" s="124">
        <f t="shared" si="42"/>
        <v>1</v>
      </c>
    </row>
    <row r="141" spans="1:8" ht="25.5">
      <c r="A141" s="16" t="s">
        <v>165</v>
      </c>
      <c r="B141" s="17" t="s">
        <v>166</v>
      </c>
      <c r="C141" s="18">
        <f t="shared" ref="C141:E141" si="79">SUM(C140)</f>
        <v>0</v>
      </c>
      <c r="D141" s="18">
        <f t="shared" si="79"/>
        <v>0</v>
      </c>
      <c r="E141" s="18">
        <f t="shared" si="79"/>
        <v>399820000</v>
      </c>
      <c r="F141" s="18">
        <f t="shared" si="41"/>
        <v>399820000</v>
      </c>
      <c r="G141" s="18">
        <f t="shared" ref="G141" si="80">SUM(G140)</f>
        <v>399820000</v>
      </c>
      <c r="H141" s="125">
        <f t="shared" si="42"/>
        <v>1</v>
      </c>
    </row>
    <row r="142" spans="1:8">
      <c r="A142" s="16" t="s">
        <v>167</v>
      </c>
      <c r="B142" s="17" t="s">
        <v>168</v>
      </c>
      <c r="C142" s="18">
        <f t="shared" ref="C142:E142" si="81">C136+C141</f>
        <v>24135610</v>
      </c>
      <c r="D142" s="18">
        <f t="shared" si="81"/>
        <v>230181000</v>
      </c>
      <c r="E142" s="18">
        <f t="shared" si="81"/>
        <v>199900000</v>
      </c>
      <c r="F142" s="18">
        <f t="shared" si="41"/>
        <v>430081000</v>
      </c>
      <c r="G142" s="18">
        <f t="shared" ref="G142" si="82">G136+G141</f>
        <v>401606200</v>
      </c>
      <c r="H142" s="125">
        <f t="shared" si="42"/>
        <v>0.93379200662200845</v>
      </c>
    </row>
  </sheetData>
  <mergeCells count="3">
    <mergeCell ref="A1:H1"/>
    <mergeCell ref="A2:H2"/>
    <mergeCell ref="A3:H3"/>
  </mergeCells>
  <pageMargins left="0.25" right="0.25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39</vt:i4>
      </vt:variant>
      <vt:variant>
        <vt:lpstr>Névvel ellátott tartományok</vt:lpstr>
      </vt:variant>
      <vt:variant>
        <vt:i4>3</vt:i4>
      </vt:variant>
    </vt:vector>
  </HeadingPairs>
  <TitlesOfParts>
    <vt:vector size="42" baseType="lpstr">
      <vt:lpstr>Igazg.</vt:lpstr>
      <vt:lpstr>Adók</vt:lpstr>
      <vt:lpstr>Temető</vt:lpstr>
      <vt:lpstr>Önk.vagyon</vt:lpstr>
      <vt:lpstr>Múzeum</vt:lpstr>
      <vt:lpstr>Rendezvények</vt:lpstr>
      <vt:lpstr>Közter.rend.</vt:lpstr>
      <vt:lpstr>Közf.</vt:lpstr>
      <vt:lpstr>Közutak</vt:lpstr>
      <vt:lpstr>Közvil.</vt:lpstr>
      <vt:lpstr>Zöldter.</vt:lpstr>
      <vt:lpstr>Város-község</vt:lpstr>
      <vt:lpstr>Háziorvos</vt:lpstr>
      <vt:lpstr>Sport</vt:lpstr>
      <vt:lpstr>Könyvtár</vt:lpstr>
      <vt:lpstr>Művelődési H.</vt:lpstr>
      <vt:lpstr>Közösségi Ház</vt:lpstr>
      <vt:lpstr>Isk.1-4.</vt:lpstr>
      <vt:lpstr>Isk.5-8.</vt:lpstr>
      <vt:lpstr>Gyermekétk.</vt:lpstr>
      <vt:lpstr>Családvéd.</vt:lpstr>
      <vt:lpstr>Gyermekvéd.</vt:lpstr>
      <vt:lpstr>Családtám.</vt:lpstr>
      <vt:lpstr>Egyéb szoc.</vt:lpstr>
      <vt:lpstr>Önk.összesen</vt:lpstr>
      <vt:lpstr>091110</vt:lpstr>
      <vt:lpstr>091140</vt:lpstr>
      <vt:lpstr>096015</vt:lpstr>
      <vt:lpstr>Ovi összesen</vt:lpstr>
      <vt:lpstr>Össz.össz.</vt:lpstr>
      <vt:lpstr>Műk.mérleg</vt:lpstr>
      <vt:lpstr>Felhalm.mérleg</vt:lpstr>
      <vt:lpstr>Felhalmozás</vt:lpstr>
      <vt:lpstr>Védőnő</vt:lpstr>
      <vt:lpstr>Hivatal összesen</vt:lpstr>
      <vt:lpstr>05. űrlap-Hkér</vt:lpstr>
      <vt:lpstr>06.űrlap-Hkér</vt:lpstr>
      <vt:lpstr>05.űrlap-Ovi</vt:lpstr>
      <vt:lpstr>06.űrlap-Ovi</vt:lpstr>
      <vt:lpstr>Felhalm.mérleg!Nyomtatási_terület</vt:lpstr>
      <vt:lpstr>Műk.mérleg!Nyomtatási_terület</vt:lpstr>
      <vt:lpstr>Önk.összesen!Nyomtatási_terület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bajnaine</dc:creator>
  <cp:lastModifiedBy>pszabina</cp:lastModifiedBy>
  <cp:lastPrinted>2017-08-23T11:20:59Z</cp:lastPrinted>
  <dcterms:created xsi:type="dcterms:W3CDTF">2017-06-08T08:42:20Z</dcterms:created>
  <dcterms:modified xsi:type="dcterms:W3CDTF">2017-08-23T11:21:33Z</dcterms:modified>
</cp:coreProperties>
</file>