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1" activeTab="14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 " sheetId="7" r:id="rId7"/>
    <sheet name="4.b.számú melléklet   " sheetId="8" r:id="rId8"/>
    <sheet name="5.számú melléklet  " sheetId="9" r:id="rId9"/>
    <sheet name="6.számú melléklet  " sheetId="10" r:id="rId10"/>
    <sheet name="7.számú melléklet " sheetId="11" r:id="rId11"/>
    <sheet name="8.számú melléklet " sheetId="12" r:id="rId12"/>
    <sheet name="9.számú melléklet  " sheetId="13" r:id="rId13"/>
    <sheet name="10.számú melléklet " sheetId="14" r:id="rId14"/>
    <sheet name="11. számú melléklet" sheetId="15" r:id="rId15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'!$A$1:$O$4</definedName>
    <definedName name="_xlnm.Print_Area" localSheetId="2">'2. számú melléklet  '!$A$1:$I$49</definedName>
    <definedName name="_xlnm.Print_Area" localSheetId="4">'3.a. számú melléklet'!$A$1:$AR$66</definedName>
    <definedName name="_xlnm.Print_Area" localSheetId="5">'4. számú melléklet   '!$A$1:$BC$74</definedName>
  </definedNames>
  <calcPr fullCalcOnLoad="1"/>
</workbook>
</file>

<file path=xl/sharedStrings.xml><?xml version="1.0" encoding="utf-8"?>
<sst xmlns="http://schemas.openxmlformats.org/spreadsheetml/2006/main" count="1040" uniqueCount="656">
  <si>
    <t>Sorszám</t>
  </si>
  <si>
    <t xml:space="preserve">Megnevezés </t>
  </si>
  <si>
    <t>1.</t>
  </si>
  <si>
    <t>2.</t>
  </si>
  <si>
    <t>3.</t>
  </si>
  <si>
    <t>4.</t>
  </si>
  <si>
    <t xml:space="preserve">5. </t>
  </si>
  <si>
    <t>Működési célú kiadások összesen</t>
  </si>
  <si>
    <t>Összesen</t>
  </si>
  <si>
    <t>Feladat megnevezése</t>
  </si>
  <si>
    <t>Megnevezés</t>
  </si>
  <si>
    <t>ssz.</t>
  </si>
  <si>
    <t>7.</t>
  </si>
  <si>
    <t>10.</t>
  </si>
  <si>
    <t>ezer Ft-ban</t>
  </si>
  <si>
    <t>Sor-sz.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</si>
  <si>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</si>
  <si>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</si>
  <si>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</si>
  <si>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</si>
  <si>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</si>
  <si>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</si>
  <si>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</si>
  <si>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</si>
  <si>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</si>
  <si>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</si>
  <si>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</si>
  <si>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</si>
  <si>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</si>
  <si>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</si>
  <si>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</si>
  <si>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</si>
  <si>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</si>
  <si>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</si>
  <si>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</si>
  <si>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</si>
  <si>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</si>
  <si>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</si>
  <si>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</si>
  <si>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</si>
  <si>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</si>
  <si>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</si>
  <si>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</si>
  <si>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Hozzájárulás jogcíme</t>
  </si>
  <si>
    <t>Ft/fő</t>
  </si>
  <si>
    <t xml:space="preserve">  -</t>
  </si>
  <si>
    <t xml:space="preserve">Feladat </t>
  </si>
  <si>
    <t>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</si>
  <si>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</si>
  <si>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</si>
  <si>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</si>
  <si>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</si>
  <si>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</si>
  <si>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</si>
  <si>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</si>
  <si>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</si>
  <si>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</si>
  <si>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</si>
  <si>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</si>
  <si>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Képviselőtestület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</si>
  <si>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</si>
  <si>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</si>
  <si>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</si>
  <si>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</si>
  <si>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</si>
  <si>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Család és nővédelmi egészségügyi gond.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</si>
  <si>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</si>
  <si>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</si>
  <si>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</si>
  <si>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</si>
  <si>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</si>
  <si>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</si>
  <si>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</si>
  <si>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</si>
  <si>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</si>
  <si>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</si>
  <si>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</si>
  <si>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</si>
  <si>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Máshová nem sorolható szabadidős szolg.</t>
  </si>
  <si>
    <t>Kiadások összesen</t>
  </si>
  <si>
    <t>Önkormányzat bevételei összesen:</t>
  </si>
  <si>
    <t>Bevételek mindösszesen:</t>
  </si>
  <si>
    <t>Önkormányzat összesen</t>
  </si>
  <si>
    <t>A</t>
  </si>
  <si>
    <t>B</t>
  </si>
  <si>
    <t>ÖNKORMÁNYZAT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</si>
  <si>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</si>
  <si>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</si>
  <si>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</si>
  <si>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</si>
  <si>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</si>
  <si>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</si>
  <si>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</si>
  <si>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</si>
  <si>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</si>
  <si>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</si>
  <si>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</si>
  <si>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</si>
  <si>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</si>
  <si>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</si>
  <si>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</si>
  <si>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</si>
  <si>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2. Óvodaműködtetési támogatás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</si>
  <si>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</si>
  <si>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</si>
  <si>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</si>
  <si>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</si>
  <si>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</si>
  <si>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</si>
  <si>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</si>
  <si>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</si>
  <si>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</si>
  <si>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</si>
  <si>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</si>
  <si>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</si>
  <si>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</si>
  <si>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Egyéb működési célú tám.  államháztart. belülre összesen</t>
  </si>
  <si>
    <t>Kormányzati funkció száma</t>
  </si>
  <si>
    <t>Közhatalmi bevételek     B3</t>
  </si>
  <si>
    <t>Maradvány igénybevét.    B813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</si>
  <si>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</si>
  <si>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</si>
  <si>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</si>
  <si>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</si>
  <si>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</si>
  <si>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</si>
  <si>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</si>
  <si>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</si>
  <si>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</si>
  <si>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</si>
  <si>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</si>
  <si>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</si>
  <si>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</si>
  <si>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</si>
  <si>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</si>
  <si>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</si>
  <si>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</si>
  <si>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</si>
  <si>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</si>
  <si>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</si>
  <si>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</si>
  <si>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</si>
  <si>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</si>
  <si>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</si>
  <si>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</si>
  <si>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</si>
  <si>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</si>
  <si>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061030</t>
  </si>
  <si>
    <t>Lakáshoz jutást segítő támogatások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</si>
  <si>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</si>
  <si>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</si>
  <si>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</si>
  <si>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</si>
  <si>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</si>
  <si>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</si>
  <si>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</si>
  <si>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</si>
  <si>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</si>
  <si>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</si>
  <si>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074031</t>
  </si>
  <si>
    <t>074032</t>
  </si>
  <si>
    <t>Ifjúság-egészségügyi gondozás</t>
  </si>
  <si>
    <t>07. Összesen</t>
  </si>
  <si>
    <t>08.</t>
  </si>
  <si>
    <t>SZABADIDŐ, KULTÚRA ÉS VALLÁS</t>
  </si>
  <si>
    <t>081030</t>
  </si>
  <si>
    <t>Sportlétesítmények működtetése és fejl.</t>
  </si>
  <si>
    <t>086090</t>
  </si>
  <si>
    <t>08. Összesen</t>
  </si>
  <si>
    <t>SZOCIÁLIS BIZTONSÁG</t>
  </si>
  <si>
    <t>107051</t>
  </si>
  <si>
    <t>10. Összesen</t>
  </si>
  <si>
    <t>018030</t>
  </si>
  <si>
    <t>091110</t>
  </si>
  <si>
    <t>091140</t>
  </si>
  <si>
    <t>Óvodai nevelés, ellátás  működtetési felad.</t>
  </si>
  <si>
    <t>096010</t>
  </si>
  <si>
    <t>Óvodai intézményi étkeztetés</t>
  </si>
  <si>
    <t>096020</t>
  </si>
  <si>
    <t>Iskolai intézményi étkeztetés</t>
  </si>
  <si>
    <t>104030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</si>
  <si>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</si>
  <si>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</si>
  <si>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</si>
  <si>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</si>
  <si>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</si>
  <si>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</si>
  <si>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</si>
  <si>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</si>
  <si>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</si>
  <si>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</si>
  <si>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1Óvodapedagógusok bére </t>
  </si>
  <si>
    <t>1. Óvodapedagógusok nevelő munkáját közvetlenül segítők bértámogatása</t>
  </si>
  <si>
    <t>IV Székhely település által lehívandó szoc. Feladatok támogatása</t>
  </si>
  <si>
    <t xml:space="preserve">1 Házi  segítségnyújtás </t>
  </si>
  <si>
    <t xml:space="preserve">2. Szociális és gyermekjóléti alapszolgáltatások általános feladatai </t>
  </si>
  <si>
    <t>Önkormányzat feladatainak támogatása összesen  mint székhely :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</si>
  <si>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</si>
  <si>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</si>
  <si>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</si>
  <si>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</si>
  <si>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</si>
  <si>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</si>
  <si>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</si>
  <si>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</si>
  <si>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</si>
  <si>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</si>
  <si>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</si>
  <si>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</si>
  <si>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</si>
  <si>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</si>
  <si>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</si>
  <si>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</si>
  <si>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</si>
  <si>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</si>
  <si>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</si>
  <si>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</si>
  <si>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</si>
  <si>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</si>
  <si>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</si>
  <si>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</si>
  <si>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</si>
  <si>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</si>
  <si>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</si>
  <si>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</si>
  <si>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</si>
  <si>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</si>
  <si>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</si>
  <si>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</si>
  <si>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</si>
  <si>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</si>
  <si>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</si>
  <si>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</si>
  <si>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</si>
  <si>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</si>
  <si>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</si>
  <si>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</si>
  <si>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</si>
  <si>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</si>
  <si>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</si>
  <si>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</si>
  <si>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</si>
  <si>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</si>
  <si>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</si>
  <si>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</si>
  <si>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</si>
  <si>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</si>
  <si>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</si>
  <si>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</si>
  <si>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104051</t>
  </si>
  <si>
    <t>105010</t>
  </si>
  <si>
    <t>munknélküli aktív korúak ellátása</t>
  </si>
  <si>
    <t>106020</t>
  </si>
  <si>
    <t>B52</t>
  </si>
  <si>
    <t>Ingatlanok értékesítése</t>
  </si>
  <si>
    <t>előző  években</t>
  </si>
  <si>
    <t>Kiadás előző  években</t>
  </si>
  <si>
    <t>években</t>
  </si>
  <si>
    <t xml:space="preserve">  BEVÉTELEK</t>
  </si>
  <si>
    <t>Egyéb felhalmozási célú támogatások bevételei államháztartáson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</si>
  <si>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</si>
  <si>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</si>
  <si>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</si>
  <si>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</si>
  <si>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</si>
  <si>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</si>
  <si>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</si>
  <si>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</si>
  <si>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</si>
  <si>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</si>
  <si>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</si>
  <si>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</si>
  <si>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</si>
  <si>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</si>
  <si>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</si>
  <si>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</si>
  <si>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</si>
  <si>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</si>
  <si>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</si>
  <si>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</si>
  <si>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</si>
  <si>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</si>
  <si>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</si>
  <si>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</si>
  <si>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</si>
  <si>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 xml:space="preserve">2. Közfoglalkoztatás </t>
  </si>
  <si>
    <t xml:space="preserve">    Mindösszesen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</si>
  <si>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</si>
  <si>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</si>
  <si>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</si>
  <si>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</si>
  <si>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</si>
  <si>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</si>
  <si>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</si>
  <si>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</si>
  <si>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</si>
  <si>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</si>
  <si>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>Működési célú támogatások államházt. Belülről</t>
  </si>
  <si>
    <t xml:space="preserve">   Önkormányzat működési támogatása összesen </t>
  </si>
  <si>
    <t>Felhalmozás célú támogatás államházt. Belőlről</t>
  </si>
  <si>
    <t>Működési célú támogatások áht-n  belülről össz.</t>
  </si>
  <si>
    <t xml:space="preserve">Közhatalmi bevételek </t>
  </si>
  <si>
    <t xml:space="preserve">Működési bevételek </t>
  </si>
  <si>
    <t xml:space="preserve">6. </t>
  </si>
  <si>
    <t xml:space="preserve"> -  Építmény adó </t>
  </si>
  <si>
    <t xml:space="preserve"> -  Kommunális adó </t>
  </si>
  <si>
    <t xml:space="preserve"> -  Idegenforgalmi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</si>
  <si>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</si>
  <si>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</si>
  <si>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</si>
  <si>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</si>
  <si>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</si>
  <si>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  - Szociális kölcsön visszatérülése </t>
  </si>
  <si>
    <t xml:space="preserve">Felhalmozási célú átvett pénzeszköz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</si>
  <si>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</si>
  <si>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</si>
  <si>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</si>
  <si>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</si>
  <si>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</si>
  <si>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t xml:space="preserve">Általános tartalék 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</si>
  <si>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</si>
  <si>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</si>
  <si>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</si>
  <si>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</si>
  <si>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</si>
  <si>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Várható hatások</t>
  </si>
  <si>
    <t>S</t>
  </si>
  <si>
    <t xml:space="preserve">Egyéb felhalmozási célú kiadások összesen  </t>
  </si>
  <si>
    <t>b) település-üzemeltetéshez kapcsolódó feladataellátás t.beszámítás után</t>
  </si>
  <si>
    <t xml:space="preserve">  Óvodapedagógusok pótlólagos  bértámogatás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</si>
  <si>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</si>
  <si>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</si>
  <si>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</si>
  <si>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</si>
  <si>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</si>
  <si>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</si>
  <si>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</si>
  <si>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</si>
  <si>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</si>
  <si>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</si>
  <si>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</si>
  <si>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</si>
  <si>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</si>
  <si>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B65</t>
  </si>
  <si>
    <t>Egyéb működési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</si>
  <si>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</si>
  <si>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</si>
  <si>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</si>
  <si>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</si>
  <si>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</si>
  <si>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</si>
  <si>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</si>
  <si>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</si>
  <si>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</si>
  <si>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</si>
  <si>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</si>
  <si>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</si>
  <si>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</si>
  <si>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</si>
  <si>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Háziorvosi alapellátás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</si>
  <si>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</si>
  <si>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</si>
  <si>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</si>
  <si>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</si>
  <si>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</si>
  <si>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</si>
  <si>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</si>
  <si>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</si>
  <si>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900020</t>
  </si>
  <si>
    <t>Önkorm.funkcióra nem sorolható bevételei</t>
  </si>
  <si>
    <t>082092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</si>
  <si>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</si>
  <si>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</si>
  <si>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</si>
  <si>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</si>
  <si>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</si>
  <si>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</si>
  <si>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</si>
  <si>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Beruhá- zások             K6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</si>
  <si>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</si>
  <si>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</si>
  <si>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</si>
  <si>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</si>
  <si>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</si>
  <si>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</si>
  <si>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</si>
  <si>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t>Államháztartás igazgatása, ellenőrzése</t>
  </si>
  <si>
    <t>Köztemető fenntartás-és üzemeltetés</t>
  </si>
  <si>
    <t>Önkormnyzati vagyonnal való gazdálkodás</t>
  </si>
  <si>
    <t>041140</t>
  </si>
  <si>
    <t>Területfejlesztés igazgatása</t>
  </si>
  <si>
    <t>Közutak, hidak,alagutak üzemelt., fennt.üzemeltetése</t>
  </si>
  <si>
    <t>gyermekvédelmi pénzb.és termb.ellátások</t>
  </si>
  <si>
    <t>lakásfenntartással, lakhatással kapcs összefogl.ellát.</t>
  </si>
  <si>
    <t>104042</t>
  </si>
  <si>
    <t>Egyéb szoc.pénzbeli és temészetbni ellátások,támog.</t>
  </si>
  <si>
    <t>Működési bevételek     B4</t>
  </si>
  <si>
    <t>Felhalmozási bevételek      B5</t>
  </si>
  <si>
    <t>072111</t>
  </si>
  <si>
    <t>Lakásfenntartással, lakhatással kapcs.ell.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</si>
  <si>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</si>
  <si>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</si>
  <si>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</si>
  <si>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</si>
  <si>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</si>
  <si>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2017. évi terv</t>
  </si>
  <si>
    <t>1.2. Zalakarosi Kistérség Többcélú Társulása  működési hozzájárulás</t>
  </si>
  <si>
    <t>Működési célú kölcsönök állh. Kívülre (K508)</t>
  </si>
  <si>
    <t>Tartalékok  céltartalékok (K513)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</si>
  <si>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</si>
  <si>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</si>
  <si>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1.2. Egyéb célú támogatás államházt. Belül </t>
  </si>
  <si>
    <t xml:space="preserve">  1.1.1.Helyi önkorm. Működési általános támogatása </t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</si>
  <si>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</si>
  <si>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</si>
  <si>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</si>
  <si>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>Felhalmozási bevételek összesen:</t>
  </si>
  <si>
    <t>Betegséggel kapcsolatos pénzbeni ell.</t>
  </si>
  <si>
    <t>Munkanélküli aktiv korúak ellátása</t>
  </si>
  <si>
    <t>Felhalmozási kiadások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</si>
  <si>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</si>
  <si>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</si>
  <si>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</si>
  <si>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</si>
  <si>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</si>
  <si>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</si>
  <si>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</si>
  <si>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</si>
  <si>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</si>
  <si>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</si>
  <si>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</si>
  <si>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</si>
  <si>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</si>
  <si>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</si>
  <si>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</si>
  <si>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</si>
  <si>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</si>
  <si>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</si>
  <si>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B116</t>
  </si>
  <si>
    <t>B62</t>
  </si>
  <si>
    <t>Működési célú visszatéritendő támog.,kölcsönök</t>
  </si>
  <si>
    <t>Egyéb felhalmozási célú átvett pénzeszközök össz</t>
  </si>
  <si>
    <t xml:space="preserve">Közművelődés </t>
  </si>
  <si>
    <t>Falugondnoki szolgálat</t>
  </si>
  <si>
    <t>107060</t>
  </si>
  <si>
    <t>egyéb szoc, pbeli és természetbeni ellátások</t>
  </si>
  <si>
    <t>Műk.célú kölcsön visszatérülés    B62</t>
  </si>
  <si>
    <t>063020</t>
  </si>
  <si>
    <t>Víztermelése, kezelés</t>
  </si>
  <si>
    <t xml:space="preserve">Költségvetési kiadások összesen </t>
  </si>
  <si>
    <t>K1-8</t>
  </si>
  <si>
    <t>2018. évi terv</t>
  </si>
  <si>
    <t>B115</t>
  </si>
  <si>
    <t>Működési célú ktgv. Támogatás  és kiegészítő támogatás</t>
  </si>
  <si>
    <t xml:space="preserve">Elszámolásból származó bevételek </t>
  </si>
  <si>
    <t>2. Települési önkormányzatok szociális feladatainak egyéb támogatása</t>
  </si>
  <si>
    <t>Ft</t>
  </si>
  <si>
    <t>5. Gyermekétkeztetés támogatása</t>
  </si>
  <si>
    <t xml:space="preserve">  1.1.5 Működési célú ktgv tám és kieg támogatás</t>
  </si>
  <si>
    <t>104037</t>
  </si>
  <si>
    <t>Intézményen kívüli étkeztetés</t>
  </si>
  <si>
    <t>2017.évi előirányzat</t>
  </si>
  <si>
    <t>2017. évi eredeti előirányzat</t>
  </si>
  <si>
    <t>084031</t>
  </si>
  <si>
    <t>Civl szervezetek támogatása</t>
  </si>
  <si>
    <t>Önkormányzatok elszámolásai központi költségvetéssel szemben</t>
  </si>
  <si>
    <t>Sze</t>
  </si>
  <si>
    <t xml:space="preserve">2017.évi </t>
  </si>
  <si>
    <t>2017.évi terv  Forint</t>
  </si>
  <si>
    <t>Önként</t>
  </si>
  <si>
    <t>2018.évi terv  Forint</t>
  </si>
  <si>
    <t xml:space="preserve">2018.évi </t>
  </si>
  <si>
    <t>2018.évi előirányzat</t>
  </si>
  <si>
    <t>2018. évi eredeti előirányzat</t>
  </si>
  <si>
    <t>2017.évi záró létszám. ei.</t>
  </si>
  <si>
    <t>2016. évről áthúzódó bérkompenzáció támogatása</t>
  </si>
  <si>
    <t xml:space="preserve">1.6.  Polgármesteri illetmény támogatása </t>
  </si>
  <si>
    <t>2018 évi előirányzat</t>
  </si>
  <si>
    <t>B21</t>
  </si>
  <si>
    <t xml:space="preserve">Felhalmozási célú támogatások államháztartáson  belülről </t>
  </si>
  <si>
    <t>2017. évi terv   Forint</t>
  </si>
  <si>
    <t>2018. évi terv  Forint</t>
  </si>
  <si>
    <t>közmunkaprogram</t>
  </si>
  <si>
    <t>támogatás hivatal működéséhez - Zalakarosi KÖH</t>
  </si>
  <si>
    <t>támogatás óvodás gyermekek szállításához</t>
  </si>
  <si>
    <t>vis maior</t>
  </si>
  <si>
    <t>Belterületi utak fejlesztése</t>
  </si>
  <si>
    <t>Egészségház felújítása</t>
  </si>
  <si>
    <t>Áht-n belüli megelőlegezés visszafizetése</t>
  </si>
  <si>
    <t>2017.évi eredeti</t>
  </si>
  <si>
    <t>2018.évi terv.</t>
  </si>
  <si>
    <t>4. szünidei gyermekétkeztetés</t>
  </si>
  <si>
    <t xml:space="preserve">2017. évi </t>
  </si>
  <si>
    <t>Óvoda</t>
  </si>
  <si>
    <t xml:space="preserve">2.1. Működési bevételek </t>
  </si>
  <si>
    <t>2.1 Intézményi működési kiadás</t>
  </si>
  <si>
    <t>Óvoda összesen</t>
  </si>
  <si>
    <t xml:space="preserve">Költségvetési működési  bevételek összesen </t>
  </si>
  <si>
    <t>Költségvetés működési kiadások összesen</t>
  </si>
  <si>
    <t xml:space="preserve">Működési célú finanszírozási bevételek </t>
  </si>
  <si>
    <t xml:space="preserve">Működési célú finanszírozási kiadások </t>
  </si>
  <si>
    <t xml:space="preserve">A </t>
  </si>
  <si>
    <t>1.9. Előző évi felhalm. célú maradvány</t>
  </si>
  <si>
    <t>Áll.házt. Belüli megelőlegezések</t>
  </si>
  <si>
    <t>Állt. Házt belüli megelőlegezések visszafizetése</t>
  </si>
  <si>
    <t xml:space="preserve">Önkormány összesen: </t>
  </si>
  <si>
    <t xml:space="preserve">Költségvetési felhalmozási  bevételek összesen </t>
  </si>
  <si>
    <t>Költségvetés felhalmozási célú kiadásai összesen</t>
  </si>
  <si>
    <t xml:space="preserve">Felhalmozási célú finanszírozási kiadások </t>
  </si>
  <si>
    <t xml:space="preserve">1.11. Felhalm célú kölcsön visszafizetés </t>
  </si>
  <si>
    <t xml:space="preserve"> Előző évi felhalm. célú maradvány</t>
  </si>
  <si>
    <t>Óvoda összesen.</t>
  </si>
  <si>
    <t>Finanszirozási felhalmozási bevételek összesen</t>
  </si>
  <si>
    <t>Finanszírozási felhalmozási kiadások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</si>
  <si>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</si>
  <si>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Felhalmozási célú kiadások összesen</t>
  </si>
  <si>
    <t xml:space="preserve">2018. évi </t>
  </si>
  <si>
    <t>Óvodai nevelés,ellátás működtetés feladatai</t>
  </si>
  <si>
    <t>Gyermekétkeztetés köznevelési intézményekben</t>
  </si>
  <si>
    <t>Munkahelyi étkeztetés</t>
  </si>
  <si>
    <t>B. ÓVODA</t>
  </si>
  <si>
    <t>096015</t>
  </si>
  <si>
    <t>Egyéb kiegészítő szolgálatások</t>
  </si>
  <si>
    <t>013390</t>
  </si>
  <si>
    <t>096025</t>
  </si>
  <si>
    <t>ÓVODA ÖSSZESEN</t>
  </si>
  <si>
    <t>Finanszírozási kiadások     K9</t>
  </si>
  <si>
    <t>107052</t>
  </si>
  <si>
    <t>Házi segítségnyújtás</t>
  </si>
  <si>
    <t>Óvodai nevelés,ellátás szakmai feladatai</t>
  </si>
  <si>
    <t>Egyéb kiegészítő szolgáltatások</t>
  </si>
  <si>
    <t>Munkahelyi étkeztetés köznev.intézményben</t>
  </si>
  <si>
    <t xml:space="preserve">1.1 Bursa ösztöndíjra </t>
  </si>
  <si>
    <t>1.6. Jelzőrendszeres házi segítségnyújtás</t>
  </si>
  <si>
    <t>1.7.Nagykanizsa Megyei Jogú Város hétvégi  fogászati ügyelethez hj.</t>
  </si>
  <si>
    <t>Egyéb működési célú támogatások  államházt., kívülre (K512)</t>
  </si>
  <si>
    <t>5.</t>
  </si>
  <si>
    <t>Lakástámogatás ( K87)</t>
  </si>
  <si>
    <t>Lakástámogatás összesen</t>
  </si>
  <si>
    <t>Egyéb felhalmozási célú támogatások államházt. Kívülre (K89)</t>
  </si>
  <si>
    <t>Egyéb felhalmozási célú támogat.  államházt. kívülre összesen</t>
  </si>
  <si>
    <t>Felhalmozási tartalék</t>
  </si>
  <si>
    <t>Családi támogatások (K42)</t>
  </si>
  <si>
    <t>Egyéb pénzbeni és természetbeni gyermekvédelmi ellátások</t>
  </si>
  <si>
    <t>Családi támogatások (K42) összesen:</t>
  </si>
  <si>
    <t>2017. évi számított előirányz.</t>
  </si>
  <si>
    <t xml:space="preserve"> A. Önkormányzat</t>
  </si>
  <si>
    <t>Önkormányzat összesen:</t>
  </si>
  <si>
    <t xml:space="preserve">B.  Óvoda </t>
  </si>
  <si>
    <t>Konyhai berendezések</t>
  </si>
  <si>
    <t>Óvoda összesen:</t>
  </si>
  <si>
    <t>II.</t>
  </si>
  <si>
    <t>A. Önkormányzat</t>
  </si>
  <si>
    <t>Buszöböl tervezés a Deák Ferenc utcában</t>
  </si>
  <si>
    <t>Felújítások összesen:</t>
  </si>
  <si>
    <t>2018. évi számított előirányz.</t>
  </si>
  <si>
    <t>2 db pad vásárlás temetőbe</t>
  </si>
  <si>
    <t>Deák Ferenc és Kossuth  utcai járda felújítása</t>
  </si>
  <si>
    <t>Vis maior</t>
  </si>
  <si>
    <t>Óvoda konyha felújítása</t>
  </si>
  <si>
    <t>Külterületi utak felújítás pályázat önrész</t>
  </si>
  <si>
    <t>Deák Ferenc utcai buszöblök felújítása</t>
  </si>
  <si>
    <t>Céltartalék</t>
  </si>
  <si>
    <t>összege  Ft</t>
  </si>
  <si>
    <t xml:space="preserve">1. </t>
  </si>
  <si>
    <t>Építményadó</t>
  </si>
  <si>
    <t xml:space="preserve">2. </t>
  </si>
  <si>
    <t>Helyi adók összesen (1-4)</t>
  </si>
  <si>
    <t xml:space="preserve"> Ft-ban</t>
  </si>
  <si>
    <t>TOP-4.1.1-15-ZA1-2016-00024 Zalaszabar Egészségház építése</t>
  </si>
  <si>
    <t>Igazgatás, pénzügyi dolgozó</t>
  </si>
  <si>
    <t xml:space="preserve">Óvoda pedagógus </t>
  </si>
  <si>
    <t xml:space="preserve">Népművelő  könyvtáros </t>
  </si>
  <si>
    <t>Egyéb szak- alkalmazott</t>
  </si>
  <si>
    <t>Gazdasági ügyviteli dolgozó</t>
  </si>
  <si>
    <t>1. Önkormányzat igazgatási tevékenysége</t>
  </si>
  <si>
    <t>3. Közművelődés</t>
  </si>
  <si>
    <t xml:space="preserve">    Önkormányzati alkalmazottak </t>
  </si>
  <si>
    <t>B. Óvoda</t>
  </si>
  <si>
    <t>1. Óvoda</t>
  </si>
  <si>
    <t xml:space="preserve">2. Konyha </t>
  </si>
  <si>
    <t xml:space="preserve">    Óvodai alkalmazottak </t>
  </si>
  <si>
    <t>2018. évi  létszám-  keret</t>
  </si>
  <si>
    <t>Dajka</t>
  </si>
  <si>
    <t>Ft-ban</t>
  </si>
  <si>
    <t>ebből tartalék</t>
  </si>
  <si>
    <t>egészségház építése - fennmaradó 10%</t>
  </si>
  <si>
    <t>vis maior támogatás - partfal felújítás</t>
  </si>
  <si>
    <t>Belterületi utak, járdák felújítása (Deák F. u. , Kossuth u.)</t>
  </si>
  <si>
    <t>igény alapján</t>
  </si>
  <si>
    <t>2018.évi I.módosítás  Forint</t>
  </si>
  <si>
    <t xml:space="preserve">V. Működési célú támogatások és kiegészító támogatások </t>
  </si>
  <si>
    <t>2018. évi bérkompenzáció</t>
  </si>
  <si>
    <t>Szociális tüzifa támogatás</t>
  </si>
  <si>
    <t>2018.évi I. módosítás</t>
  </si>
  <si>
    <t>I. módosítás</t>
  </si>
  <si>
    <t xml:space="preserve"> Intézményi működési bevételek</t>
  </si>
  <si>
    <t>Működési bevételek összesen:</t>
  </si>
  <si>
    <t>Óvoda  bevételei összesen:</t>
  </si>
  <si>
    <t>2018. eredeti előir.</t>
  </si>
  <si>
    <t>2018. I. mód</t>
  </si>
  <si>
    <t xml:space="preserve"> </t>
  </si>
  <si>
    <t>2018. évi I. módosítás</t>
  </si>
  <si>
    <t>2018. évi I.módosítás</t>
  </si>
  <si>
    <t>Egészségház eszközbeszerzés</t>
  </si>
  <si>
    <t>Egészségház Notebook beszerzés</t>
  </si>
  <si>
    <t>Gáztűzhelybeszerzés konyhába</t>
  </si>
  <si>
    <t>Egészségház eszközbeszerzés pályázatban szereplő felújításról</t>
  </si>
  <si>
    <t>2018 évi I.módosítás</t>
  </si>
  <si>
    <t>Ételfőző üst beszerzése konyhába</t>
  </si>
  <si>
    <t>Elvonások, befizetések</t>
  </si>
  <si>
    <t>B12</t>
  </si>
  <si>
    <t xml:space="preserve">Óvoda összesen: </t>
  </si>
  <si>
    <t>2.2. Elvonások, befizetések</t>
  </si>
  <si>
    <t>2.3. Előző évi felhalm. célú maradvány</t>
  </si>
  <si>
    <t>1.5.Elvonások, befizetések</t>
  </si>
  <si>
    <t>1.6 Felhalmozási c. támogatás áht.belül</t>
  </si>
  <si>
    <t xml:space="preserve">1.7. Felhalmozási bevételek </t>
  </si>
  <si>
    <t>1.8. Felhalm. célú kölcs. visszatér., felvétel</t>
  </si>
  <si>
    <t>1.9. Egyéb felhalm.célú átvett pénzeszköz</t>
  </si>
  <si>
    <t>1.5 Elvonások, befizetések</t>
  </si>
  <si>
    <t>1.6 Tartalékok</t>
  </si>
  <si>
    <t xml:space="preserve">1.7.Beruházások </t>
  </si>
  <si>
    <t>1.8 Felújítások</t>
  </si>
  <si>
    <t>1.9 Felhalm.célú pénzeszköz átadás</t>
  </si>
  <si>
    <t>2.3. Beruházási kiadás</t>
  </si>
  <si>
    <t>1.12. Elvonások, befizetések</t>
  </si>
  <si>
    <t>Elvonások, befizetések B12</t>
  </si>
  <si>
    <t>2018.évi II.módosítás  Forint</t>
  </si>
  <si>
    <t>2018.évi II. módosítás</t>
  </si>
  <si>
    <t>II. módosítás</t>
  </si>
  <si>
    <t>Erzsébet utalvány</t>
  </si>
  <si>
    <t>Bursa támogatás visszafizetése</t>
  </si>
  <si>
    <t xml:space="preserve"> 1.2.2 Közös Hivataltól támogatás átvétele</t>
  </si>
  <si>
    <t xml:space="preserve"> 1.2.3. óvodás gyermekek szállításának támogatása</t>
  </si>
  <si>
    <t xml:space="preserve"> 1.2.4.Bursa támogatás visszafizetése</t>
  </si>
  <si>
    <t xml:space="preserve"> 1.2.5 Erzsébet utalvány</t>
  </si>
  <si>
    <t xml:space="preserve"> 1.2.1 Közfoglalkoztatás  támogatása </t>
  </si>
  <si>
    <t>2018. II. mód</t>
  </si>
  <si>
    <t>1.3. ZKTT- Orvosi ügyelet</t>
  </si>
  <si>
    <t>1.4. ZKTT- Orvosi ügyelet részére belső ellenőrzésre</t>
  </si>
  <si>
    <t>1.5. Óvodás gyermekek szállítása</t>
  </si>
  <si>
    <t>2018. évi II. módosítás</t>
  </si>
  <si>
    <t>2018. évi II.módosítás</t>
  </si>
  <si>
    <t>6.</t>
  </si>
  <si>
    <t>Fűnyíró traktor beszerzés</t>
  </si>
  <si>
    <t>Klíma beszerzés egészségházhoz</t>
  </si>
  <si>
    <t>Vízmű felújítások</t>
  </si>
  <si>
    <t>2018 évi II.módosítás</t>
  </si>
  <si>
    <t xml:space="preserve">A zártkerti besorolású földrészletek mezőgazdasági hasznosítását segítő fejlesztések </t>
  </si>
  <si>
    <t>2018. évi tényleges</t>
  </si>
  <si>
    <t>100 %-os</t>
  </si>
  <si>
    <t>VP-7.2.1-7.4.1.2-16 számú Külterületi helyi közutak fejlesztése, munkagépek beszerzése</t>
  </si>
  <si>
    <t>90 %-os</t>
  </si>
  <si>
    <t xml:space="preserve">3. </t>
  </si>
  <si>
    <t xml:space="preserve">ZP-1-2017/2323. sz. "A zártkerti besorolású földrészletek mezőgazdasági hasznosítását segítő, infrastrukturális hátterét biztosító fejlesztések támogatására"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</si>
</sst>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%"/>
    <numFmt numFmtId="174" formatCode="#,##0.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00\ _F_t_-;\-* #,##0.000\ _F_t_-;_-* &quot;-&quot;??\ _F_t_-;_-@_-"/>
    <numFmt numFmtId="182" formatCode="_-* #,##0.0000\ _F_t_-;\-* #,##0.0000\ _F_t_-;_-* &quot;-&quot;??\ _F_t_-;_-@_-"/>
    <numFmt numFmtId="183" formatCode="_-* #,##0.00000\ _F_t_-;\-* #,##0.00000\ _F_t_-;_-* &quot;-&quot;??\ _F_t_-;_-@_-"/>
    <numFmt numFmtId="184" formatCode="_-* #,##0.0\ _F_t_-;\-* #,##0.0\ _F_t_-;_-* &quot;-&quot;??\ _F_t_-;_-@_-"/>
    <numFmt numFmtId="185" formatCode="_-* #,##0.000000\ _F_t_-;\-* #,##0.000000\ _F_t_-;_-* &quot;-&quot;??\ _F_t_-;_-@_-"/>
    <numFmt numFmtId="186" formatCode="[$-40E]yyyy\.\ mmmm\ d\."/>
    <numFmt numFmtId="187" formatCode="&quot;H-&quot;0000"/>
    <numFmt numFmtId="188" formatCode="_-* #,##0.0\ &quot;Ft&quot;_-;\-* #,##0.0\ &quot;Ft&quot;_-;_-* &quot;-&quot;??\ &quot;Ft&quot;_-;_-@_-"/>
    <numFmt numFmtId="189" formatCode="_-* #,##0\ &quot;Ft&quot;_-;\-* #,##0\ &quot;Ft&quot;_-;_-* &quot;-&quot;??\ &quot;Ft&quot;_-;_-@_-"/>
  </numFmts>
  <fonts count="7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60" fillId="25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7" borderId="7" applyNumberFormat="0" applyFont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2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0" fillId="0" borderId="0" applyFont="0" applyFill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9">
      <alignment/>
      <protection/>
    </xf>
    <xf numFmtId="0" fontId="7" fillId="0" borderId="11" xfId="69" applyFont="1" applyBorder="1">
      <alignment/>
      <protection/>
    </xf>
    <xf numFmtId="0" fontId="5" fillId="0" borderId="11" xfId="69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9" applyFont="1" applyBorder="1">
      <alignment/>
      <protection/>
    </xf>
    <xf numFmtId="0" fontId="5" fillId="0" borderId="11" xfId="69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9" applyFont="1" applyFill="1" applyBorder="1" applyAlignment="1">
      <alignment horizontal="right"/>
      <protection/>
    </xf>
    <xf numFmtId="0" fontId="2" fillId="0" borderId="13" xfId="0" applyFont="1" applyBorder="1" applyAlignment="1">
      <alignment/>
    </xf>
    <xf numFmtId="0" fontId="5" fillId="0" borderId="0" xfId="60" applyFont="1">
      <alignment/>
      <protection/>
    </xf>
    <xf numFmtId="0" fontId="8" fillId="0" borderId="0" xfId="64" applyFont="1">
      <alignment/>
      <protection/>
    </xf>
    <xf numFmtId="0" fontId="8" fillId="0" borderId="0" xfId="64">
      <alignment/>
      <protection/>
    </xf>
    <xf numFmtId="0" fontId="8" fillId="0" borderId="0" xfId="64" applyAlignment="1">
      <alignment horizontal="right"/>
      <protection/>
    </xf>
    <xf numFmtId="0" fontId="7" fillId="0" borderId="11" xfId="64" applyFont="1" applyBorder="1">
      <alignment/>
      <protection/>
    </xf>
    <xf numFmtId="0" fontId="12" fillId="0" borderId="0" xfId="66" applyFont="1">
      <alignment/>
      <protection/>
    </xf>
    <xf numFmtId="0" fontId="8" fillId="0" borderId="0" xfId="66">
      <alignment/>
      <protection/>
    </xf>
    <xf numFmtId="0" fontId="13" fillId="0" borderId="0" xfId="66" applyFont="1" applyAlignment="1">
      <alignment horizontal="center"/>
      <protection/>
    </xf>
    <xf numFmtId="0" fontId="8" fillId="0" borderId="0" xfId="65">
      <alignment/>
      <protection/>
    </xf>
    <xf numFmtId="0" fontId="17" fillId="0" borderId="11" xfId="65" applyFont="1" applyBorder="1">
      <alignment/>
      <protection/>
    </xf>
    <xf numFmtId="0" fontId="8" fillId="0" borderId="0" xfId="63">
      <alignment/>
      <protection/>
    </xf>
    <xf numFmtId="0" fontId="10" fillId="0" borderId="11" xfId="63" applyFont="1" applyBorder="1" applyAlignment="1">
      <alignment horizontal="center"/>
      <protection/>
    </xf>
    <xf numFmtId="3" fontId="11" fillId="0" borderId="11" xfId="63" applyNumberFormat="1" applyFont="1" applyBorder="1" applyAlignment="1">
      <alignment horizontal="right"/>
      <protection/>
    </xf>
    <xf numFmtId="3" fontId="10" fillId="0" borderId="11" xfId="63" applyNumberFormat="1" applyFont="1" applyBorder="1" applyAlignment="1">
      <alignment horizontal="right"/>
      <protection/>
    </xf>
    <xf numFmtId="49" fontId="10" fillId="0" borderId="11" xfId="63" applyNumberFormat="1" applyFont="1" applyBorder="1" applyAlignment="1">
      <alignment horizontal="center"/>
      <protection/>
    </xf>
    <xf numFmtId="0" fontId="10" fillId="0" borderId="0" xfId="63" applyFont="1">
      <alignment/>
      <protection/>
    </xf>
    <xf numFmtId="49" fontId="11" fillId="0" borderId="11" xfId="63" applyNumberFormat="1" applyFont="1" applyBorder="1" applyAlignment="1">
      <alignment horizontal="center"/>
      <protection/>
    </xf>
    <xf numFmtId="49" fontId="11" fillId="0" borderId="11" xfId="63" applyNumberFormat="1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 wrapText="1"/>
      <protection/>
    </xf>
    <xf numFmtId="0" fontId="7" fillId="0" borderId="0" xfId="69" applyFont="1" applyBorder="1">
      <alignment/>
      <protection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/>
      <protection/>
    </xf>
    <xf numFmtId="0" fontId="8" fillId="0" borderId="11" xfId="58" applyFont="1" applyBorder="1">
      <alignment/>
      <protection/>
    </xf>
    <xf numFmtId="0" fontId="8" fillId="0" borderId="0" xfId="67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9">
      <alignment/>
      <protection/>
    </xf>
    <xf numFmtId="0" fontId="9" fillId="32" borderId="11" xfId="59" applyFont="1" applyFill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3" applyNumberFormat="1" applyFont="1" applyBorder="1" applyAlignment="1">
      <alignment horizontal="right"/>
      <protection/>
    </xf>
    <xf numFmtId="0" fontId="8" fillId="0" borderId="0" xfId="67" applyBorder="1" applyAlignment="1">
      <alignment horizontal="right"/>
      <protection/>
    </xf>
    <xf numFmtId="0" fontId="8" fillId="0" borderId="11" xfId="58" applyFont="1" applyBorder="1" applyAlignment="1">
      <alignment horizontal="center"/>
      <protection/>
    </xf>
    <xf numFmtId="0" fontId="5" fillId="0" borderId="11" xfId="67" applyFont="1" applyBorder="1" applyAlignment="1">
      <alignment horizontal="center"/>
      <protection/>
    </xf>
    <xf numFmtId="0" fontId="9" fillId="32" borderId="11" xfId="67" applyFont="1" applyFill="1" applyBorder="1" applyAlignment="1">
      <alignment horizontal="center"/>
      <protection/>
    </xf>
    <xf numFmtId="0" fontId="6" fillId="0" borderId="11" xfId="58" applyFont="1" applyBorder="1" applyAlignment="1">
      <alignment horizontal="center" vertical="distributed"/>
      <protection/>
    </xf>
    <xf numFmtId="0" fontId="8" fillId="0" borderId="11" xfId="58" applyFont="1" applyBorder="1" applyAlignment="1">
      <alignment horizontal="center" vertical="distributed"/>
      <protection/>
    </xf>
    <xf numFmtId="0" fontId="8" fillId="0" borderId="11" xfId="58" applyBorder="1" applyAlignment="1">
      <alignment vertical="distributed"/>
      <protection/>
    </xf>
    <xf numFmtId="0" fontId="24" fillId="0" borderId="0" xfId="0" applyFont="1" applyBorder="1" applyAlignment="1">
      <alignment/>
    </xf>
    <xf numFmtId="9" fontId="8" fillId="0" borderId="11" xfId="58" applyNumberFormat="1" applyBorder="1" applyAlignment="1">
      <alignment horizontal="center" vertical="distributed"/>
      <protection/>
    </xf>
    <xf numFmtId="0" fontId="8" fillId="0" borderId="0" xfId="58" applyAlignment="1">
      <alignment horizontal="right"/>
      <protection/>
    </xf>
    <xf numFmtId="0" fontId="20" fillId="0" borderId="11" xfId="64" applyFont="1" applyBorder="1" applyAlignment="1">
      <alignment horizontal="center" vertical="distributed"/>
      <protection/>
    </xf>
    <xf numFmtId="3" fontId="7" fillId="0" borderId="11" xfId="64" applyNumberFormat="1" applyFont="1" applyBorder="1" applyAlignment="1">
      <alignment vertical="distributed"/>
      <protection/>
    </xf>
    <xf numFmtId="0" fontId="9" fillId="0" borderId="11" xfId="58" applyFont="1" applyBorder="1">
      <alignment/>
      <protection/>
    </xf>
    <xf numFmtId="0" fontId="27" fillId="0" borderId="11" xfId="58" applyFont="1" applyBorder="1" applyAlignment="1">
      <alignment horizontal="center" vertical="distributed"/>
      <protection/>
    </xf>
    <xf numFmtId="0" fontId="9" fillId="0" borderId="11" xfId="58" applyFont="1" applyBorder="1" applyAlignment="1">
      <alignment horizontal="center" vertical="distributed"/>
      <protection/>
    </xf>
    <xf numFmtId="0" fontId="9" fillId="0" borderId="11" xfId="58" applyFont="1" applyBorder="1" applyAlignment="1">
      <alignment vertical="distributed"/>
      <protection/>
    </xf>
    <xf numFmtId="9" fontId="9" fillId="0" borderId="11" xfId="58" applyNumberFormat="1" applyFont="1" applyBorder="1" applyAlignment="1">
      <alignment horizontal="center" vertical="distributed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" fillId="32" borderId="11" xfId="0" applyNumberFormat="1" applyFont="1" applyFill="1" applyBorder="1" applyAlignment="1">
      <alignment vertical="center"/>
    </xf>
    <xf numFmtId="3" fontId="16" fillId="0" borderId="11" xfId="65" applyNumberFormat="1" applyFont="1" applyBorder="1">
      <alignment/>
      <protection/>
    </xf>
    <xf numFmtId="3" fontId="5" fillId="0" borderId="11" xfId="69" applyNumberFormat="1" applyBorder="1">
      <alignment/>
      <protection/>
    </xf>
    <xf numFmtId="3" fontId="7" fillId="0" borderId="11" xfId="69" applyNumberFormat="1" applyFont="1" applyBorder="1">
      <alignment/>
      <protection/>
    </xf>
    <xf numFmtId="0" fontId="10" fillId="0" borderId="11" xfId="63" applyFont="1" applyBorder="1" applyAlignment="1">
      <alignment horizontal="left"/>
      <protection/>
    </xf>
    <xf numFmtId="0" fontId="10" fillId="0" borderId="13" xfId="63" applyFont="1" applyBorder="1" applyAlignment="1">
      <alignment horizontal="left"/>
      <protection/>
    </xf>
    <xf numFmtId="0" fontId="11" fillId="0" borderId="11" xfId="63" applyFont="1" applyBorder="1" applyAlignment="1">
      <alignment horizontal="left"/>
      <protection/>
    </xf>
    <xf numFmtId="0" fontId="11" fillId="0" borderId="13" xfId="63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left" vertical="center"/>
    </xf>
    <xf numFmtId="0" fontId="21" fillId="0" borderId="11" xfId="63" applyFont="1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0" fontId="11" fillId="0" borderId="13" xfId="60" applyFont="1" applyBorder="1" applyAlignment="1">
      <alignment horizontal="left"/>
      <protection/>
    </xf>
    <xf numFmtId="0" fontId="2" fillId="0" borderId="15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5" xfId="0" applyFont="1" applyBorder="1" applyAlignment="1">
      <alignment horizontal="center" vertical="distributed"/>
    </xf>
    <xf numFmtId="0" fontId="29" fillId="0" borderId="16" xfId="0" applyFont="1" applyFill="1" applyBorder="1" applyAlignment="1">
      <alignment horizontal="center" vertical="distributed"/>
    </xf>
    <xf numFmtId="0" fontId="29" fillId="0" borderId="12" xfId="0" applyFont="1" applyFill="1" applyBorder="1" applyAlignment="1">
      <alignment horizontal="center" vertical="distributed"/>
    </xf>
    <xf numFmtId="0" fontId="29" fillId="0" borderId="11" xfId="0" applyFont="1" applyFill="1" applyBorder="1" applyAlignment="1">
      <alignment horizontal="center" vertical="distributed"/>
    </xf>
    <xf numFmtId="3" fontId="5" fillId="0" borderId="11" xfId="67" applyNumberFormat="1" applyFont="1" applyBorder="1">
      <alignment/>
      <protection/>
    </xf>
    <xf numFmtId="0" fontId="10" fillId="0" borderId="11" xfId="60" applyFont="1" applyBorder="1" applyAlignment="1">
      <alignment horizontal="left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/>
      <protection/>
    </xf>
    <xf numFmtId="16" fontId="5" fillId="0" borderId="11" xfId="69" applyNumberFormat="1" applyBorder="1">
      <alignment/>
      <protection/>
    </xf>
    <xf numFmtId="0" fontId="5" fillId="0" borderId="11" xfId="62" applyFont="1" applyBorder="1">
      <alignment/>
      <protection/>
    </xf>
    <xf numFmtId="3" fontId="5" fillId="0" borderId="11" xfId="62" applyNumberFormat="1" applyBorder="1">
      <alignment/>
      <protection/>
    </xf>
    <xf numFmtId="0" fontId="31" fillId="0" borderId="0" xfId="0" applyFont="1" applyAlignment="1">
      <alignment/>
    </xf>
    <xf numFmtId="0" fontId="7" fillId="32" borderId="17" xfId="64" applyFont="1" applyFill="1" applyBorder="1" applyAlignment="1">
      <alignment horizontal="center" vertical="center" wrapText="1"/>
      <protection/>
    </xf>
    <xf numFmtId="0" fontId="7" fillId="32" borderId="12" xfId="64" applyFont="1" applyFill="1" applyBorder="1" applyAlignment="1">
      <alignment horizontal="center" vertical="center" wrapText="1"/>
      <protection/>
    </xf>
    <xf numFmtId="3" fontId="9" fillId="0" borderId="11" xfId="58" applyNumberFormat="1" applyFont="1" applyBorder="1" applyAlignment="1">
      <alignment vertical="distributed"/>
      <protection/>
    </xf>
    <xf numFmtId="3" fontId="8" fillId="0" borderId="11" xfId="58" applyNumberFormat="1" applyFont="1" applyBorder="1" applyAlignment="1">
      <alignment horizontal="right" vertical="distributed"/>
      <protection/>
    </xf>
    <xf numFmtId="3" fontId="14" fillId="0" borderId="11" xfId="65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3" fontId="20" fillId="0" borderId="11" xfId="69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5" xfId="63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5" applyFont="1" applyBorder="1" applyAlignment="1">
      <alignment horizontal="left"/>
      <protection/>
    </xf>
    <xf numFmtId="0" fontId="17" fillId="0" borderId="11" xfId="65" applyFont="1" applyBorder="1" applyAlignment="1">
      <alignment horizontal="center"/>
      <protection/>
    </xf>
    <xf numFmtId="3" fontId="7" fillId="0" borderId="11" xfId="67" applyNumberFormat="1" applyFont="1" applyBorder="1">
      <alignment/>
      <protection/>
    </xf>
    <xf numFmtId="0" fontId="9" fillId="0" borderId="11" xfId="62" applyFont="1" applyBorder="1" applyAlignment="1">
      <alignment vertical="distributed"/>
      <protection/>
    </xf>
    <xf numFmtId="0" fontId="32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3" applyFont="1" applyBorder="1" applyAlignment="1">
      <alignment horizontal="left"/>
      <protection/>
    </xf>
    <xf numFmtId="0" fontId="15" fillId="0" borderId="11" xfId="65" applyFont="1" applyBorder="1" applyAlignment="1">
      <alignment horizontal="left"/>
      <protection/>
    </xf>
    <xf numFmtId="0" fontId="11" fillId="0" borderId="11" xfId="60" applyFont="1" applyBorder="1" applyAlignment="1">
      <alignment horizontal="left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/>
      <protection/>
    </xf>
    <xf numFmtId="3" fontId="7" fillId="0" borderId="11" xfId="62" applyNumberFormat="1" applyFont="1" applyBorder="1">
      <alignment/>
      <protection/>
    </xf>
    <xf numFmtId="3" fontId="15" fillId="32" borderId="11" xfId="65" applyNumberFormat="1" applyFont="1" applyFill="1" applyBorder="1" applyAlignment="1">
      <alignment vertical="distributed"/>
      <protection/>
    </xf>
    <xf numFmtId="0" fontId="34" fillId="0" borderId="11" xfId="64" applyFont="1" applyBorder="1" applyAlignment="1">
      <alignment vertical="distributed"/>
      <protection/>
    </xf>
    <xf numFmtId="0" fontId="5" fillId="0" borderId="0" xfId="69" applyBorder="1">
      <alignment/>
      <protection/>
    </xf>
    <xf numFmtId="0" fontId="1" fillId="0" borderId="16" xfId="0" applyFont="1" applyBorder="1" applyAlignment="1">
      <alignment horizontal="center" vertical="distributed"/>
    </xf>
    <xf numFmtId="0" fontId="30" fillId="0" borderId="16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1" applyNumberFormat="1" applyFont="1" applyFill="1" applyBorder="1">
      <alignment/>
      <protection/>
    </xf>
    <xf numFmtId="3" fontId="10" fillId="0" borderId="18" xfId="57" applyNumberFormat="1" applyFont="1" applyFill="1" applyBorder="1" applyAlignment="1">
      <alignment horizontal="center" vertical="center"/>
      <protection/>
    </xf>
    <xf numFmtId="4" fontId="10" fillId="0" borderId="18" xfId="57" applyNumberFormat="1" applyFont="1" applyFill="1" applyBorder="1" applyAlignment="1">
      <alignment vertical="center"/>
      <protection/>
    </xf>
    <xf numFmtId="3" fontId="10" fillId="0" borderId="19" xfId="57" applyNumberFormat="1" applyFont="1" applyFill="1" applyBorder="1" applyAlignment="1">
      <alignment vertical="center"/>
      <protection/>
    </xf>
    <xf numFmtId="3" fontId="10" fillId="0" borderId="18" xfId="57" applyNumberFormat="1" applyFont="1" applyFill="1" applyBorder="1" applyAlignment="1">
      <alignment vertical="center"/>
      <protection/>
    </xf>
    <xf numFmtId="3" fontId="11" fillId="0" borderId="18" xfId="57" applyNumberFormat="1" applyFont="1" applyFill="1" applyBorder="1" applyAlignment="1">
      <alignment vertical="center"/>
      <protection/>
    </xf>
    <xf numFmtId="3" fontId="11" fillId="0" borderId="19" xfId="57" applyNumberFormat="1" applyFont="1" applyFill="1" applyBorder="1" applyAlignment="1">
      <alignment vertical="center"/>
      <protection/>
    </xf>
    <xf numFmtId="3" fontId="10" fillId="0" borderId="11" xfId="61" applyNumberFormat="1" applyFont="1" applyFill="1" applyBorder="1">
      <alignment/>
      <protection/>
    </xf>
    <xf numFmtId="174" fontId="10" fillId="0" borderId="20" xfId="57" applyNumberFormat="1" applyFont="1" applyBorder="1" applyAlignment="1">
      <alignment vertical="center"/>
      <protection/>
    </xf>
    <xf numFmtId="3" fontId="10" fillId="0" borderId="20" xfId="57" applyNumberFormat="1" applyFont="1" applyFill="1" applyBorder="1" applyAlignment="1">
      <alignment vertical="center"/>
      <protection/>
    </xf>
    <xf numFmtId="4" fontId="10" fillId="0" borderId="20" xfId="57" applyNumberFormat="1" applyFont="1" applyFill="1" applyBorder="1" applyAlignment="1">
      <alignment vertical="center"/>
      <protection/>
    </xf>
    <xf numFmtId="3" fontId="10" fillId="0" borderId="10" xfId="61" applyNumberFormat="1" applyFont="1" applyFill="1" applyBorder="1">
      <alignment/>
      <protection/>
    </xf>
    <xf numFmtId="0" fontId="10" fillId="0" borderId="10" xfId="68" applyFont="1" applyBorder="1">
      <alignment/>
      <protection/>
    </xf>
    <xf numFmtId="4" fontId="10" fillId="0" borderId="10" xfId="61" applyNumberFormat="1" applyFont="1" applyFill="1" applyBorder="1">
      <alignment/>
      <protection/>
    </xf>
    <xf numFmtId="0" fontId="11" fillId="0" borderId="11" xfId="68" applyFont="1" applyBorder="1">
      <alignment/>
      <protection/>
    </xf>
    <xf numFmtId="3" fontId="11" fillId="0" borderId="11" xfId="57" applyNumberFormat="1" applyFont="1" applyFill="1" applyBorder="1" applyAlignment="1">
      <alignment vertical="center"/>
      <protection/>
    </xf>
    <xf numFmtId="0" fontId="10" fillId="0" borderId="11" xfId="68" applyFont="1" applyBorder="1">
      <alignment/>
      <protection/>
    </xf>
    <xf numFmtId="3" fontId="10" fillId="0" borderId="11" xfId="57" applyNumberFormat="1" applyFont="1" applyFill="1" applyBorder="1" applyAlignment="1">
      <alignment vertical="center"/>
      <protection/>
    </xf>
    <xf numFmtId="3" fontId="15" fillId="0" borderId="11" xfId="65" applyNumberFormat="1" applyFont="1" applyBorder="1">
      <alignment/>
      <protection/>
    </xf>
    <xf numFmtId="0" fontId="11" fillId="0" borderId="11" xfId="63" applyFont="1" applyBorder="1">
      <alignment/>
      <protection/>
    </xf>
    <xf numFmtId="0" fontId="11" fillId="0" borderId="11" xfId="63" applyFont="1" applyBorder="1" applyAlignment="1">
      <alignment horizontal="center"/>
      <protection/>
    </xf>
    <xf numFmtId="0" fontId="7" fillId="33" borderId="10" xfId="69" applyFont="1" applyFill="1" applyBorder="1">
      <alignment/>
      <protection/>
    </xf>
    <xf numFmtId="0" fontId="7" fillId="33" borderId="10" xfId="69" applyFont="1" applyFill="1" applyBorder="1" applyAlignment="1">
      <alignment horizontal="center"/>
      <protection/>
    </xf>
    <xf numFmtId="0" fontId="7" fillId="33" borderId="12" xfId="69" applyFont="1" applyFill="1" applyBorder="1">
      <alignment/>
      <protection/>
    </xf>
    <xf numFmtId="0" fontId="7" fillId="33" borderId="12" xfId="69" applyFont="1" applyFill="1" applyBorder="1" applyAlignment="1">
      <alignment horizontal="center"/>
      <protection/>
    </xf>
    <xf numFmtId="3" fontId="7" fillId="0" borderId="0" xfId="69" applyNumberFormat="1" applyFont="1" applyBorder="1">
      <alignment/>
      <protection/>
    </xf>
    <xf numFmtId="0" fontId="6" fillId="0" borderId="0" xfId="63" applyFont="1" applyBorder="1" applyAlignment="1">
      <alignment horizontal="right"/>
      <protection/>
    </xf>
    <xf numFmtId="0" fontId="10" fillId="0" borderId="13" xfId="63" applyFont="1" applyBorder="1">
      <alignment/>
      <protection/>
    </xf>
    <xf numFmtId="49" fontId="10" fillId="32" borderId="11" xfId="63" applyNumberFormat="1" applyFont="1" applyFill="1" applyBorder="1" applyAlignment="1">
      <alignment horizontal="center"/>
      <protection/>
    </xf>
    <xf numFmtId="0" fontId="11" fillId="32" borderId="11" xfId="63" applyFont="1" applyFill="1" applyBorder="1" applyAlignment="1">
      <alignment horizontal="left"/>
      <protection/>
    </xf>
    <xf numFmtId="3" fontId="11" fillId="32" borderId="11" xfId="63" applyNumberFormat="1" applyFont="1" applyFill="1" applyBorder="1" applyAlignment="1">
      <alignment horizontal="right"/>
      <protection/>
    </xf>
    <xf numFmtId="0" fontId="10" fillId="32" borderId="11" xfId="63" applyFont="1" applyFill="1" applyBorder="1" applyAlignment="1">
      <alignment horizontal="center"/>
      <protection/>
    </xf>
    <xf numFmtId="0" fontId="11" fillId="32" borderId="11" xfId="63" applyFont="1" applyFill="1" applyBorder="1">
      <alignment/>
      <protection/>
    </xf>
    <xf numFmtId="0" fontId="11" fillId="32" borderId="13" xfId="63" applyFont="1" applyFill="1" applyBorder="1" applyAlignment="1">
      <alignment horizontal="left"/>
      <protection/>
    </xf>
    <xf numFmtId="49" fontId="11" fillId="32" borderId="11" xfId="63" applyNumberFormat="1" applyFont="1" applyFill="1" applyBorder="1" applyAlignment="1">
      <alignment horizontal="center"/>
      <protection/>
    </xf>
    <xf numFmtId="49" fontId="10" fillId="32" borderId="12" xfId="63" applyNumberFormat="1" applyFont="1" applyFill="1" applyBorder="1" applyAlignment="1">
      <alignment horizontal="center" vertical="center"/>
      <protection/>
    </xf>
    <xf numFmtId="49" fontId="11" fillId="32" borderId="12" xfId="63" applyNumberFormat="1" applyFont="1" applyFill="1" applyBorder="1" applyAlignment="1">
      <alignment horizontal="distributed" vertical="distributed"/>
      <protection/>
    </xf>
    <xf numFmtId="0" fontId="7" fillId="32" borderId="13" xfId="63" applyFont="1" applyFill="1" applyBorder="1" applyAlignment="1">
      <alignment horizontal="left"/>
      <protection/>
    </xf>
    <xf numFmtId="0" fontId="11" fillId="33" borderId="11" xfId="60" applyFont="1" applyFill="1" applyBorder="1" applyAlignment="1">
      <alignment horizontal="left" vertical="center"/>
      <protection/>
    </xf>
    <xf numFmtId="0" fontId="18" fillId="0" borderId="11" xfId="60" applyFont="1" applyBorder="1" applyAlignment="1">
      <alignment horizontal="left"/>
      <protection/>
    </xf>
    <xf numFmtId="0" fontId="18" fillId="0" borderId="13" xfId="60" applyFont="1" applyBorder="1" applyAlignment="1">
      <alignment horizontal="left"/>
      <protection/>
    </xf>
    <xf numFmtId="0" fontId="10" fillId="32" borderId="11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left"/>
      <protection/>
    </xf>
    <xf numFmtId="0" fontId="9" fillId="0" borderId="18" xfId="57" applyFont="1" applyBorder="1" applyAlignment="1">
      <alignment vertical="center"/>
      <protection/>
    </xf>
    <xf numFmtId="0" fontId="8" fillId="0" borderId="18" xfId="57" applyFont="1" applyBorder="1" applyAlignment="1">
      <alignment vertical="center"/>
      <protection/>
    </xf>
    <xf numFmtId="0" fontId="8" fillId="0" borderId="18" xfId="57" applyFont="1" applyBorder="1" applyAlignment="1">
      <alignment vertical="center" wrapText="1"/>
      <protection/>
    </xf>
    <xf numFmtId="0" fontId="9" fillId="0" borderId="11" xfId="57" applyFont="1" applyBorder="1" applyAlignment="1">
      <alignment vertical="center"/>
      <protection/>
    </xf>
    <xf numFmtId="0" fontId="8" fillId="0" borderId="11" xfId="57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1" applyFont="1" applyFill="1" applyBorder="1">
      <alignment/>
      <protection/>
    </xf>
    <xf numFmtId="0" fontId="11" fillId="32" borderId="12" xfId="61" applyFont="1" applyFill="1" applyBorder="1" applyAlignment="1">
      <alignment horizontal="center" vertical="center" wrapText="1"/>
      <protection/>
    </xf>
    <xf numFmtId="0" fontId="11" fillId="32" borderId="16" xfId="61" applyFont="1" applyFill="1" applyBorder="1" applyAlignment="1">
      <alignment horizontal="right" vertical="center" wrapText="1"/>
      <protection/>
    </xf>
    <xf numFmtId="0" fontId="11" fillId="32" borderId="14" xfId="61" applyFont="1" applyFill="1" applyBorder="1" applyAlignment="1">
      <alignment horizontal="center" vertical="center"/>
      <protection/>
    </xf>
    <xf numFmtId="0" fontId="11" fillId="32" borderId="21" xfId="61" applyFont="1" applyFill="1" applyBorder="1" applyAlignment="1">
      <alignment horizontal="right" vertical="center"/>
      <protection/>
    </xf>
    <xf numFmtId="0" fontId="11" fillId="32" borderId="22" xfId="61" applyFont="1" applyFill="1" applyBorder="1" applyAlignment="1">
      <alignment horizontal="center" vertical="center"/>
      <protection/>
    </xf>
    <xf numFmtId="0" fontId="11" fillId="32" borderId="23" xfId="61" applyFont="1" applyFill="1" applyBorder="1" applyAlignment="1">
      <alignment horizontal="center" vertical="center"/>
      <protection/>
    </xf>
    <xf numFmtId="0" fontId="10" fillId="32" borderId="11" xfId="68" applyFont="1" applyFill="1" applyBorder="1">
      <alignment/>
      <protection/>
    </xf>
    <xf numFmtId="3" fontId="11" fillId="32" borderId="11" xfId="68" applyNumberFormat="1" applyFont="1" applyFill="1" applyBorder="1">
      <alignment/>
      <protection/>
    </xf>
    <xf numFmtId="0" fontId="20" fillId="0" borderId="12" xfId="69" applyFont="1" applyBorder="1">
      <alignment/>
      <protection/>
    </xf>
    <xf numFmtId="0" fontId="7" fillId="0" borderId="11" xfId="69" applyNumberFormat="1" applyFont="1" applyBorder="1">
      <alignment/>
      <protection/>
    </xf>
    <xf numFmtId="0" fontId="16" fillId="32" borderId="11" xfId="65" applyFont="1" applyFill="1" applyBorder="1">
      <alignment/>
      <protection/>
    </xf>
    <xf numFmtId="0" fontId="20" fillId="32" borderId="11" xfId="62" applyFont="1" applyFill="1" applyBorder="1">
      <alignment/>
      <protection/>
    </xf>
    <xf numFmtId="3" fontId="20" fillId="32" borderId="11" xfId="62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5" xfId="0" applyNumberFormat="1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vertical="center"/>
    </xf>
    <xf numFmtId="174" fontId="1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right" vertical="distributed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distributed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19" fillId="0" borderId="17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3" applyNumberFormat="1" applyFont="1" applyBorder="1" applyAlignment="1">
      <alignment horizontal="right"/>
      <protection/>
    </xf>
    <xf numFmtId="0" fontId="23" fillId="0" borderId="11" xfId="63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left" vertical="center"/>
    </xf>
    <xf numFmtId="16" fontId="21" fillId="0" borderId="11" xfId="63" applyNumberFormat="1" applyFont="1" applyBorder="1" applyAlignment="1">
      <alignment horizontal="left"/>
      <protection/>
    </xf>
    <xf numFmtId="0" fontId="18" fillId="0" borderId="11" xfId="63" applyFont="1" applyBorder="1" applyAlignment="1">
      <alignment horizontal="center" vertical="center" wrapText="1"/>
      <protection/>
    </xf>
    <xf numFmtId="3" fontId="10" fillId="0" borderId="11" xfId="63" applyNumberFormat="1" applyFont="1" applyBorder="1" applyAlignment="1">
      <alignment horizontal="right"/>
      <protection/>
    </xf>
    <xf numFmtId="0" fontId="10" fillId="0" borderId="11" xfId="63" applyFont="1" applyBorder="1" applyAlignment="1">
      <alignment horizontal="left"/>
      <protection/>
    </xf>
    <xf numFmtId="0" fontId="10" fillId="0" borderId="11" xfId="63" applyNumberFormat="1" applyFont="1" applyBorder="1" applyAlignment="1">
      <alignment horizontal="left"/>
      <protection/>
    </xf>
    <xf numFmtId="0" fontId="10" fillId="0" borderId="13" xfId="63" applyFont="1" applyBorder="1" applyAlignment="1">
      <alignment horizontal="left"/>
      <protection/>
    </xf>
    <xf numFmtId="16" fontId="10" fillId="0" borderId="11" xfId="63" applyNumberFormat="1" applyFont="1" applyBorder="1" applyAlignment="1">
      <alignment horizontal="left"/>
      <protection/>
    </xf>
    <xf numFmtId="0" fontId="11" fillId="0" borderId="11" xfId="63" applyNumberFormat="1" applyFont="1" applyBorder="1" applyAlignment="1">
      <alignment horizontal="left"/>
      <protection/>
    </xf>
    <xf numFmtId="0" fontId="14" fillId="0" borderId="23" xfId="66" applyFont="1" applyBorder="1" applyAlignment="1">
      <alignment horizontal="right"/>
      <protection/>
    </xf>
    <xf numFmtId="0" fontId="14" fillId="0" borderId="10" xfId="66" applyFont="1" applyBorder="1" applyAlignment="1">
      <alignment horizontal="left"/>
      <protection/>
    </xf>
    <xf numFmtId="0" fontId="14" fillId="0" borderId="24" xfId="66" applyFont="1" applyBorder="1" applyAlignment="1">
      <alignment horizontal="center"/>
      <protection/>
    </xf>
    <xf numFmtId="2" fontId="10" fillId="0" borderId="11" xfId="63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1" fillId="32" borderId="11" xfId="0" applyFont="1" applyFill="1" applyBorder="1" applyAlignment="1">
      <alignment/>
    </xf>
    <xf numFmtId="0" fontId="8" fillId="0" borderId="11" xfId="57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3" applyNumberFormat="1" applyFont="1" applyBorder="1" applyAlignment="1">
      <alignment horizontal="center"/>
      <protection/>
    </xf>
    <xf numFmtId="3" fontId="9" fillId="0" borderId="11" xfId="58" applyNumberFormat="1" applyFont="1" applyBorder="1" applyAlignment="1">
      <alignment horizontal="right" vertical="distributed"/>
      <protection/>
    </xf>
    <xf numFmtId="0" fontId="36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5" xfId="0" applyNumberFormat="1" applyFont="1" applyFill="1" applyBorder="1" applyAlignment="1">
      <alignment horizontal="center" vertical="distributed"/>
    </xf>
    <xf numFmtId="0" fontId="0" fillId="32" borderId="0" xfId="0" applyFill="1" applyAlignment="1">
      <alignment/>
    </xf>
    <xf numFmtId="3" fontId="11" fillId="32" borderId="11" xfId="61" applyNumberFormat="1" applyFont="1" applyFill="1" applyBorder="1">
      <alignment/>
      <protection/>
    </xf>
    <xf numFmtId="0" fontId="11" fillId="32" borderId="11" xfId="68" applyFont="1" applyFill="1" applyBorder="1">
      <alignment/>
      <protection/>
    </xf>
    <xf numFmtId="3" fontId="11" fillId="32" borderId="11" xfId="57" applyNumberFormat="1" applyFont="1" applyFill="1" applyBorder="1" applyAlignment="1">
      <alignment vertical="center"/>
      <protection/>
    </xf>
    <xf numFmtId="174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left" vertical="center"/>
    </xf>
    <xf numFmtId="3" fontId="30" fillId="32" borderId="11" xfId="0" applyNumberFormat="1" applyFont="1" applyFill="1" applyBorder="1" applyAlignment="1">
      <alignment horizontal="right" vertical="center"/>
    </xf>
    <xf numFmtId="0" fontId="9" fillId="0" borderId="0" xfId="61" applyFont="1" applyFill="1" applyBorder="1">
      <alignment/>
      <protection/>
    </xf>
    <xf numFmtId="0" fontId="31" fillId="0" borderId="0" xfId="0" applyFont="1" applyBorder="1" applyAlignment="1">
      <alignment/>
    </xf>
    <xf numFmtId="0" fontId="7" fillId="32" borderId="11" xfId="59" applyFont="1" applyFill="1" applyBorder="1" applyAlignment="1">
      <alignment horizontal="center" vertical="center"/>
      <protection/>
    </xf>
    <xf numFmtId="3" fontId="7" fillId="0" borderId="11" xfId="59" applyNumberFormat="1" applyFont="1" applyBorder="1">
      <alignment/>
      <protection/>
    </xf>
    <xf numFmtId="0" fontId="5" fillId="0" borderId="0" xfId="59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5" xfId="57" applyFont="1" applyBorder="1" applyAlignment="1">
      <alignment vertical="center"/>
      <protection/>
    </xf>
    <xf numFmtId="3" fontId="11" fillId="0" borderId="12" xfId="61" applyNumberFormat="1" applyFont="1" applyFill="1" applyBorder="1">
      <alignment/>
      <protection/>
    </xf>
    <xf numFmtId="0" fontId="9" fillId="32" borderId="11" xfId="57" applyFont="1" applyFill="1" applyBorder="1" applyAlignment="1">
      <alignment vertical="center"/>
      <protection/>
    </xf>
    <xf numFmtId="0" fontId="8" fillId="0" borderId="18" xfId="57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0" fontId="10" fillId="0" borderId="11" xfId="60" applyFont="1" applyBorder="1" applyAlignment="1">
      <alignment horizontal="left"/>
      <protection/>
    </xf>
    <xf numFmtId="49" fontId="2" fillId="32" borderId="11" xfId="0" applyNumberFormat="1" applyFont="1" applyFill="1" applyBorder="1" applyAlignment="1">
      <alignment horizontal="center" vertical="distributed"/>
    </xf>
    <xf numFmtId="0" fontId="0" fillId="34" borderId="11" xfId="0" applyFill="1" applyBorder="1" applyAlignment="1">
      <alignment/>
    </xf>
    <xf numFmtId="49" fontId="2" fillId="14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31" fillId="14" borderId="11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3" fontId="1" fillId="32" borderId="11" xfId="7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3" fontId="2" fillId="32" borderId="11" xfId="0" applyNumberFormat="1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28" fillId="32" borderId="11" xfId="0" applyNumberFormat="1" applyFont="1" applyFill="1" applyBorder="1" applyAlignment="1">
      <alignment horizontal="center" vertical="center"/>
    </xf>
    <xf numFmtId="3" fontId="10" fillId="0" borderId="11" xfId="63" applyNumberFormat="1" applyFont="1" applyBorder="1" applyAlignment="1">
      <alignment horizontal="right" vertical="center"/>
      <protection/>
    </xf>
    <xf numFmtId="3" fontId="11" fillId="32" borderId="11" xfId="63" applyNumberFormat="1" applyFont="1" applyFill="1" applyBorder="1" applyAlignment="1">
      <alignment horizontal="right" vertical="center"/>
      <protection/>
    </xf>
    <xf numFmtId="3" fontId="11" fillId="0" borderId="11" xfId="63" applyNumberFormat="1" applyFont="1" applyBorder="1" applyAlignment="1">
      <alignment horizontal="right" vertical="center"/>
      <protection/>
    </xf>
    <xf numFmtId="3" fontId="18" fillId="0" borderId="11" xfId="63" applyNumberFormat="1" applyFont="1" applyBorder="1" applyAlignment="1">
      <alignment horizontal="right" vertical="center"/>
      <protection/>
    </xf>
    <xf numFmtId="3" fontId="8" fillId="0" borderId="11" xfId="63" applyNumberFormat="1" applyBorder="1" applyAlignment="1">
      <alignment horizontal="right" vertical="center"/>
      <protection/>
    </xf>
    <xf numFmtId="3" fontId="11" fillId="32" borderId="12" xfId="63" applyNumberFormat="1" applyFont="1" applyFill="1" applyBorder="1" applyAlignment="1">
      <alignment horizontal="right" vertical="center"/>
      <protection/>
    </xf>
    <xf numFmtId="3" fontId="18" fillId="32" borderId="12" xfId="63" applyNumberFormat="1" applyFont="1" applyFill="1" applyBorder="1" applyAlignment="1">
      <alignment horizontal="right" vertical="center"/>
      <protection/>
    </xf>
    <xf numFmtId="3" fontId="10" fillId="0" borderId="0" xfId="63" applyNumberFormat="1" applyFont="1" applyAlignment="1">
      <alignment horizontal="right" vertical="center"/>
      <protection/>
    </xf>
    <xf numFmtId="3" fontId="11" fillId="33" borderId="12" xfId="60" applyNumberFormat="1" applyFont="1" applyFill="1" applyBorder="1" applyAlignment="1">
      <alignment horizontal="right" vertical="center" wrapText="1"/>
      <protection/>
    </xf>
    <xf numFmtId="3" fontId="10" fillId="0" borderId="11" xfId="60" applyNumberFormat="1" applyFont="1" applyBorder="1" applyAlignment="1">
      <alignment horizontal="right" vertical="center"/>
      <protection/>
    </xf>
    <xf numFmtId="3" fontId="10" fillId="0" borderId="11" xfId="60" applyNumberFormat="1" applyFont="1" applyBorder="1" applyAlignment="1">
      <alignment horizontal="right" vertical="center"/>
      <protection/>
    </xf>
    <xf numFmtId="3" fontId="11" fillId="0" borderId="11" xfId="60" applyNumberFormat="1" applyFont="1" applyBorder="1" applyAlignment="1">
      <alignment horizontal="right" vertical="center"/>
      <protection/>
    </xf>
    <xf numFmtId="3" fontId="11" fillId="32" borderId="11" xfId="60" applyNumberFormat="1" applyFont="1" applyFill="1" applyBorder="1" applyAlignment="1">
      <alignment horizontal="right" vertical="center"/>
      <protection/>
    </xf>
    <xf numFmtId="0" fontId="11" fillId="33" borderId="11" xfId="63" applyFont="1" applyFill="1" applyBorder="1" applyAlignment="1">
      <alignment vertical="center" wrapText="1"/>
      <protection/>
    </xf>
    <xf numFmtId="3" fontId="11" fillId="33" borderId="11" xfId="60" applyNumberFormat="1" applyFont="1" applyFill="1" applyBorder="1" applyAlignment="1">
      <alignment horizontal="right" vertical="center"/>
      <protection/>
    </xf>
    <xf numFmtId="0" fontId="5" fillId="0" borderId="11" xfId="62" applyBorder="1" applyAlignment="1">
      <alignment horizontal="center"/>
      <protection/>
    </xf>
    <xf numFmtId="0" fontId="16" fillId="32" borderId="11" xfId="65" applyFont="1" applyFill="1" applyBorder="1" applyAlignment="1">
      <alignment horizontal="center"/>
      <protection/>
    </xf>
    <xf numFmtId="0" fontId="14" fillId="35" borderId="26" xfId="66" applyFont="1" applyFill="1" applyBorder="1" applyAlignment="1">
      <alignment horizontal="center"/>
      <protection/>
    </xf>
    <xf numFmtId="0" fontId="15" fillId="35" borderId="27" xfId="66" applyFont="1" applyFill="1" applyBorder="1" applyAlignment="1">
      <alignment horizontal="left"/>
      <protection/>
    </xf>
    <xf numFmtId="0" fontId="15" fillId="35" borderId="28" xfId="66" applyFont="1" applyFill="1" applyBorder="1" applyAlignment="1">
      <alignment horizontal="right"/>
      <protection/>
    </xf>
    <xf numFmtId="3" fontId="15" fillId="35" borderId="29" xfId="66" applyNumberFormat="1" applyFont="1" applyFill="1" applyBorder="1" applyAlignment="1">
      <alignment horizontal="right"/>
      <protection/>
    </xf>
    <xf numFmtId="0" fontId="14" fillId="35" borderId="30" xfId="66" applyFont="1" applyFill="1" applyBorder="1" applyAlignment="1">
      <alignment horizontal="center"/>
      <protection/>
    </xf>
    <xf numFmtId="0" fontId="9" fillId="0" borderId="31" xfId="57" applyFont="1" applyBorder="1" applyAlignment="1">
      <alignment vertical="center"/>
      <protection/>
    </xf>
    <xf numFmtId="3" fontId="11" fillId="0" borderId="31" xfId="61" applyNumberFormat="1" applyFont="1" applyFill="1" applyBorder="1">
      <alignment/>
      <protection/>
    </xf>
    <xf numFmtId="3" fontId="11" fillId="0" borderId="32" xfId="61" applyNumberFormat="1" applyFont="1" applyFill="1" applyBorder="1">
      <alignment/>
      <protection/>
    </xf>
    <xf numFmtId="4" fontId="11" fillId="0" borderId="18" xfId="61" applyNumberFormat="1" applyFont="1" applyFill="1" applyBorder="1">
      <alignment/>
      <protection/>
    </xf>
    <xf numFmtId="3" fontId="11" fillId="0" borderId="18" xfId="61" applyNumberFormat="1" applyFont="1" applyFill="1" applyBorder="1">
      <alignment/>
      <protection/>
    </xf>
    <xf numFmtId="3" fontId="11" fillId="0" borderId="19" xfId="61" applyNumberFormat="1" applyFont="1" applyFill="1" applyBorder="1">
      <alignment/>
      <protection/>
    </xf>
    <xf numFmtId="174" fontId="10" fillId="0" borderId="18" xfId="61" applyNumberFormat="1" applyFont="1" applyFill="1" applyBorder="1">
      <alignment/>
      <protection/>
    </xf>
    <xf numFmtId="3" fontId="10" fillId="0" borderId="18" xfId="61" applyNumberFormat="1" applyFont="1" applyFill="1" applyBorder="1">
      <alignment/>
      <protection/>
    </xf>
    <xf numFmtId="3" fontId="10" fillId="0" borderId="19" xfId="61" applyNumberFormat="1" applyFont="1" applyFill="1" applyBorder="1">
      <alignment/>
      <protection/>
    </xf>
    <xf numFmtId="0" fontId="8" fillId="0" borderId="33" xfId="57" applyFont="1" applyBorder="1" applyAlignment="1">
      <alignment vertical="center"/>
      <protection/>
    </xf>
    <xf numFmtId="3" fontId="10" fillId="0" borderId="33" xfId="57" applyNumberFormat="1" applyFont="1" applyFill="1" applyBorder="1" applyAlignment="1">
      <alignment vertical="center"/>
      <protection/>
    </xf>
    <xf numFmtId="3" fontId="10" fillId="0" borderId="34" xfId="61" applyNumberFormat="1" applyFont="1" applyFill="1" applyBorder="1">
      <alignment/>
      <protection/>
    </xf>
    <xf numFmtId="0" fontId="9" fillId="35" borderId="18" xfId="57" applyFont="1" applyFill="1" applyBorder="1" applyAlignment="1">
      <alignment vertical="center"/>
      <protection/>
    </xf>
    <xf numFmtId="3" fontId="11" fillId="35" borderId="19" xfId="61" applyNumberFormat="1" applyFont="1" applyFill="1" applyBorder="1">
      <alignment/>
      <protection/>
    </xf>
    <xf numFmtId="0" fontId="9" fillId="35" borderId="11" xfId="57" applyFont="1" applyFill="1" applyBorder="1" applyAlignment="1">
      <alignment vertical="center"/>
      <protection/>
    </xf>
    <xf numFmtId="3" fontId="11" fillId="35" borderId="11" xfId="61" applyNumberFormat="1" applyFont="1" applyFill="1" applyBorder="1">
      <alignment/>
      <protection/>
    </xf>
    <xf numFmtId="4" fontId="10" fillId="0" borderId="10" xfId="61" applyNumberFormat="1" applyFont="1" applyFill="1" applyBorder="1">
      <alignment/>
      <protection/>
    </xf>
    <xf numFmtId="174" fontId="11" fillId="35" borderId="11" xfId="61" applyNumberFormat="1" applyFont="1" applyFill="1" applyBorder="1">
      <alignment/>
      <protection/>
    </xf>
    <xf numFmtId="0" fontId="11" fillId="35" borderId="11" xfId="68" applyFont="1" applyFill="1" applyBorder="1">
      <alignment/>
      <protection/>
    </xf>
    <xf numFmtId="3" fontId="11" fillId="35" borderId="11" xfId="57" applyNumberFormat="1" applyFont="1" applyFill="1" applyBorder="1" applyAlignment="1">
      <alignment vertical="center"/>
      <protection/>
    </xf>
    <xf numFmtId="0" fontId="36" fillId="32" borderId="11" xfId="0" applyFont="1" applyFill="1" applyBorder="1" applyAlignment="1">
      <alignment horizontal="center" wrapText="1"/>
    </xf>
    <xf numFmtId="0" fontId="7" fillId="0" borderId="11" xfId="59" applyFont="1" applyBorder="1" applyAlignment="1">
      <alignment horizontal="left"/>
      <protection/>
    </xf>
    <xf numFmtId="3" fontId="1" fillId="36" borderId="11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8" fillId="0" borderId="20" xfId="57" applyFont="1" applyBorder="1" applyAlignment="1">
      <alignment vertical="center"/>
      <protection/>
    </xf>
    <xf numFmtId="0" fontId="8" fillId="0" borderId="34" xfId="57" applyFont="1" applyBorder="1" applyAlignment="1">
      <alignment vertical="center"/>
      <protection/>
    </xf>
    <xf numFmtId="0" fontId="11" fillId="37" borderId="11" xfId="60" applyFont="1" applyFill="1" applyBorder="1" applyAlignment="1">
      <alignment horizontal="center"/>
      <protection/>
    </xf>
    <xf numFmtId="0" fontId="18" fillId="37" borderId="13" xfId="60" applyFont="1" applyFill="1" applyBorder="1" applyAlignment="1">
      <alignment horizontal="left"/>
      <protection/>
    </xf>
    <xf numFmtId="3" fontId="11" fillId="37" borderId="11" xfId="60" applyNumberFormat="1" applyFont="1" applyFill="1" applyBorder="1" applyAlignment="1">
      <alignment horizontal="right" vertical="center"/>
      <protection/>
    </xf>
    <xf numFmtId="3" fontId="11" fillId="0" borderId="35" xfId="57" applyNumberFormat="1" applyFont="1" applyFill="1" applyBorder="1" applyAlignment="1">
      <alignment vertical="center"/>
      <protection/>
    </xf>
    <xf numFmtId="0" fontId="14" fillId="0" borderId="36" xfId="66" applyFont="1" applyBorder="1" applyAlignment="1">
      <alignment horizontal="center"/>
      <protection/>
    </xf>
    <xf numFmtId="3" fontId="14" fillId="0" borderId="37" xfId="66" applyNumberFormat="1" applyFont="1" applyBorder="1" applyAlignment="1">
      <alignment horizontal="right"/>
      <protection/>
    </xf>
    <xf numFmtId="0" fontId="11" fillId="36" borderId="11" xfId="63" applyFont="1" applyFill="1" applyBorder="1" applyAlignment="1">
      <alignment horizontal="center" vertical="center" wrapText="1"/>
      <protection/>
    </xf>
    <xf numFmtId="0" fontId="11" fillId="37" borderId="11" xfId="63" applyFont="1" applyFill="1" applyBorder="1" applyAlignment="1">
      <alignment horizontal="center" vertical="center" wrapText="1"/>
      <protection/>
    </xf>
    <xf numFmtId="0" fontId="18" fillId="37" borderId="11" xfId="63" applyFont="1" applyFill="1" applyBorder="1" applyAlignment="1">
      <alignment horizontal="left"/>
      <protection/>
    </xf>
    <xf numFmtId="3" fontId="18" fillId="37" borderId="11" xfId="63" applyNumberFormat="1" applyFont="1" applyFill="1" applyBorder="1" applyAlignment="1">
      <alignment horizontal="right"/>
      <protection/>
    </xf>
    <xf numFmtId="16" fontId="18" fillId="37" borderId="11" xfId="63" applyNumberFormat="1" applyFont="1" applyFill="1" applyBorder="1" applyAlignment="1">
      <alignment horizontal="left"/>
      <protection/>
    </xf>
    <xf numFmtId="0" fontId="11" fillId="36" borderId="11" xfId="63" applyFont="1" applyFill="1" applyBorder="1" applyAlignment="1">
      <alignment horizontal="left"/>
      <protection/>
    </xf>
    <xf numFmtId="3" fontId="11" fillId="36" borderId="11" xfId="63" applyNumberFormat="1" applyFont="1" applyFill="1" applyBorder="1" applyAlignment="1">
      <alignment horizontal="right"/>
      <protection/>
    </xf>
    <xf numFmtId="49" fontId="2" fillId="37" borderId="15" xfId="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43" fontId="8" fillId="0" borderId="0" xfId="46" applyFont="1" applyAlignment="1">
      <alignment/>
    </xf>
    <xf numFmtId="3" fontId="37" fillId="0" borderId="11" xfId="59" applyNumberFormat="1" applyFont="1" applyBorder="1">
      <alignment/>
      <protection/>
    </xf>
    <xf numFmtId="3" fontId="27" fillId="0" borderId="11" xfId="59" applyNumberFormat="1" applyFont="1" applyBorder="1">
      <alignment/>
      <protection/>
    </xf>
    <xf numFmtId="3" fontId="8" fillId="0" borderId="0" xfId="59" applyNumberFormat="1">
      <alignment/>
      <protection/>
    </xf>
    <xf numFmtId="0" fontId="10" fillId="0" borderId="11" xfId="63" applyFont="1" applyBorder="1" applyAlignment="1">
      <alignment horizontal="center"/>
      <protection/>
    </xf>
    <xf numFmtId="3" fontId="1" fillId="14" borderId="11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10" fillId="0" borderId="13" xfId="63" applyFont="1" applyBorder="1">
      <alignment/>
      <protection/>
    </xf>
    <xf numFmtId="0" fontId="2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3" fontId="30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3" fillId="0" borderId="11" xfId="0" applyFont="1" applyBorder="1" applyAlignment="1">
      <alignment horizontal="left" vertical="center"/>
    </xf>
    <xf numFmtId="3" fontId="33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/>
    </xf>
    <xf numFmtId="3" fontId="19" fillId="0" borderId="0" xfId="0" applyNumberFormat="1" applyFont="1" applyFill="1" applyBorder="1" applyAlignment="1">
      <alignment vertical="center"/>
    </xf>
    <xf numFmtId="3" fontId="19" fillId="0" borderId="39" xfId="0" applyNumberFormat="1" applyFont="1" applyFill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3" fontId="30" fillId="37" borderId="1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3" fontId="1" fillId="37" borderId="11" xfId="0" applyNumberFormat="1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0" fillId="38" borderId="11" xfId="0" applyFill="1" applyBorder="1" applyAlignment="1">
      <alignment/>
    </xf>
    <xf numFmtId="0" fontId="1" fillId="38" borderId="11" xfId="0" applyFont="1" applyFill="1" applyBorder="1" applyAlignment="1">
      <alignment horizontal="center" vertical="center"/>
    </xf>
    <xf numFmtId="3" fontId="1" fillId="38" borderId="11" xfId="0" applyNumberFormat="1" applyFont="1" applyFill="1" applyBorder="1" applyAlignment="1">
      <alignment horizontal="center" vertical="center"/>
    </xf>
    <xf numFmtId="3" fontId="1" fillId="38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8" borderId="11" xfId="0" applyFont="1" applyFill="1" applyBorder="1" applyAlignment="1">
      <alignment horizontal="center"/>
    </xf>
    <xf numFmtId="0" fontId="7" fillId="37" borderId="12" xfId="69" applyFont="1" applyFill="1" applyBorder="1">
      <alignment/>
      <protection/>
    </xf>
    <xf numFmtId="0" fontId="34" fillId="37" borderId="12" xfId="69" applyFont="1" applyFill="1" applyBorder="1">
      <alignment/>
      <protection/>
    </xf>
    <xf numFmtId="0" fontId="7" fillId="37" borderId="12" xfId="69" applyFont="1" applyFill="1" applyBorder="1" applyAlignment="1">
      <alignment horizontal="center"/>
      <protection/>
    </xf>
    <xf numFmtId="0" fontId="5" fillId="37" borderId="11" xfId="69" applyFont="1" applyFill="1" applyBorder="1">
      <alignment/>
      <protection/>
    </xf>
    <xf numFmtId="3" fontId="20" fillId="37" borderId="11" xfId="69" applyNumberFormat="1" applyFont="1" applyFill="1" applyBorder="1">
      <alignment/>
      <protection/>
    </xf>
    <xf numFmtId="0" fontId="7" fillId="37" borderId="11" xfId="69" applyFont="1" applyFill="1" applyBorder="1">
      <alignment/>
      <protection/>
    </xf>
    <xf numFmtId="3" fontId="7" fillId="37" borderId="11" xfId="69" applyNumberFormat="1" applyFont="1" applyFill="1" applyBorder="1">
      <alignment/>
      <protection/>
    </xf>
    <xf numFmtId="16" fontId="7" fillId="0" borderId="12" xfId="69" applyNumberFormat="1" applyFont="1" applyBorder="1">
      <alignment/>
      <protection/>
    </xf>
    <xf numFmtId="0" fontId="13" fillId="0" borderId="13" xfId="65" applyFont="1" applyFill="1" applyBorder="1" applyAlignment="1">
      <alignment horizontal="center" vertical="center"/>
      <protection/>
    </xf>
    <xf numFmtId="0" fontId="13" fillId="0" borderId="11" xfId="65" applyFont="1" applyFill="1" applyBorder="1" applyAlignment="1">
      <alignment horizontal="center" vertical="center"/>
      <protection/>
    </xf>
    <xf numFmtId="0" fontId="13" fillId="0" borderId="11" xfId="65" applyFont="1" applyFill="1" applyBorder="1" applyAlignment="1">
      <alignment horizontal="left" vertical="center"/>
      <protection/>
    </xf>
    <xf numFmtId="0" fontId="12" fillId="0" borderId="11" xfId="65" applyFont="1" applyFill="1" applyBorder="1" applyAlignment="1">
      <alignment horizontal="left" vertical="center"/>
      <protection/>
    </xf>
    <xf numFmtId="0" fontId="13" fillId="36" borderId="11" xfId="65" applyFont="1" applyFill="1" applyBorder="1" applyAlignment="1">
      <alignment horizontal="left" vertical="center"/>
      <protection/>
    </xf>
    <xf numFmtId="0" fontId="17" fillId="36" borderId="11" xfId="65" applyFont="1" applyFill="1" applyBorder="1" applyAlignment="1">
      <alignment horizontal="right" vertical="center"/>
      <protection/>
    </xf>
    <xf numFmtId="0" fontId="12" fillId="0" borderId="11" xfId="65" applyFont="1" applyBorder="1" applyAlignment="1">
      <alignment horizontal="center" vertical="distributed"/>
      <protection/>
    </xf>
    <xf numFmtId="0" fontId="12" fillId="0" borderId="11" xfId="65" applyFont="1" applyBorder="1" applyAlignment="1">
      <alignment horizontal="left" vertical="distributed"/>
      <protection/>
    </xf>
    <xf numFmtId="0" fontId="16" fillId="0" borderId="11" xfId="65" applyFont="1" applyBorder="1">
      <alignment/>
      <protection/>
    </xf>
    <xf numFmtId="0" fontId="8" fillId="0" borderId="11" xfId="62" applyFont="1" applyBorder="1" applyAlignment="1">
      <alignment vertical="distributed"/>
      <protection/>
    </xf>
    <xf numFmtId="0" fontId="12" fillId="0" borderId="11" xfId="65" applyFont="1" applyBorder="1" applyAlignment="1">
      <alignment horizontal="center"/>
      <protection/>
    </xf>
    <xf numFmtId="0" fontId="12" fillId="32" borderId="11" xfId="65" applyFont="1" applyFill="1" applyBorder="1">
      <alignment/>
      <protection/>
    </xf>
    <xf numFmtId="0" fontId="13" fillId="32" borderId="11" xfId="65" applyFont="1" applyFill="1" applyBorder="1" applyAlignment="1">
      <alignment horizontal="left" vertical="distributed"/>
      <protection/>
    </xf>
    <xf numFmtId="0" fontId="8" fillId="0" borderId="0" xfId="65" applyFont="1">
      <alignment/>
      <protection/>
    </xf>
    <xf numFmtId="0" fontId="16" fillId="0" borderId="11" xfId="65" applyFont="1" applyBorder="1" applyAlignment="1">
      <alignment horizontal="center"/>
      <protection/>
    </xf>
    <xf numFmtId="0" fontId="20" fillId="0" borderId="11" xfId="62" applyFont="1" applyBorder="1">
      <alignment/>
      <protection/>
    </xf>
    <xf numFmtId="3" fontId="39" fillId="0" borderId="11" xfId="65" applyNumberFormat="1" applyFont="1" applyBorder="1">
      <alignment/>
      <protection/>
    </xf>
    <xf numFmtId="0" fontId="11" fillId="0" borderId="11" xfId="62" applyFont="1" applyBorder="1">
      <alignment/>
      <protection/>
    </xf>
    <xf numFmtId="0" fontId="10" fillId="0" borderId="11" xfId="62" applyFont="1" applyBorder="1">
      <alignment/>
      <protection/>
    </xf>
    <xf numFmtId="3" fontId="20" fillId="0" borderId="11" xfId="62" applyNumberFormat="1" applyFont="1" applyBorder="1">
      <alignment/>
      <protection/>
    </xf>
    <xf numFmtId="3" fontId="7" fillId="0" borderId="11" xfId="62" applyNumberFormat="1" applyFont="1" applyBorder="1" applyAlignment="1">
      <alignment horizontal="right"/>
      <protection/>
    </xf>
    <xf numFmtId="0" fontId="7" fillId="0" borderId="11" xfId="62" applyFont="1" applyBorder="1">
      <alignment/>
      <protection/>
    </xf>
    <xf numFmtId="3" fontId="5" fillId="0" borderId="11" xfId="62" applyNumberFormat="1" applyFont="1" applyBorder="1" applyAlignment="1">
      <alignment horizontal="right"/>
      <protection/>
    </xf>
    <xf numFmtId="3" fontId="17" fillId="0" borderId="11" xfId="65" applyNumberFormat="1" applyFont="1" applyBorder="1">
      <alignment/>
      <protection/>
    </xf>
    <xf numFmtId="0" fontId="14" fillId="0" borderId="40" xfId="66" applyFont="1" applyBorder="1" applyAlignment="1">
      <alignment horizontal="center"/>
      <protection/>
    </xf>
    <xf numFmtId="0" fontId="15" fillId="0" borderId="10" xfId="66" applyFont="1" applyBorder="1" applyAlignment="1">
      <alignment horizontal="left"/>
      <protection/>
    </xf>
    <xf numFmtId="0" fontId="8" fillId="0" borderId="11" xfId="58" applyFont="1" applyBorder="1" applyAlignment="1">
      <alignment horizontal="distributed" vertical="distributed"/>
      <protection/>
    </xf>
    <xf numFmtId="9" fontId="8" fillId="0" borderId="11" xfId="58" applyNumberFormat="1" applyFont="1" applyBorder="1" applyAlignment="1">
      <alignment horizontal="center" vertical="distributed"/>
      <protection/>
    </xf>
    <xf numFmtId="0" fontId="36" fillId="32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12" xfId="69" applyFont="1" applyBorder="1">
      <alignment/>
      <protection/>
    </xf>
    <xf numFmtId="3" fontId="23" fillId="0" borderId="11" xfId="69" applyNumberFormat="1" applyFont="1" applyBorder="1">
      <alignment/>
      <protection/>
    </xf>
    <xf numFmtId="0" fontId="0" fillId="32" borderId="16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/>
    </xf>
    <xf numFmtId="0" fontId="11" fillId="32" borderId="0" xfId="61" applyFont="1" applyFill="1" applyBorder="1" applyAlignment="1">
      <alignment horizontal="center" vertical="center"/>
      <protection/>
    </xf>
    <xf numFmtId="3" fontId="11" fillId="0" borderId="41" xfId="61" applyNumberFormat="1" applyFont="1" applyFill="1" applyBorder="1">
      <alignment/>
      <protection/>
    </xf>
    <xf numFmtId="3" fontId="11" fillId="0" borderId="35" xfId="61" applyNumberFormat="1" applyFont="1" applyFill="1" applyBorder="1">
      <alignment/>
      <protection/>
    </xf>
    <xf numFmtId="3" fontId="10" fillId="0" borderId="35" xfId="57" applyNumberFormat="1" applyFont="1" applyFill="1" applyBorder="1" applyAlignment="1">
      <alignment vertical="center"/>
      <protection/>
    </xf>
    <xf numFmtId="3" fontId="10" fillId="0" borderId="35" xfId="57" applyNumberFormat="1" applyFont="1" applyFill="1" applyBorder="1" applyAlignment="1">
      <alignment vertical="center"/>
      <protection/>
    </xf>
    <xf numFmtId="3" fontId="11" fillId="35" borderId="35" xfId="61" applyNumberFormat="1" applyFont="1" applyFill="1" applyBorder="1">
      <alignment/>
      <protection/>
    </xf>
    <xf numFmtId="3" fontId="10" fillId="0" borderId="35" xfId="61" applyNumberFormat="1" applyFont="1" applyFill="1" applyBorder="1">
      <alignment/>
      <protection/>
    </xf>
    <xf numFmtId="3" fontId="10" fillId="0" borderId="42" xfId="61" applyNumberFormat="1" applyFont="1" applyFill="1" applyBorder="1">
      <alignment/>
      <protection/>
    </xf>
    <xf numFmtId="3" fontId="11" fillId="35" borderId="13" xfId="61" applyNumberFormat="1" applyFont="1" applyFill="1" applyBorder="1">
      <alignment/>
      <protection/>
    </xf>
    <xf numFmtId="3" fontId="11" fillId="0" borderId="14" xfId="61" applyNumberFormat="1" applyFont="1" applyFill="1" applyBorder="1">
      <alignment/>
      <protection/>
    </xf>
    <xf numFmtId="3" fontId="10" fillId="0" borderId="13" xfId="61" applyNumberFormat="1" applyFont="1" applyFill="1" applyBorder="1">
      <alignment/>
      <protection/>
    </xf>
    <xf numFmtId="3" fontId="10" fillId="0" borderId="43" xfId="57" applyNumberFormat="1" applyFont="1" applyFill="1" applyBorder="1" applyAlignment="1">
      <alignment vertical="center"/>
      <protection/>
    </xf>
    <xf numFmtId="3" fontId="10" fillId="0" borderId="13" xfId="57" applyNumberFormat="1" applyFont="1" applyFill="1" applyBorder="1" applyAlignment="1">
      <alignment vertical="center"/>
      <protection/>
    </xf>
    <xf numFmtId="3" fontId="11" fillId="35" borderId="13" xfId="57" applyNumberFormat="1" applyFont="1" applyFill="1" applyBorder="1" applyAlignment="1">
      <alignment vertical="center"/>
      <protection/>
    </xf>
    <xf numFmtId="3" fontId="11" fillId="0" borderId="13" xfId="57" applyNumberFormat="1" applyFont="1" applyFill="1" applyBorder="1" applyAlignment="1">
      <alignment vertical="center"/>
      <protection/>
    </xf>
    <xf numFmtId="3" fontId="11" fillId="32" borderId="13" xfId="57" applyNumberFormat="1" applyFont="1" applyFill="1" applyBorder="1" applyAlignment="1">
      <alignment vertical="center"/>
      <protection/>
    </xf>
    <xf numFmtId="3" fontId="11" fillId="32" borderId="13" xfId="61" applyNumberFormat="1" applyFont="1" applyFill="1" applyBorder="1">
      <alignment/>
      <protection/>
    </xf>
    <xf numFmtId="3" fontId="11" fillId="32" borderId="13" xfId="68" applyNumberFormat="1" applyFont="1" applyFill="1" applyBorder="1">
      <alignment/>
      <protection/>
    </xf>
    <xf numFmtId="0" fontId="10" fillId="0" borderId="11" xfId="0" applyFont="1" applyBorder="1" applyAlignment="1">
      <alignment/>
    </xf>
    <xf numFmtId="3" fontId="10" fillId="0" borderId="11" xfId="57" applyNumberFormat="1" applyFont="1" applyFill="1" applyBorder="1" applyAlignment="1">
      <alignment vertical="center"/>
      <protection/>
    </xf>
    <xf numFmtId="0" fontId="10" fillId="0" borderId="11" xfId="0" applyFont="1" applyBorder="1" applyAlignment="1">
      <alignment/>
    </xf>
    <xf numFmtId="3" fontId="19" fillId="0" borderId="13" xfId="0" applyNumberFormat="1" applyFont="1" applyBorder="1" applyAlignment="1">
      <alignment horizontal="right" vertical="center"/>
    </xf>
    <xf numFmtId="3" fontId="33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0" fontId="11" fillId="0" borderId="11" xfId="63" applyFont="1" applyFill="1" applyBorder="1" applyAlignment="1">
      <alignment horizontal="left" vertical="center"/>
      <protection/>
    </xf>
    <xf numFmtId="3" fontId="11" fillId="32" borderId="11" xfId="63" applyNumberFormat="1" applyFont="1" applyFill="1" applyBorder="1" applyAlignment="1">
      <alignment/>
      <protection/>
    </xf>
    <xf numFmtId="0" fontId="0" fillId="32" borderId="1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distributed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2" xfId="65" applyFont="1" applyFill="1" applyBorder="1" applyAlignment="1">
      <alignment vertical="center" wrapText="1"/>
      <protection/>
    </xf>
    <xf numFmtId="3" fontId="2" fillId="0" borderId="11" xfId="0" applyNumberFormat="1" applyFont="1" applyFill="1" applyBorder="1" applyAlignment="1">
      <alignment horizontal="center" vertical="center"/>
    </xf>
    <xf numFmtId="0" fontId="8" fillId="0" borderId="11" xfId="63" applyBorder="1">
      <alignment/>
      <protection/>
    </xf>
    <xf numFmtId="0" fontId="1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left" vertical="center"/>
    </xf>
    <xf numFmtId="3" fontId="11" fillId="33" borderId="0" xfId="60" applyNumberFormat="1" applyFont="1" applyFill="1" applyBorder="1" applyAlignment="1">
      <alignment horizontal="right" vertical="center" wrapText="1"/>
      <protection/>
    </xf>
    <xf numFmtId="3" fontId="10" fillId="0" borderId="0" xfId="60" applyNumberFormat="1" applyFont="1" applyBorder="1" applyAlignment="1">
      <alignment horizontal="right" vertical="center"/>
      <protection/>
    </xf>
    <xf numFmtId="3" fontId="10" fillId="0" borderId="11" xfId="61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3" fontId="10" fillId="0" borderId="11" xfId="63" applyNumberFormat="1" applyFont="1" applyBorder="1" applyAlignment="1">
      <alignment horizontal="right" vertical="center"/>
      <protection/>
    </xf>
    <xf numFmtId="0" fontId="10" fillId="0" borderId="11" xfId="63" applyFont="1" applyBorder="1" applyAlignment="1">
      <alignment horizontal="left" wrapText="1"/>
      <protection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64" applyNumberFormat="1" applyFont="1" applyBorder="1" applyAlignment="1">
      <alignment horizontal="right" vertical="distributed"/>
      <protection/>
    </xf>
    <xf numFmtId="3" fontId="5" fillId="0" borderId="11" xfId="64" applyNumberFormat="1" applyFont="1" applyBorder="1" applyAlignment="1">
      <alignment vertical="distributed"/>
      <protection/>
    </xf>
    <xf numFmtId="0" fontId="75" fillId="0" borderId="0" xfId="64" applyFont="1">
      <alignment/>
      <protection/>
    </xf>
    <xf numFmtId="3" fontId="8" fillId="0" borderId="0" xfId="64" applyNumberFormat="1">
      <alignment/>
      <protection/>
    </xf>
    <xf numFmtId="0" fontId="11" fillId="37" borderId="11" xfId="63" applyFont="1" applyFill="1" applyBorder="1" applyAlignment="1">
      <alignment horizontal="center" vertical="center" wrapText="1"/>
      <protection/>
    </xf>
    <xf numFmtId="0" fontId="11" fillId="32" borderId="11" xfId="63" applyFont="1" applyFill="1" applyBorder="1" applyAlignment="1">
      <alignment horizontal="center" vertical="center"/>
      <protection/>
    </xf>
    <xf numFmtId="0" fontId="11" fillId="32" borderId="10" xfId="63" applyFont="1" applyFill="1" applyBorder="1" applyAlignment="1">
      <alignment horizontal="center" vertical="center" wrapText="1"/>
      <protection/>
    </xf>
    <xf numFmtId="0" fontId="11" fillId="32" borderId="12" xfId="63" applyFont="1" applyFill="1" applyBorder="1" applyAlignment="1">
      <alignment horizontal="center" vertical="center" wrapText="1"/>
      <protection/>
    </xf>
    <xf numFmtId="3" fontId="7" fillId="32" borderId="10" xfId="60" applyNumberFormat="1" applyFont="1" applyFill="1" applyBorder="1" applyAlignment="1">
      <alignment horizontal="right" vertical="center" wrapText="1"/>
      <protection/>
    </xf>
    <xf numFmtId="3" fontId="7" fillId="32" borderId="12" xfId="60" applyNumberFormat="1" applyFont="1" applyFill="1" applyBorder="1" applyAlignment="1">
      <alignment horizontal="right" vertical="center" wrapText="1"/>
      <protection/>
    </xf>
    <xf numFmtId="0" fontId="7" fillId="32" borderId="11" xfId="60" applyFont="1" applyFill="1" applyBorder="1" applyAlignment="1">
      <alignment horizontal="center" vertical="center" wrapText="1"/>
      <protection/>
    </xf>
    <xf numFmtId="0" fontId="7" fillId="32" borderId="11" xfId="60" applyFont="1" applyFill="1" applyBorder="1" applyAlignment="1">
      <alignment horizontal="center" vertical="center"/>
      <protection/>
    </xf>
    <xf numFmtId="0" fontId="11" fillId="32" borderId="10" xfId="63" applyFont="1" applyFill="1" applyBorder="1" applyAlignment="1">
      <alignment horizontal="center" vertical="top" wrapText="1"/>
      <protection/>
    </xf>
    <xf numFmtId="0" fontId="11" fillId="32" borderId="12" xfId="63" applyFont="1" applyFill="1" applyBorder="1" applyAlignment="1">
      <alignment horizontal="center" vertical="top" wrapText="1"/>
      <protection/>
    </xf>
    <xf numFmtId="0" fontId="11" fillId="32" borderId="10" xfId="61" applyFont="1" applyFill="1" applyBorder="1" applyAlignment="1">
      <alignment horizontal="center" vertical="center"/>
      <protection/>
    </xf>
    <xf numFmtId="0" fontId="11" fillId="32" borderId="12" xfId="61" applyFont="1" applyFill="1" applyBorder="1" applyAlignment="1">
      <alignment horizontal="center" vertical="center"/>
      <protection/>
    </xf>
    <xf numFmtId="0" fontId="11" fillId="32" borderId="13" xfId="61" applyFont="1" applyFill="1" applyBorder="1" applyAlignment="1">
      <alignment horizontal="center" vertical="center"/>
      <protection/>
    </xf>
    <xf numFmtId="0" fontId="11" fillId="32" borderId="38" xfId="61" applyFont="1" applyFill="1" applyBorder="1" applyAlignment="1">
      <alignment horizontal="center" vertical="center"/>
      <protection/>
    </xf>
    <xf numFmtId="0" fontId="11" fillId="32" borderId="15" xfId="61" applyFont="1" applyFill="1" applyBorder="1" applyAlignment="1">
      <alignment horizontal="center" vertical="center"/>
      <protection/>
    </xf>
    <xf numFmtId="0" fontId="3" fillId="37" borderId="13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9" fillId="32" borderId="11" xfId="0" applyFont="1" applyFill="1" applyBorder="1" applyAlignment="1">
      <alignment horizontal="left" vertical="center"/>
    </xf>
    <xf numFmtId="0" fontId="1" fillId="32" borderId="37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1" fillId="32" borderId="44" xfId="63" applyFont="1" applyFill="1" applyBorder="1" applyAlignment="1">
      <alignment horizontal="center" vertical="center" wrapText="1"/>
      <protection/>
    </xf>
    <xf numFmtId="0" fontId="11" fillId="32" borderId="14" xfId="63" applyFont="1" applyFill="1" applyBorder="1" applyAlignment="1">
      <alignment horizontal="center" vertical="center" wrapText="1"/>
      <protection/>
    </xf>
    <xf numFmtId="0" fontId="0" fillId="32" borderId="11" xfId="0" applyFont="1" applyFill="1" applyBorder="1" applyAlignment="1">
      <alignment horizontal="center" vertical="distributed"/>
    </xf>
    <xf numFmtId="0" fontId="0" fillId="32" borderId="13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0" fillId="32" borderId="15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distributed"/>
    </xf>
    <xf numFmtId="0" fontId="3" fillId="32" borderId="38" xfId="0" applyFont="1" applyFill="1" applyBorder="1" applyAlignment="1">
      <alignment horizontal="center" vertical="distributed"/>
    </xf>
    <xf numFmtId="0" fontId="3" fillId="32" borderId="15" xfId="0" applyFont="1" applyFill="1" applyBorder="1" applyAlignment="1">
      <alignment horizontal="center" vertical="distributed"/>
    </xf>
    <xf numFmtId="0" fontId="3" fillId="32" borderId="11" xfId="0" applyFont="1" applyFill="1" applyBorder="1" applyAlignment="1">
      <alignment horizontal="center" vertical="distributed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7" fillId="33" borderId="10" xfId="69" applyFont="1" applyFill="1" applyBorder="1" applyAlignment="1">
      <alignment horizontal="center" vertical="center" wrapText="1"/>
      <protection/>
    </xf>
    <xf numFmtId="0" fontId="7" fillId="33" borderId="12" xfId="69" applyFont="1" applyFill="1" applyBorder="1" applyAlignment="1">
      <alignment horizontal="center" vertical="center" wrapText="1"/>
      <protection/>
    </xf>
    <xf numFmtId="0" fontId="13" fillId="0" borderId="13" xfId="65" applyFont="1" applyFill="1" applyBorder="1" applyAlignment="1">
      <alignment horizontal="center" vertical="center"/>
      <protection/>
    </xf>
    <xf numFmtId="0" fontId="13" fillId="0" borderId="38" xfId="65" applyFont="1" applyFill="1" applyBorder="1" applyAlignment="1">
      <alignment horizontal="center" vertical="center"/>
      <protection/>
    </xf>
    <xf numFmtId="0" fontId="13" fillId="0" borderId="15" xfId="65" applyFont="1" applyFill="1" applyBorder="1" applyAlignment="1">
      <alignment horizontal="center" vertical="center"/>
      <protection/>
    </xf>
    <xf numFmtId="0" fontId="13" fillId="32" borderId="11" xfId="65" applyFont="1" applyFill="1" applyBorder="1" applyAlignment="1">
      <alignment horizontal="center" vertical="center" wrapText="1"/>
      <protection/>
    </xf>
    <xf numFmtId="0" fontId="13" fillId="32" borderId="11" xfId="65" applyFont="1" applyFill="1" applyBorder="1" applyAlignment="1">
      <alignment horizontal="center" vertical="center"/>
      <protection/>
    </xf>
    <xf numFmtId="0" fontId="13" fillId="32" borderId="10" xfId="65" applyFont="1" applyFill="1" applyBorder="1" applyAlignment="1">
      <alignment horizontal="center" vertical="center" wrapText="1"/>
      <protection/>
    </xf>
    <xf numFmtId="0" fontId="13" fillId="32" borderId="17" xfId="65" applyFont="1" applyFill="1" applyBorder="1" applyAlignment="1">
      <alignment horizontal="center" vertical="center" wrapText="1"/>
      <protection/>
    </xf>
    <xf numFmtId="0" fontId="13" fillId="32" borderId="12" xfId="65" applyFont="1" applyFill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right"/>
      <protection/>
    </xf>
    <xf numFmtId="0" fontId="7" fillId="32" borderId="10" xfId="64" applyFont="1" applyFill="1" applyBorder="1" applyAlignment="1">
      <alignment horizontal="center" vertical="center" wrapText="1"/>
      <protection/>
    </xf>
    <xf numFmtId="0" fontId="7" fillId="32" borderId="17" xfId="64" applyFont="1" applyFill="1" applyBorder="1" applyAlignment="1">
      <alignment horizontal="center" vertical="center" wrapText="1"/>
      <protection/>
    </xf>
    <xf numFmtId="0" fontId="7" fillId="32" borderId="12" xfId="64" applyFont="1" applyFill="1" applyBorder="1" applyAlignment="1">
      <alignment horizontal="center" vertical="center" wrapText="1"/>
      <protection/>
    </xf>
    <xf numFmtId="0" fontId="7" fillId="32" borderId="37" xfId="64" applyFont="1" applyFill="1" applyBorder="1" applyAlignment="1">
      <alignment horizontal="center" vertical="center" wrapText="1"/>
      <protection/>
    </xf>
    <xf numFmtId="0" fontId="7" fillId="32" borderId="13" xfId="64" applyFont="1" applyFill="1" applyBorder="1" applyAlignment="1">
      <alignment horizontal="center" vertical="center" wrapText="1"/>
      <protection/>
    </xf>
    <xf numFmtId="0" fontId="7" fillId="32" borderId="38" xfId="64" applyFont="1" applyFill="1" applyBorder="1" applyAlignment="1">
      <alignment horizontal="center" vertical="center" wrapText="1"/>
      <protection/>
    </xf>
    <xf numFmtId="0" fontId="7" fillId="32" borderId="15" xfId="64" applyFont="1" applyFill="1" applyBorder="1" applyAlignment="1">
      <alignment horizontal="center" vertical="center" wrapText="1"/>
      <protection/>
    </xf>
    <xf numFmtId="0" fontId="15" fillId="33" borderId="45" xfId="66" applyFont="1" applyFill="1" applyBorder="1" applyAlignment="1">
      <alignment horizontal="center" vertical="center" wrapText="1"/>
      <protection/>
    </xf>
    <xf numFmtId="0" fontId="15" fillId="33" borderId="46" xfId="66" applyFont="1" applyFill="1" applyBorder="1" applyAlignment="1">
      <alignment horizontal="center" vertical="center" wrapText="1"/>
      <protection/>
    </xf>
    <xf numFmtId="0" fontId="15" fillId="33" borderId="47" xfId="66" applyFont="1" applyFill="1" applyBorder="1" applyAlignment="1">
      <alignment horizontal="center" vertical="center" wrapText="1"/>
      <protection/>
    </xf>
    <xf numFmtId="0" fontId="15" fillId="0" borderId="48" xfId="66" applyFont="1" applyFill="1" applyBorder="1" applyAlignment="1">
      <alignment horizontal="center" vertical="center" wrapText="1"/>
      <protection/>
    </xf>
    <xf numFmtId="0" fontId="15" fillId="33" borderId="48" xfId="66" applyFont="1" applyFill="1" applyBorder="1" applyAlignment="1">
      <alignment horizontal="center" vertical="center" wrapText="1"/>
      <protection/>
    </xf>
    <xf numFmtId="0" fontId="9" fillId="32" borderId="37" xfId="67" applyFont="1" applyFill="1" applyBorder="1" applyAlignment="1">
      <alignment horizontal="center" vertical="center" wrapText="1"/>
      <protection/>
    </xf>
    <xf numFmtId="0" fontId="9" fillId="32" borderId="23" xfId="67" applyFont="1" applyFill="1" applyBorder="1" applyAlignment="1">
      <alignment horizontal="center" vertical="center" wrapText="1"/>
      <protection/>
    </xf>
    <xf numFmtId="0" fontId="9" fillId="32" borderId="14" xfId="67" applyFont="1" applyFill="1" applyBorder="1" applyAlignment="1">
      <alignment horizontal="center" vertical="center" wrapText="1"/>
      <protection/>
    </xf>
    <xf numFmtId="0" fontId="9" fillId="32" borderId="16" xfId="67" applyFont="1" applyFill="1" applyBorder="1" applyAlignment="1">
      <alignment horizontal="center" vertical="center" wrapText="1"/>
      <protection/>
    </xf>
    <xf numFmtId="0" fontId="7" fillId="0" borderId="13" xfId="67" applyFont="1" applyBorder="1" applyAlignment="1">
      <alignment horizontal="left"/>
      <protection/>
    </xf>
    <xf numFmtId="0" fontId="7" fillId="0" borderId="38" xfId="67" applyFont="1" applyBorder="1" applyAlignment="1">
      <alignment horizontal="left"/>
      <protection/>
    </xf>
    <xf numFmtId="0" fontId="7" fillId="0" borderId="15" xfId="67" applyFont="1" applyBorder="1" applyAlignment="1">
      <alignment horizontal="left"/>
      <protection/>
    </xf>
    <xf numFmtId="0" fontId="9" fillId="32" borderId="10" xfId="67" applyFont="1" applyFill="1" applyBorder="1" applyAlignment="1">
      <alignment horizontal="center" vertical="center" wrapText="1"/>
      <protection/>
    </xf>
    <xf numFmtId="0" fontId="9" fillId="32" borderId="17" xfId="67" applyFont="1" applyFill="1" applyBorder="1" applyAlignment="1">
      <alignment horizontal="center" vertical="center" wrapText="1"/>
      <protection/>
    </xf>
    <xf numFmtId="0" fontId="9" fillId="32" borderId="12" xfId="67" applyFont="1" applyFill="1" applyBorder="1" applyAlignment="1">
      <alignment horizontal="center" vertical="center" wrapText="1"/>
      <protection/>
    </xf>
    <xf numFmtId="0" fontId="9" fillId="32" borderId="10" xfId="67" applyFont="1" applyFill="1" applyBorder="1" applyAlignment="1">
      <alignment horizontal="center" vertical="distributed"/>
      <protection/>
    </xf>
    <xf numFmtId="0" fontId="9" fillId="32" borderId="17" xfId="67" applyFont="1" applyFill="1" applyBorder="1" applyAlignment="1">
      <alignment horizontal="center" vertical="distributed"/>
      <protection/>
    </xf>
    <xf numFmtId="0" fontId="9" fillId="32" borderId="12" xfId="67" applyFont="1" applyFill="1" applyBorder="1" applyAlignment="1">
      <alignment horizontal="center" vertical="distributed"/>
      <protection/>
    </xf>
    <xf numFmtId="0" fontId="11" fillId="32" borderId="37" xfId="67" applyFont="1" applyFill="1" applyBorder="1" applyAlignment="1">
      <alignment horizontal="distributed" vertical="distributed"/>
      <protection/>
    </xf>
    <xf numFmtId="0" fontId="6" fillId="32" borderId="22" xfId="67" applyFont="1" applyFill="1" applyBorder="1" applyAlignment="1">
      <alignment horizontal="distributed" vertical="distributed"/>
      <protection/>
    </xf>
    <xf numFmtId="0" fontId="6" fillId="32" borderId="23" xfId="67" applyFont="1" applyFill="1" applyBorder="1" applyAlignment="1">
      <alignment horizontal="distributed" vertical="distributed"/>
      <protection/>
    </xf>
    <xf numFmtId="0" fontId="6" fillId="32" borderId="44" xfId="67" applyFont="1" applyFill="1" applyBorder="1" applyAlignment="1">
      <alignment horizontal="distributed" vertical="distributed"/>
      <protection/>
    </xf>
    <xf numFmtId="0" fontId="6" fillId="32" borderId="0" xfId="67" applyFont="1" applyFill="1" applyBorder="1" applyAlignment="1">
      <alignment horizontal="distributed" vertical="distributed"/>
      <protection/>
    </xf>
    <xf numFmtId="0" fontId="6" fillId="32" borderId="39" xfId="67" applyFont="1" applyFill="1" applyBorder="1" applyAlignment="1">
      <alignment horizontal="distributed" vertical="distributed"/>
      <protection/>
    </xf>
    <xf numFmtId="0" fontId="6" fillId="32" borderId="14" xfId="67" applyFont="1" applyFill="1" applyBorder="1" applyAlignment="1">
      <alignment horizontal="distributed" vertical="distributed"/>
      <protection/>
    </xf>
    <xf numFmtId="0" fontId="6" fillId="32" borderId="21" xfId="67" applyFont="1" applyFill="1" applyBorder="1" applyAlignment="1">
      <alignment horizontal="distributed" vertical="distributed"/>
      <protection/>
    </xf>
    <xf numFmtId="0" fontId="6" fillId="32" borderId="16" xfId="67" applyFont="1" applyFill="1" applyBorder="1" applyAlignment="1">
      <alignment horizontal="distributed" vertical="distributed"/>
      <protection/>
    </xf>
    <xf numFmtId="0" fontId="5" fillId="0" borderId="13" xfId="67" applyFont="1" applyBorder="1" applyAlignment="1">
      <alignment horizontal="left"/>
      <protection/>
    </xf>
    <xf numFmtId="0" fontId="5" fillId="0" borderId="38" xfId="67" applyFont="1" applyBorder="1" applyAlignment="1">
      <alignment horizontal="left"/>
      <protection/>
    </xf>
    <xf numFmtId="0" fontId="5" fillId="0" borderId="15" xfId="67" applyFont="1" applyBorder="1" applyAlignment="1">
      <alignment horizontal="left"/>
      <protection/>
    </xf>
    <xf numFmtId="0" fontId="5" fillId="0" borderId="11" xfId="67" applyFont="1" applyBorder="1" applyAlignment="1">
      <alignment horizontal="left"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9" fillId="32" borderId="11" xfId="58" applyFont="1" applyFill="1" applyBorder="1" applyAlignment="1">
      <alignment horizontal="center"/>
      <protection/>
    </xf>
    <xf numFmtId="0" fontId="9" fillId="32" borderId="11" xfId="58" applyFont="1" applyFill="1" applyBorder="1" applyAlignment="1">
      <alignment horizontal="center" vertical="center"/>
      <protection/>
    </xf>
    <xf numFmtId="0" fontId="9" fillId="0" borderId="13" xfId="58" applyFont="1" applyFill="1" applyBorder="1" applyAlignment="1">
      <alignment horizontal="left" vertical="center" wrapText="1"/>
      <protection/>
    </xf>
    <xf numFmtId="0" fontId="9" fillId="0" borderId="38" xfId="58" applyFont="1" applyFill="1" applyBorder="1" applyAlignment="1">
      <alignment horizontal="left" vertical="center" wrapText="1"/>
      <protection/>
    </xf>
    <xf numFmtId="0" fontId="9" fillId="0" borderId="15" xfId="58" applyFont="1" applyFill="1" applyBorder="1" applyAlignment="1">
      <alignment horizontal="left" vertical="center" wrapText="1"/>
      <protection/>
    </xf>
    <xf numFmtId="0" fontId="8" fillId="0" borderId="11" xfId="58" applyFont="1" applyBorder="1" applyAlignment="1">
      <alignment horizontal="left" vertical="distributed"/>
      <protection/>
    </xf>
    <xf numFmtId="0" fontId="8" fillId="0" borderId="11" xfId="58" applyBorder="1" applyAlignment="1">
      <alignment horizontal="left" vertical="distributed"/>
      <protection/>
    </xf>
    <xf numFmtId="0" fontId="8" fillId="0" borderId="0" xfId="58" applyBorder="1" applyAlignment="1">
      <alignment horizontal="right"/>
      <protection/>
    </xf>
    <xf numFmtId="0" fontId="9" fillId="0" borderId="11" xfId="58" applyFont="1" applyBorder="1" applyAlignment="1">
      <alignment horizontal="left" vertical="distributed"/>
      <protection/>
    </xf>
    <xf numFmtId="0" fontId="9" fillId="0" borderId="13" xfId="58" applyFont="1" applyBorder="1" applyAlignment="1">
      <alignment horizontal="left" vertical="distributed"/>
      <protection/>
    </xf>
    <xf numFmtId="0" fontId="9" fillId="0" borderId="38" xfId="58" applyFont="1" applyBorder="1" applyAlignment="1">
      <alignment horizontal="left" vertical="distributed"/>
      <protection/>
    </xf>
    <xf numFmtId="0" fontId="9" fillId="0" borderId="15" xfId="58" applyFont="1" applyBorder="1" applyAlignment="1">
      <alignment horizontal="left" vertical="distributed"/>
      <protection/>
    </xf>
    <xf numFmtId="0" fontId="8" fillId="0" borderId="0" xfId="58" applyAlignment="1">
      <alignment horizontal="center"/>
      <protection/>
    </xf>
    <xf numFmtId="0" fontId="6" fillId="0" borderId="21" xfId="59" applyFont="1" applyBorder="1" applyAlignment="1">
      <alignment horizontal="right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  3   _2010.évi állami" xfId="57"/>
    <cellStyle name="Normál_10szm" xfId="58"/>
    <cellStyle name="Normál_11szm" xfId="59"/>
    <cellStyle name="Normál_1szm" xfId="60"/>
    <cellStyle name="Normál_2004.évi normatívák" xfId="61"/>
    <cellStyle name="Normál_2010.évi tervezett beruházás, felújítás" xfId="62"/>
    <cellStyle name="Normál_3aszm" xfId="63"/>
    <cellStyle name="Normál_5szm" xfId="64"/>
    <cellStyle name="Normál_6szm" xfId="65"/>
    <cellStyle name="Normál_7szm" xfId="66"/>
    <cellStyle name="Normál_8szm" xfId="67"/>
    <cellStyle name="Normál_költségvetés módosítás I." xfId="68"/>
    <cellStyle name="Normál_pe.átadások, támogatások 2003.évben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3"/>
  <sheetViews>
    <sheetView view="pageLayout" zoomScaleSheetLayoutView="100" workbookViewId="0" topLeftCell="B1">
      <selection activeCell="H8" sqref="H8"/>
    </sheetView>
  </sheetViews>
  <sheetFormatPr defaultColWidth="9.00390625" defaultRowHeight="12.75"/>
  <cols>
    <col min="1" max="1" width="13.125" style="24" customWidth="1"/>
    <col min="2" max="2" width="77.00390625" style="24" customWidth="1"/>
    <col min="3" max="3" width="13.875" style="24" customWidth="1"/>
    <col min="4" max="4" width="14.375" style="24" customWidth="1"/>
    <col min="5" max="6" width="16.625" style="24" customWidth="1"/>
    <col min="7" max="16384" width="9.125" style="24" customWidth="1"/>
  </cols>
  <sheetData>
    <row r="1" spans="1:6" ht="15" customHeight="1">
      <c r="A1" s="535" t="s">
        <v>212</v>
      </c>
      <c r="B1" s="536" t="s">
        <v>10</v>
      </c>
      <c r="C1" s="537" t="s">
        <v>468</v>
      </c>
      <c r="D1" s="537" t="s">
        <v>470</v>
      </c>
      <c r="E1" s="537" t="s">
        <v>590</v>
      </c>
      <c r="F1" s="537" t="s">
        <v>628</v>
      </c>
    </row>
    <row r="2" spans="1:6" ht="15" customHeight="1">
      <c r="A2" s="535"/>
      <c r="B2" s="536"/>
      <c r="C2" s="538"/>
      <c r="D2" s="538"/>
      <c r="E2" s="538"/>
      <c r="F2" s="538"/>
    </row>
    <row r="3" spans="1:6" ht="24.75" customHeight="1">
      <c r="A3" s="32" t="s">
        <v>84</v>
      </c>
      <c r="B3" s="72" t="s">
        <v>258</v>
      </c>
      <c r="C3" s="25"/>
      <c r="D3" s="25"/>
      <c r="E3" s="25"/>
      <c r="F3" s="25"/>
    </row>
    <row r="4" spans="1:6" ht="19.5" customHeight="1">
      <c r="A4" s="32" t="s">
        <v>210</v>
      </c>
      <c r="B4" s="72" t="s">
        <v>335</v>
      </c>
      <c r="C4" s="26"/>
      <c r="D4" s="26"/>
      <c r="E4" s="26"/>
      <c r="F4" s="26"/>
    </row>
    <row r="5" spans="1:6" ht="19.5" customHeight="1">
      <c r="A5" s="28" t="s">
        <v>215</v>
      </c>
      <c r="B5" s="71" t="s">
        <v>216</v>
      </c>
      <c r="C5" s="26">
        <f>SUM(C6:C9)</f>
        <v>42080580</v>
      </c>
      <c r="D5" s="26">
        <f>SUM(D6:D9)</f>
        <v>40123348</v>
      </c>
      <c r="E5" s="26">
        <f>SUM(E6:E10)</f>
        <v>40578513</v>
      </c>
      <c r="F5" s="26">
        <f>SUM(F6:F10)</f>
        <v>42914466</v>
      </c>
    </row>
    <row r="6" spans="1:6" ht="19.5" customHeight="1">
      <c r="A6" s="25" t="s">
        <v>211</v>
      </c>
      <c r="B6" s="244" t="s">
        <v>330</v>
      </c>
      <c r="C6" s="340">
        <v>16545549</v>
      </c>
      <c r="D6" s="340">
        <v>15178222</v>
      </c>
      <c r="E6" s="340">
        <v>15178222</v>
      </c>
      <c r="F6" s="340">
        <f>15178222+25010</f>
        <v>15203232</v>
      </c>
    </row>
    <row r="7" spans="1:6" ht="19.5" customHeight="1">
      <c r="A7" s="25" t="s">
        <v>213</v>
      </c>
      <c r="B7" s="246" t="s">
        <v>331</v>
      </c>
      <c r="C7" s="340">
        <v>15474220</v>
      </c>
      <c r="D7" s="340">
        <v>14526300</v>
      </c>
      <c r="E7" s="340">
        <v>14526300</v>
      </c>
      <c r="F7" s="340">
        <f>14526300+698133</f>
        <v>15224433</v>
      </c>
    </row>
    <row r="8" spans="1:6" ht="19.5" customHeight="1">
      <c r="A8" s="28" t="s">
        <v>214</v>
      </c>
      <c r="B8" s="244" t="s">
        <v>404</v>
      </c>
      <c r="C8" s="340">
        <v>8860811</v>
      </c>
      <c r="D8" s="340">
        <v>8618826</v>
      </c>
      <c r="E8" s="340">
        <v>8618826</v>
      </c>
      <c r="F8" s="340">
        <f>8618826-297610</f>
        <v>8321216</v>
      </c>
    </row>
    <row r="9" spans="1:6" ht="19.5" customHeight="1">
      <c r="A9" s="257" t="s">
        <v>317</v>
      </c>
      <c r="B9" s="244" t="s">
        <v>332</v>
      </c>
      <c r="C9" s="340">
        <v>1200000</v>
      </c>
      <c r="D9" s="340">
        <v>1800000</v>
      </c>
      <c r="E9" s="340">
        <v>1800000</v>
      </c>
      <c r="F9" s="340">
        <v>1800000</v>
      </c>
    </row>
    <row r="10" spans="1:6" ht="19.5" customHeight="1">
      <c r="A10" s="257" t="s">
        <v>452</v>
      </c>
      <c r="B10" s="244" t="s">
        <v>453</v>
      </c>
      <c r="C10" s="340"/>
      <c r="D10" s="340"/>
      <c r="E10" s="340">
        <v>455165</v>
      </c>
      <c r="F10" s="340">
        <f>455165+1910420</f>
        <v>2365585</v>
      </c>
    </row>
    <row r="11" spans="1:6" ht="19.5" customHeight="1">
      <c r="A11" s="257" t="s">
        <v>438</v>
      </c>
      <c r="B11" s="244" t="s">
        <v>454</v>
      </c>
      <c r="C11" s="340"/>
      <c r="D11" s="340"/>
      <c r="E11" s="521"/>
      <c r="F11" s="521"/>
    </row>
    <row r="12" spans="1:6" ht="19.5" customHeight="1">
      <c r="A12" s="257" t="s">
        <v>611</v>
      </c>
      <c r="B12" s="246" t="s">
        <v>610</v>
      </c>
      <c r="C12" s="340">
        <v>0</v>
      </c>
      <c r="D12" s="340">
        <v>0</v>
      </c>
      <c r="E12" s="340">
        <v>1529736</v>
      </c>
      <c r="F12" s="340">
        <v>1529736</v>
      </c>
    </row>
    <row r="13" spans="1:6" ht="19.5" customHeight="1">
      <c r="A13" s="28" t="s">
        <v>248</v>
      </c>
      <c r="B13" s="246" t="s">
        <v>333</v>
      </c>
      <c r="C13" s="342">
        <v>4571100</v>
      </c>
      <c r="D13" s="342">
        <f>SUM(D16:D18)</f>
        <v>3289879</v>
      </c>
      <c r="E13" s="342">
        <f>SUM(E16:E18)</f>
        <v>7193715</v>
      </c>
      <c r="F13" s="342">
        <f>SUM(F14:F18)</f>
        <v>7903017</v>
      </c>
    </row>
    <row r="14" spans="1:6" ht="19.5" customHeight="1">
      <c r="A14" s="28"/>
      <c r="B14" s="246" t="s">
        <v>632</v>
      </c>
      <c r="C14" s="342"/>
      <c r="D14" s="342"/>
      <c r="E14" s="342"/>
      <c r="F14" s="528">
        <v>40000</v>
      </c>
    </row>
    <row r="15" spans="1:6" ht="19.5" customHeight="1">
      <c r="A15" s="28"/>
      <c r="B15" s="246" t="s">
        <v>631</v>
      </c>
      <c r="C15" s="342"/>
      <c r="D15" s="342"/>
      <c r="E15" s="342"/>
      <c r="F15" s="528">
        <v>278000</v>
      </c>
    </row>
    <row r="16" spans="1:6" ht="19.5" customHeight="1">
      <c r="A16" s="28"/>
      <c r="B16" s="246" t="s">
        <v>482</v>
      </c>
      <c r="C16" s="340"/>
      <c r="D16" s="340">
        <v>1389879</v>
      </c>
      <c r="E16" s="340">
        <f>1389879+3903836</f>
        <v>5293715</v>
      </c>
      <c r="F16" s="340">
        <f>1389879+3903836+555379</f>
        <v>5849094</v>
      </c>
    </row>
    <row r="17" spans="1:6" ht="19.5" customHeight="1">
      <c r="A17" s="28"/>
      <c r="B17" s="246" t="s">
        <v>483</v>
      </c>
      <c r="C17" s="340"/>
      <c r="D17" s="340">
        <v>1200000</v>
      </c>
      <c r="E17" s="340">
        <v>1200000</v>
      </c>
      <c r="F17" s="340">
        <v>1200000</v>
      </c>
    </row>
    <row r="18" spans="1:6" ht="19.5" customHeight="1">
      <c r="A18" s="28"/>
      <c r="B18" s="246" t="s">
        <v>484</v>
      </c>
      <c r="C18" s="340"/>
      <c r="D18" s="340">
        <v>700000</v>
      </c>
      <c r="E18" s="340">
        <v>700000</v>
      </c>
      <c r="F18" s="340">
        <f>700000-164077</f>
        <v>535923</v>
      </c>
    </row>
    <row r="19" spans="1:6" ht="19.5" customHeight="1">
      <c r="A19" s="185"/>
      <c r="B19" s="186" t="s">
        <v>334</v>
      </c>
      <c r="C19" s="341">
        <f>SUM(C6:C13)</f>
        <v>46651680</v>
      </c>
      <c r="D19" s="341">
        <f>SUM(D6:D13)</f>
        <v>43413227</v>
      </c>
      <c r="E19" s="341">
        <f>SUM(E6:E13)</f>
        <v>49301964</v>
      </c>
      <c r="F19" s="341">
        <f>SUM(F6:F13)</f>
        <v>52347219</v>
      </c>
    </row>
    <row r="20" spans="1:4" ht="19.5" customHeight="1">
      <c r="A20" s="177" t="s">
        <v>217</v>
      </c>
      <c r="B20" s="176" t="s">
        <v>479</v>
      </c>
      <c r="C20" s="343"/>
      <c r="D20" s="343"/>
    </row>
    <row r="21" spans="1:6" ht="19.5" customHeight="1">
      <c r="A21" s="409" t="s">
        <v>478</v>
      </c>
      <c r="B21" s="184" t="s">
        <v>259</v>
      </c>
      <c r="C21" s="340">
        <v>0</v>
      </c>
      <c r="D21" s="340">
        <f>SUM(D22:D25)</f>
        <v>43284493</v>
      </c>
      <c r="E21" s="340">
        <f>SUM(E22:E25)</f>
        <v>43284493</v>
      </c>
      <c r="F21" s="340">
        <f>SUM(F22:F25)</f>
        <v>50750046</v>
      </c>
    </row>
    <row r="22" spans="1:6" ht="19.5" customHeight="1">
      <c r="A22" s="409"/>
      <c r="B22" s="412" t="s">
        <v>485</v>
      </c>
      <c r="C22" s="340"/>
      <c r="D22" s="340">
        <v>33498180</v>
      </c>
      <c r="E22" s="340">
        <v>33498180</v>
      </c>
      <c r="F22" s="340">
        <f>33498180+22860</f>
        <v>33521040</v>
      </c>
    </row>
    <row r="23" spans="1:6" ht="19.5" customHeight="1">
      <c r="A23" s="409"/>
      <c r="B23" s="412" t="s">
        <v>486</v>
      </c>
      <c r="C23" s="340"/>
      <c r="D23" s="340">
        <v>7729013</v>
      </c>
      <c r="E23" s="340">
        <v>7729013</v>
      </c>
      <c r="F23" s="340">
        <v>7729013</v>
      </c>
    </row>
    <row r="24" spans="1:6" ht="19.5" customHeight="1">
      <c r="A24" s="409"/>
      <c r="B24" s="412" t="s">
        <v>586</v>
      </c>
      <c r="C24" s="340"/>
      <c r="D24" s="340">
        <v>2057300</v>
      </c>
      <c r="E24" s="340">
        <v>2057300</v>
      </c>
      <c r="F24" s="340">
        <v>2057300</v>
      </c>
    </row>
    <row r="25" spans="1:6" ht="31.5" customHeight="1">
      <c r="A25" s="409"/>
      <c r="B25" s="529" t="s">
        <v>649</v>
      </c>
      <c r="C25" s="340"/>
      <c r="D25" s="340">
        <v>0</v>
      </c>
      <c r="E25" s="340">
        <v>0</v>
      </c>
      <c r="F25" s="340">
        <v>7442693</v>
      </c>
    </row>
    <row r="26" spans="1:6" ht="19.5" customHeight="1">
      <c r="A26" s="188"/>
      <c r="B26" s="189" t="s">
        <v>260</v>
      </c>
      <c r="C26" s="341">
        <f>C21</f>
        <v>0</v>
      </c>
      <c r="D26" s="341">
        <f>D21</f>
        <v>43284493</v>
      </c>
      <c r="E26" s="341">
        <f>E21</f>
        <v>43284493</v>
      </c>
      <c r="F26" s="341">
        <f>F21</f>
        <v>50750046</v>
      </c>
    </row>
    <row r="27" spans="1:6" ht="19.5" customHeight="1">
      <c r="A27" s="30" t="s">
        <v>218</v>
      </c>
      <c r="B27" s="73" t="s">
        <v>111</v>
      </c>
      <c r="C27" s="343"/>
      <c r="D27" s="343"/>
      <c r="E27" s="343"/>
      <c r="F27" s="343"/>
    </row>
    <row r="28" spans="1:6" ht="19.5" customHeight="1">
      <c r="A28" s="28" t="s">
        <v>245</v>
      </c>
      <c r="B28" s="246" t="s">
        <v>340</v>
      </c>
      <c r="C28" s="340">
        <v>5000000</v>
      </c>
      <c r="D28" s="340">
        <v>5000000</v>
      </c>
      <c r="E28" s="340">
        <v>5000000</v>
      </c>
      <c r="F28" s="340">
        <v>5000000</v>
      </c>
    </row>
    <row r="29" spans="1:6" ht="19.5" customHeight="1">
      <c r="A29" s="28" t="s">
        <v>219</v>
      </c>
      <c r="B29" s="70" t="s">
        <v>220</v>
      </c>
      <c r="C29" s="340"/>
      <c r="D29" s="340"/>
      <c r="E29" s="340"/>
      <c r="F29" s="340"/>
    </row>
    <row r="30" spans="1:6" ht="19.5" customHeight="1">
      <c r="A30" s="28" t="s">
        <v>264</v>
      </c>
      <c r="B30" s="244" t="s">
        <v>336</v>
      </c>
      <c r="C30" s="340">
        <v>6000000</v>
      </c>
      <c r="D30" s="340">
        <v>7000000</v>
      </c>
      <c r="E30" s="340">
        <v>7000000</v>
      </c>
      <c r="F30" s="340">
        <f>7000000+2072651</f>
        <v>9072651</v>
      </c>
    </row>
    <row r="31" spans="1:6" ht="19.5" customHeight="1">
      <c r="A31" s="257" t="s">
        <v>337</v>
      </c>
      <c r="B31" s="70" t="s">
        <v>265</v>
      </c>
      <c r="C31" s="340">
        <v>1300000</v>
      </c>
      <c r="D31" s="340">
        <v>1300000</v>
      </c>
      <c r="E31" s="340">
        <v>1300000</v>
      </c>
      <c r="F31" s="340">
        <f>1300000+139345</f>
        <v>1439345</v>
      </c>
    </row>
    <row r="32" spans="1:6" ht="19.5" customHeight="1">
      <c r="A32" s="257" t="s">
        <v>338</v>
      </c>
      <c r="B32" s="244" t="s">
        <v>339</v>
      </c>
      <c r="C32" s="340"/>
      <c r="D32" s="340"/>
      <c r="E32" s="340"/>
      <c r="F32" s="340"/>
    </row>
    <row r="33" spans="1:6" ht="19.5" customHeight="1">
      <c r="A33" s="28" t="s">
        <v>246</v>
      </c>
      <c r="B33" s="70" t="s">
        <v>247</v>
      </c>
      <c r="C33" s="340"/>
      <c r="D33" s="340"/>
      <c r="E33" s="340"/>
      <c r="F33" s="340">
        <v>132121</v>
      </c>
    </row>
    <row r="34" spans="1:6" ht="19.5" customHeight="1">
      <c r="A34" s="185"/>
      <c r="B34" s="190" t="s">
        <v>267</v>
      </c>
      <c r="C34" s="341">
        <f>C28+C30+C31+C32+C33</f>
        <v>12300000</v>
      </c>
      <c r="D34" s="341">
        <f>D28+D30+D31+D32+D33</f>
        <v>13300000</v>
      </c>
      <c r="E34" s="341">
        <f>E28+E30+E31+E32+E33</f>
        <v>13300000</v>
      </c>
      <c r="F34" s="341">
        <f>F28+F30+F31+F32+F33</f>
        <v>15644117</v>
      </c>
    </row>
    <row r="35" spans="1:6" ht="19.5" customHeight="1">
      <c r="A35" s="191" t="s">
        <v>221</v>
      </c>
      <c r="B35" s="186" t="s">
        <v>47</v>
      </c>
      <c r="C35" s="341">
        <v>22629750</v>
      </c>
      <c r="D35" s="341">
        <v>23018350</v>
      </c>
      <c r="E35" s="341">
        <v>23018350</v>
      </c>
      <c r="F35" s="341">
        <f>23018350+5442001</f>
        <v>28460351</v>
      </c>
    </row>
    <row r="36" spans="1:6" ht="19.5" customHeight="1">
      <c r="A36" s="30" t="s">
        <v>222</v>
      </c>
      <c r="B36" s="72" t="s">
        <v>91</v>
      </c>
      <c r="C36" s="344"/>
      <c r="D36" s="344"/>
      <c r="E36" s="344"/>
      <c r="F36" s="344"/>
    </row>
    <row r="37" spans="1:6" ht="19.5" customHeight="1">
      <c r="A37" s="28" t="s">
        <v>253</v>
      </c>
      <c r="B37" s="70" t="s">
        <v>254</v>
      </c>
      <c r="C37" s="340">
        <v>0</v>
      </c>
      <c r="D37" s="340">
        <v>0</v>
      </c>
      <c r="E37" s="340">
        <v>0</v>
      </c>
      <c r="F37" s="340">
        <v>10005000</v>
      </c>
    </row>
    <row r="38" spans="1:6" ht="19.5" customHeight="1">
      <c r="A38" s="257" t="s">
        <v>341</v>
      </c>
      <c r="B38" s="244" t="s">
        <v>342</v>
      </c>
      <c r="C38" s="340"/>
      <c r="D38" s="340"/>
      <c r="E38" s="340"/>
      <c r="F38" s="340"/>
    </row>
    <row r="39" spans="1:6" ht="19.5" customHeight="1">
      <c r="A39" s="185"/>
      <c r="B39" s="186" t="s">
        <v>261</v>
      </c>
      <c r="C39" s="341">
        <f>SUM(C37:C38)</f>
        <v>0</v>
      </c>
      <c r="D39" s="341">
        <f>SUM(D37:D38)</f>
        <v>0</v>
      </c>
      <c r="E39" s="341">
        <f>SUM(E37:E38)</f>
        <v>0</v>
      </c>
      <c r="F39" s="341">
        <f>SUM(F37:F38)</f>
        <v>10005000</v>
      </c>
    </row>
    <row r="40" spans="1:6" ht="19.5" customHeight="1">
      <c r="A40" s="30" t="s">
        <v>223</v>
      </c>
      <c r="B40" s="72" t="s">
        <v>224</v>
      </c>
      <c r="C40" s="342"/>
      <c r="D40" s="342"/>
      <c r="E40" s="342"/>
      <c r="F40" s="342"/>
    </row>
    <row r="41" spans="1:6" ht="19.5" customHeight="1">
      <c r="A41" s="257" t="s">
        <v>439</v>
      </c>
      <c r="B41" s="244" t="s">
        <v>440</v>
      </c>
      <c r="C41" s="340"/>
      <c r="D41" s="340"/>
      <c r="E41" s="340"/>
      <c r="F41" s="340"/>
    </row>
    <row r="42" spans="1:6" ht="19.5" customHeight="1">
      <c r="A42" s="257" t="s">
        <v>343</v>
      </c>
      <c r="B42" s="244" t="s">
        <v>344</v>
      </c>
      <c r="C42" s="340"/>
      <c r="D42" s="340"/>
      <c r="E42" s="340"/>
      <c r="F42" s="340"/>
    </row>
    <row r="43" spans="1:6" ht="19.5" customHeight="1">
      <c r="A43" s="185"/>
      <c r="B43" s="186" t="s">
        <v>262</v>
      </c>
      <c r="C43" s="341">
        <f>SUM(C41:C42)</f>
        <v>0</v>
      </c>
      <c r="D43" s="341">
        <f>SUM(D41:D42)</f>
        <v>0</v>
      </c>
      <c r="E43" s="341">
        <f>SUM(E41:E42)</f>
        <v>0</v>
      </c>
      <c r="F43" s="341">
        <f>SUM(F41:F42)</f>
        <v>0</v>
      </c>
    </row>
    <row r="44" spans="1:6" ht="19.5" customHeight="1">
      <c r="A44" s="31" t="s">
        <v>225</v>
      </c>
      <c r="B44" s="72" t="s">
        <v>226</v>
      </c>
      <c r="C44" s="342">
        <v>0</v>
      </c>
      <c r="D44" s="342">
        <v>0</v>
      </c>
      <c r="E44" s="342">
        <v>0</v>
      </c>
      <c r="F44" s="342">
        <v>0</v>
      </c>
    </row>
    <row r="45" spans="1:6" ht="19.5" customHeight="1">
      <c r="A45" s="192"/>
      <c r="B45" s="186" t="s">
        <v>263</v>
      </c>
      <c r="C45" s="345">
        <f>SUM(C44)</f>
        <v>0</v>
      </c>
      <c r="D45" s="345">
        <f>SUM(D44)</f>
        <v>0</v>
      </c>
      <c r="E45" s="345">
        <f>SUM(E44)</f>
        <v>0</v>
      </c>
      <c r="F45" s="345">
        <f>SUM(F44)</f>
        <v>0</v>
      </c>
    </row>
    <row r="46" spans="1:6" ht="19.5" customHeight="1">
      <c r="A46" s="193" t="s">
        <v>227</v>
      </c>
      <c r="B46" s="194" t="s">
        <v>228</v>
      </c>
      <c r="C46" s="346">
        <f>C19+C26+C34+C35+C39+C43+C45</f>
        <v>81581430</v>
      </c>
      <c r="D46" s="346">
        <f>D19+D26+D34+D35+D39+D43+D45</f>
        <v>123016070</v>
      </c>
      <c r="E46" s="346">
        <f>E19+E26+E34+E35+E39+E43+E45</f>
        <v>128904807</v>
      </c>
      <c r="F46" s="346">
        <f>F19+F26+F34+F35+F39+F43+F45</f>
        <v>157206733</v>
      </c>
    </row>
    <row r="47" spans="1:6" ht="19.5" customHeight="1">
      <c r="A47" s="30" t="s">
        <v>345</v>
      </c>
      <c r="B47" s="72" t="s">
        <v>346</v>
      </c>
      <c r="C47" s="342">
        <v>8696901</v>
      </c>
      <c r="D47" s="342">
        <v>60413118</v>
      </c>
      <c r="E47" s="342">
        <f>60413118+2037736</f>
        <v>62450854</v>
      </c>
      <c r="F47" s="342">
        <f>60413118+2037736</f>
        <v>62450854</v>
      </c>
    </row>
    <row r="48" spans="1:6" ht="19.5" customHeight="1">
      <c r="A48" s="185"/>
      <c r="B48" s="186" t="s">
        <v>266</v>
      </c>
      <c r="C48" s="341">
        <f>C46+C47</f>
        <v>90278331</v>
      </c>
      <c r="D48" s="341">
        <f>D46+D47</f>
        <v>183429188</v>
      </c>
      <c r="E48" s="341">
        <f>E46+E47</f>
        <v>191355661</v>
      </c>
      <c r="F48" s="341">
        <f>F46+F47</f>
        <v>219657587</v>
      </c>
    </row>
    <row r="49" spans="1:4" ht="12.75" customHeight="1">
      <c r="A49" s="29"/>
      <c r="B49" s="29"/>
      <c r="C49" s="347"/>
      <c r="D49" s="347"/>
    </row>
    <row r="50" spans="1:6" ht="18" customHeight="1">
      <c r="A50" s="541" t="s">
        <v>269</v>
      </c>
      <c r="B50" s="542" t="s">
        <v>10</v>
      </c>
      <c r="C50" s="539" t="s">
        <v>480</v>
      </c>
      <c r="D50" s="539" t="s">
        <v>481</v>
      </c>
      <c r="E50" s="543" t="s">
        <v>590</v>
      </c>
      <c r="F50" s="543" t="s">
        <v>628</v>
      </c>
    </row>
    <row r="51" spans="1:6" ht="15" customHeight="1">
      <c r="A51" s="541"/>
      <c r="B51" s="542"/>
      <c r="C51" s="540"/>
      <c r="D51" s="540"/>
      <c r="E51" s="544"/>
      <c r="F51" s="544"/>
    </row>
    <row r="52" spans="1:6" ht="15">
      <c r="A52" s="102" t="s">
        <v>268</v>
      </c>
      <c r="B52" s="195" t="s">
        <v>347</v>
      </c>
      <c r="C52" s="348"/>
      <c r="D52" s="348"/>
      <c r="E52" s="348"/>
      <c r="F52" s="524"/>
    </row>
    <row r="53" spans="1:6" ht="14.25">
      <c r="A53" s="131" t="s">
        <v>229</v>
      </c>
      <c r="B53" s="101" t="s">
        <v>270</v>
      </c>
      <c r="C53" s="349"/>
      <c r="D53" s="349"/>
      <c r="E53" s="349"/>
      <c r="F53" s="525"/>
    </row>
    <row r="54" spans="1:6" ht="14.25">
      <c r="A54" s="25" t="s">
        <v>230</v>
      </c>
      <c r="B54" s="101" t="s">
        <v>231</v>
      </c>
      <c r="C54" s="349">
        <v>25639518</v>
      </c>
      <c r="D54" s="349">
        <v>23518912</v>
      </c>
      <c r="E54" s="349">
        <f>23518912+3267164+157711+400000</f>
        <v>27343787</v>
      </c>
      <c r="F54" s="349">
        <f>23518912+3267164+157711+400000+464752+565246</f>
        <v>28373785</v>
      </c>
    </row>
    <row r="55" spans="1:6" ht="19.5" customHeight="1">
      <c r="A55" s="131" t="s">
        <v>232</v>
      </c>
      <c r="B55" s="101" t="s">
        <v>233</v>
      </c>
      <c r="C55" s="350">
        <v>2422131</v>
      </c>
      <c r="D55" s="350">
        <v>2953440</v>
      </c>
      <c r="E55" s="350">
        <f>2953440+240000</f>
        <v>3193440</v>
      </c>
      <c r="F55" s="350">
        <f>2953440+240000+5913</f>
        <v>3199353</v>
      </c>
    </row>
    <row r="56" spans="1:6" ht="17.25" customHeight="1">
      <c r="A56" s="131"/>
      <c r="B56" s="130" t="s">
        <v>271</v>
      </c>
      <c r="C56" s="351">
        <f>SUM(C53:C55)</f>
        <v>28061649</v>
      </c>
      <c r="D56" s="351">
        <f>SUM(D53:D55)</f>
        <v>26472352</v>
      </c>
      <c r="E56" s="351">
        <f>SUM(E53:E55)</f>
        <v>30537227</v>
      </c>
      <c r="F56" s="351">
        <f>SUM(F53:F55)</f>
        <v>31573138</v>
      </c>
    </row>
    <row r="57" spans="1:6" ht="19.5" customHeight="1">
      <c r="A57" s="131" t="s">
        <v>234</v>
      </c>
      <c r="B57" s="285" t="s">
        <v>272</v>
      </c>
      <c r="C57" s="349">
        <v>6096828</v>
      </c>
      <c r="D57" s="349">
        <v>5300485</v>
      </c>
      <c r="E57" s="349">
        <f>5300485+636672+30754+108000</f>
        <v>6075911</v>
      </c>
      <c r="F57" s="349">
        <f>5300485+636672+30754+108000+84714+110224</f>
        <v>6270849</v>
      </c>
    </row>
    <row r="58" spans="1:6" ht="19.5" customHeight="1">
      <c r="A58" s="132" t="s">
        <v>235</v>
      </c>
      <c r="B58" s="285" t="s">
        <v>236</v>
      </c>
      <c r="C58" s="349">
        <v>37825338</v>
      </c>
      <c r="D58" s="349">
        <v>36198018</v>
      </c>
      <c r="E58" s="349">
        <f>36198018+8307102</f>
        <v>44505120</v>
      </c>
      <c r="F58" s="349">
        <f>36198018+8307102+1391613+97493</f>
        <v>45994226</v>
      </c>
    </row>
    <row r="59" spans="1:6" ht="19.5" customHeight="1">
      <c r="A59" s="132" t="s">
        <v>237</v>
      </c>
      <c r="B59" s="285" t="s">
        <v>73</v>
      </c>
      <c r="C59" s="349">
        <v>4620000</v>
      </c>
      <c r="D59" s="349">
        <v>4395000</v>
      </c>
      <c r="E59" s="349">
        <f>4395000+266700</f>
        <v>4661700</v>
      </c>
      <c r="F59" s="349">
        <f>4395000+266700+635300</f>
        <v>5297000</v>
      </c>
    </row>
    <row r="60" spans="1:6" ht="19.5" customHeight="1">
      <c r="A60" s="132" t="s">
        <v>238</v>
      </c>
      <c r="B60" s="285" t="s">
        <v>239</v>
      </c>
      <c r="C60" s="349">
        <v>9586927</v>
      </c>
      <c r="D60" s="349">
        <v>20263011</v>
      </c>
      <c r="E60" s="349">
        <v>20253276</v>
      </c>
      <c r="F60" s="349">
        <f>20253276+22276514</f>
        <v>42529790</v>
      </c>
    </row>
    <row r="61" spans="1:6" ht="19.5" customHeight="1">
      <c r="A61" s="132"/>
      <c r="B61" s="285" t="s">
        <v>585</v>
      </c>
      <c r="C61" s="349">
        <v>7386927</v>
      </c>
      <c r="D61" s="349">
        <v>17377931</v>
      </c>
      <c r="E61" s="349">
        <v>15826194</v>
      </c>
      <c r="F61" s="350">
        <f>15826194+22276514</f>
        <v>38102708</v>
      </c>
    </row>
    <row r="62" spans="1:6" ht="19.5" customHeight="1">
      <c r="A62" s="103"/>
      <c r="B62" s="196" t="s">
        <v>273</v>
      </c>
      <c r="C62" s="351">
        <f>C56+C57+C58+C59+C60</f>
        <v>86190742</v>
      </c>
      <c r="D62" s="351">
        <f>D56+D57+D58+D59+D60</f>
        <v>92628866</v>
      </c>
      <c r="E62" s="351">
        <f>E56+E57+E58+E59+E60</f>
        <v>106033234</v>
      </c>
      <c r="F62" s="351">
        <f>F56+F57+F58+F59+F60</f>
        <v>131665003</v>
      </c>
    </row>
    <row r="63" spans="1:6" ht="19.5" customHeight="1">
      <c r="A63" s="103" t="s">
        <v>240</v>
      </c>
      <c r="B63" s="130" t="s">
        <v>241</v>
      </c>
      <c r="C63" s="354">
        <v>600000</v>
      </c>
      <c r="D63" s="354">
        <v>352400</v>
      </c>
      <c r="E63" s="354">
        <f>352400+4061007</f>
        <v>4413407</v>
      </c>
      <c r="F63" s="354">
        <f>352400+4061007+720980+208968</f>
        <v>5343355</v>
      </c>
    </row>
    <row r="64" spans="1:6" ht="19.5" customHeight="1">
      <c r="A64" s="103" t="s">
        <v>242</v>
      </c>
      <c r="B64" s="130" t="s">
        <v>92</v>
      </c>
      <c r="C64" s="351">
        <v>2000000</v>
      </c>
      <c r="D64" s="351">
        <v>89036672</v>
      </c>
      <c r="E64" s="351">
        <f>89036672-9538902</f>
        <v>79497770</v>
      </c>
      <c r="F64" s="351">
        <f>89036672-9538902+1740209</f>
        <v>81237979</v>
      </c>
    </row>
    <row r="65" spans="1:6" ht="19.5" customHeight="1">
      <c r="A65" s="103" t="s">
        <v>243</v>
      </c>
      <c r="B65" s="130" t="s">
        <v>244</v>
      </c>
      <c r="C65" s="351">
        <v>0</v>
      </c>
      <c r="D65" s="351">
        <v>0</v>
      </c>
      <c r="E65" s="351">
        <v>0</v>
      </c>
      <c r="F65" s="351">
        <v>0</v>
      </c>
    </row>
    <row r="66" spans="1:6" ht="19.5" customHeight="1">
      <c r="A66" s="103"/>
      <c r="B66" s="197" t="s">
        <v>274</v>
      </c>
      <c r="C66" s="351">
        <f>C63+C64+C65</f>
        <v>2600000</v>
      </c>
      <c r="D66" s="351">
        <f>D63+D64+D65</f>
        <v>89389072</v>
      </c>
      <c r="E66" s="351">
        <f>E63+E64+E65</f>
        <v>83911177</v>
      </c>
      <c r="F66" s="351">
        <f>F63+F64+F65</f>
        <v>86581334</v>
      </c>
    </row>
    <row r="67" spans="1:6" ht="19.5" customHeight="1">
      <c r="A67" s="388" t="s">
        <v>450</v>
      </c>
      <c r="B67" s="389" t="s">
        <v>449</v>
      </c>
      <c r="C67" s="390">
        <f>C62+C66</f>
        <v>88790742</v>
      </c>
      <c r="D67" s="390">
        <f>D62+D66</f>
        <v>182017938</v>
      </c>
      <c r="E67" s="390">
        <f>E62+E66</f>
        <v>189944411</v>
      </c>
      <c r="F67" s="390">
        <f>F62+F66</f>
        <v>218246337</v>
      </c>
    </row>
    <row r="68" spans="1:6" ht="19.5" customHeight="1">
      <c r="A68" s="103" t="s">
        <v>275</v>
      </c>
      <c r="B68" s="93" t="s">
        <v>276</v>
      </c>
      <c r="C68" s="351">
        <v>0</v>
      </c>
      <c r="D68" s="351">
        <v>0</v>
      </c>
      <c r="E68" s="351">
        <v>0</v>
      </c>
      <c r="F68" s="351">
        <v>0</v>
      </c>
    </row>
    <row r="69" spans="1:6" ht="19.5" customHeight="1">
      <c r="A69" s="103"/>
      <c r="B69" s="93" t="s">
        <v>488</v>
      </c>
      <c r="C69" s="351">
        <v>1487589</v>
      </c>
      <c r="D69" s="351">
        <v>1411250</v>
      </c>
      <c r="E69" s="351">
        <v>1411250</v>
      </c>
      <c r="F69" s="351">
        <v>1411250</v>
      </c>
    </row>
    <row r="70" spans="1:6" ht="19.5" customHeight="1">
      <c r="A70" s="198"/>
      <c r="B70" s="199" t="s">
        <v>277</v>
      </c>
      <c r="C70" s="352">
        <f>C67+C69+C68</f>
        <v>90278331</v>
      </c>
      <c r="D70" s="352">
        <f>D67+D69+D68</f>
        <v>183429188</v>
      </c>
      <c r="E70" s="352">
        <f>E67+E69+E68</f>
        <v>191355661</v>
      </c>
      <c r="F70" s="352">
        <f>F67+F69+F68</f>
        <v>219657587</v>
      </c>
    </row>
    <row r="71" spans="1:4" ht="15">
      <c r="A71" s="14"/>
      <c r="B71" s="14"/>
      <c r="C71" s="14"/>
      <c r="D71" s="14"/>
    </row>
    <row r="72" spans="1:4" ht="14.25">
      <c r="A72" s="29"/>
      <c r="B72" s="29"/>
      <c r="C72" s="29"/>
      <c r="D72" s="29"/>
    </row>
    <row r="73" spans="1:4" ht="14.25">
      <c r="A73" s="29"/>
      <c r="B73" s="29"/>
      <c r="C73" s="29"/>
      <c r="D73" s="29"/>
    </row>
    <row r="74" spans="1:4" ht="14.25">
      <c r="A74" s="29"/>
      <c r="B74" s="29"/>
      <c r="C74" s="29"/>
      <c r="D74" s="29"/>
    </row>
    <row r="75" spans="1:4" ht="14.25">
      <c r="A75" s="29"/>
      <c r="B75" s="29"/>
      <c r="C75" s="29"/>
      <c r="D75" s="29"/>
    </row>
    <row r="76" spans="1:4" ht="14.25">
      <c r="A76" s="29"/>
      <c r="B76" s="29"/>
      <c r="C76" s="29"/>
      <c r="D76" s="29"/>
    </row>
    <row r="77" spans="1:4" ht="14.25">
      <c r="A77" s="29"/>
      <c r="B77" s="29"/>
      <c r="C77" s="29"/>
      <c r="D77" s="29"/>
    </row>
    <row r="78" spans="1:4" ht="14.25">
      <c r="A78" s="29"/>
      <c r="B78" s="29"/>
      <c r="C78" s="29"/>
      <c r="D78" s="29"/>
    </row>
    <row r="79" spans="1:4" ht="14.25">
      <c r="A79" s="29"/>
      <c r="B79" s="29"/>
      <c r="C79" s="29"/>
      <c r="D79" s="29"/>
    </row>
    <row r="80" spans="1:4" ht="14.25">
      <c r="A80" s="29"/>
      <c r="B80" s="29"/>
      <c r="C80" s="29"/>
      <c r="D80" s="29"/>
    </row>
    <row r="81" spans="1:4" ht="14.25">
      <c r="A81" s="29"/>
      <c r="B81" s="29"/>
      <c r="C81" s="29"/>
      <c r="D81" s="29"/>
    </row>
    <row r="82" spans="1:4" ht="14.25">
      <c r="A82" s="29"/>
      <c r="B82" s="29"/>
      <c r="C82" s="29"/>
      <c r="D82" s="29"/>
    </row>
    <row r="83" spans="1:4" ht="14.25">
      <c r="A83" s="29"/>
      <c r="B83" s="29"/>
      <c r="C83" s="29"/>
      <c r="D83" s="29"/>
    </row>
    <row r="84" spans="1:4" ht="14.25">
      <c r="A84" s="29"/>
      <c r="B84" s="29"/>
      <c r="C84" s="29"/>
      <c r="D84" s="29"/>
    </row>
    <row r="85" spans="1:4" ht="14.25">
      <c r="A85" s="29"/>
      <c r="B85" s="29"/>
      <c r="C85" s="29"/>
      <c r="D85" s="29"/>
    </row>
    <row r="86" spans="1:4" ht="14.25">
      <c r="A86" s="29"/>
      <c r="B86" s="29"/>
      <c r="C86" s="29"/>
      <c r="D86" s="29"/>
    </row>
    <row r="87" spans="1:4" ht="14.25">
      <c r="A87" s="29"/>
      <c r="B87" s="29"/>
      <c r="C87" s="29"/>
      <c r="D87" s="29"/>
    </row>
    <row r="88" spans="1:4" ht="14.25">
      <c r="A88" s="29"/>
      <c r="B88" s="29"/>
      <c r="C88" s="29"/>
      <c r="D88" s="29"/>
    </row>
    <row r="89" spans="1:4" ht="14.25">
      <c r="A89" s="29"/>
      <c r="B89" s="29"/>
      <c r="C89" s="29"/>
      <c r="D89" s="29"/>
    </row>
    <row r="90" spans="1:4" ht="14.25">
      <c r="A90" s="29"/>
      <c r="B90" s="29"/>
      <c r="C90" s="29"/>
      <c r="D90" s="29"/>
    </row>
    <row r="91" spans="1:4" ht="14.25">
      <c r="A91" s="29"/>
      <c r="B91" s="29"/>
      <c r="C91" s="29"/>
      <c r="D91" s="29"/>
    </row>
    <row r="92" spans="1:4" ht="14.25">
      <c r="A92" s="29"/>
      <c r="B92" s="29"/>
      <c r="C92" s="29"/>
      <c r="D92" s="29"/>
    </row>
    <row r="93" spans="1:4" ht="14.25">
      <c r="A93" s="29"/>
      <c r="B93" s="29"/>
      <c r="C93" s="29"/>
      <c r="D93" s="29"/>
    </row>
    <row r="94" spans="1:4" ht="14.25">
      <c r="A94" s="29"/>
      <c r="B94" s="29"/>
      <c r="C94" s="29"/>
      <c r="D94" s="29"/>
    </row>
    <row r="95" spans="1:4" ht="14.25">
      <c r="A95" s="29"/>
      <c r="B95" s="29"/>
      <c r="C95" s="29"/>
      <c r="D95" s="29"/>
    </row>
    <row r="96" spans="1:4" ht="14.25">
      <c r="A96" s="29"/>
      <c r="B96" s="29"/>
      <c r="C96" s="29"/>
      <c r="D96" s="29"/>
    </row>
    <row r="97" spans="1:4" ht="14.25">
      <c r="A97" s="29"/>
      <c r="B97" s="29"/>
      <c r="C97" s="29"/>
      <c r="D97" s="29"/>
    </row>
    <row r="98" spans="1:4" ht="14.25">
      <c r="A98" s="29"/>
      <c r="B98" s="29"/>
      <c r="C98" s="29"/>
      <c r="D98" s="29"/>
    </row>
    <row r="99" spans="1:4" ht="14.25">
      <c r="A99" s="29"/>
      <c r="B99" s="29"/>
      <c r="C99" s="29"/>
      <c r="D99" s="29"/>
    </row>
    <row r="100" spans="1:4" ht="14.25">
      <c r="A100" s="29"/>
      <c r="B100" s="29"/>
      <c r="C100" s="29"/>
      <c r="D100" s="29"/>
    </row>
    <row r="101" spans="1:4" ht="14.25">
      <c r="A101" s="29"/>
      <c r="B101" s="29"/>
      <c r="C101" s="29"/>
      <c r="D101" s="29"/>
    </row>
    <row r="102" spans="1:4" ht="14.25">
      <c r="A102" s="29"/>
      <c r="B102" s="29"/>
      <c r="C102" s="29"/>
      <c r="D102" s="29"/>
    </row>
    <row r="103" spans="1:4" ht="14.25">
      <c r="A103" s="29"/>
      <c r="B103" s="29"/>
      <c r="C103" s="29"/>
      <c r="D103" s="29"/>
    </row>
    <row r="104" spans="1:4" ht="14.25">
      <c r="A104" s="29"/>
      <c r="B104" s="29"/>
      <c r="C104" s="29"/>
      <c r="D104" s="29"/>
    </row>
    <row r="105" spans="1:4" ht="14.25">
      <c r="A105" s="29"/>
      <c r="B105" s="29"/>
      <c r="C105" s="29"/>
      <c r="D105" s="29"/>
    </row>
    <row r="106" spans="1:4" ht="14.25">
      <c r="A106" s="29"/>
      <c r="B106" s="29"/>
      <c r="C106" s="29"/>
      <c r="D106" s="29"/>
    </row>
    <row r="107" spans="1:4" ht="14.25">
      <c r="A107" s="29"/>
      <c r="B107" s="29"/>
      <c r="C107" s="29"/>
      <c r="D107" s="29"/>
    </row>
    <row r="108" spans="1:4" ht="14.25">
      <c r="A108" s="29"/>
      <c r="B108" s="29"/>
      <c r="C108" s="29"/>
      <c r="D108" s="29"/>
    </row>
    <row r="109" spans="1:4" ht="14.25">
      <c r="A109" s="29"/>
      <c r="B109" s="29"/>
      <c r="C109" s="29"/>
      <c r="D109" s="29"/>
    </row>
    <row r="110" spans="1:4" ht="14.25">
      <c r="A110" s="29"/>
      <c r="B110" s="29"/>
      <c r="C110" s="29"/>
      <c r="D110" s="29"/>
    </row>
    <row r="111" spans="1:4" ht="14.25">
      <c r="A111" s="29"/>
      <c r="B111" s="29"/>
      <c r="C111" s="29"/>
      <c r="D111" s="29"/>
    </row>
    <row r="112" spans="1:4" ht="14.25">
      <c r="A112" s="29"/>
      <c r="B112" s="29"/>
      <c r="C112" s="29"/>
      <c r="D112" s="29"/>
    </row>
    <row r="113" spans="1:4" ht="14.25">
      <c r="A113" s="29"/>
      <c r="B113" s="29"/>
      <c r="C113" s="29"/>
      <c r="D113" s="29"/>
    </row>
    <row r="114" spans="1:4" ht="14.25">
      <c r="A114" s="29"/>
      <c r="B114" s="29"/>
      <c r="C114" s="29"/>
      <c r="D114" s="29"/>
    </row>
    <row r="115" spans="1:4" ht="14.25">
      <c r="A115" s="29"/>
      <c r="B115" s="29"/>
      <c r="C115" s="29"/>
      <c r="D115" s="29"/>
    </row>
    <row r="116" spans="1:4" ht="14.25">
      <c r="A116" s="29"/>
      <c r="B116" s="29"/>
      <c r="C116" s="29"/>
      <c r="D116" s="29"/>
    </row>
    <row r="117" spans="1:4" ht="14.25">
      <c r="A117" s="29"/>
      <c r="B117" s="29"/>
      <c r="C117" s="29"/>
      <c r="D117" s="29"/>
    </row>
    <row r="118" spans="1:4" ht="14.25">
      <c r="A118" s="29"/>
      <c r="B118" s="29"/>
      <c r="C118" s="29"/>
      <c r="D118" s="29"/>
    </row>
    <row r="119" spans="1:4" ht="14.25">
      <c r="A119" s="29"/>
      <c r="B119" s="29"/>
      <c r="C119" s="29"/>
      <c r="D119" s="29"/>
    </row>
    <row r="120" spans="1:4" ht="14.25">
      <c r="A120" s="29"/>
      <c r="B120" s="29"/>
      <c r="C120" s="29"/>
      <c r="D120" s="29"/>
    </row>
    <row r="121" spans="1:4" ht="14.25">
      <c r="A121" s="29"/>
      <c r="B121" s="29"/>
      <c r="C121" s="29"/>
      <c r="D121" s="29"/>
    </row>
    <row r="122" spans="1:4" ht="14.25">
      <c r="A122" s="29"/>
      <c r="B122" s="29"/>
      <c r="C122" s="29"/>
      <c r="D122" s="29"/>
    </row>
    <row r="123" spans="1:4" ht="14.25">
      <c r="A123" s="29"/>
      <c r="B123" s="29"/>
      <c r="C123" s="29"/>
      <c r="D123" s="29"/>
    </row>
    <row r="124" spans="1:4" ht="14.25">
      <c r="A124" s="29"/>
      <c r="B124" s="29"/>
      <c r="C124" s="29"/>
      <c r="D124" s="29"/>
    </row>
    <row r="125" spans="1:4" ht="14.25">
      <c r="A125" s="29"/>
      <c r="B125" s="29"/>
      <c r="C125" s="29"/>
      <c r="D125" s="29"/>
    </row>
    <row r="126" spans="1:4" ht="14.25">
      <c r="A126" s="29"/>
      <c r="B126" s="29"/>
      <c r="C126" s="29"/>
      <c r="D126" s="29"/>
    </row>
    <row r="127" spans="1:4" ht="14.25">
      <c r="A127" s="29"/>
      <c r="B127" s="29"/>
      <c r="C127" s="29"/>
      <c r="D127" s="29"/>
    </row>
    <row r="128" spans="1:4" ht="14.25">
      <c r="A128" s="29"/>
      <c r="B128" s="29"/>
      <c r="C128" s="29"/>
      <c r="D128" s="29"/>
    </row>
    <row r="129" spans="1:4" ht="14.25">
      <c r="A129" s="29"/>
      <c r="B129" s="29"/>
      <c r="C129" s="29"/>
      <c r="D129" s="29"/>
    </row>
    <row r="130" spans="1:4" ht="14.25">
      <c r="A130" s="29"/>
      <c r="B130" s="29"/>
      <c r="C130" s="29"/>
      <c r="D130" s="29"/>
    </row>
    <row r="131" spans="1:4" ht="14.25">
      <c r="A131" s="29"/>
      <c r="B131" s="29"/>
      <c r="C131" s="29"/>
      <c r="D131" s="29"/>
    </row>
    <row r="132" spans="1:4" ht="14.25">
      <c r="A132" s="29"/>
      <c r="B132" s="29"/>
      <c r="C132" s="29"/>
      <c r="D132" s="29"/>
    </row>
    <row r="133" spans="1:4" ht="14.25">
      <c r="A133" s="29"/>
      <c r="B133" s="29"/>
      <c r="C133" s="29"/>
      <c r="D133" s="29"/>
    </row>
    <row r="134" spans="1:4" ht="14.25">
      <c r="A134" s="29"/>
      <c r="B134" s="29"/>
      <c r="C134" s="29"/>
      <c r="D134" s="29"/>
    </row>
    <row r="135" spans="1:4" ht="14.25">
      <c r="A135" s="29"/>
      <c r="B135" s="29"/>
      <c r="C135" s="29"/>
      <c r="D135" s="29"/>
    </row>
    <row r="136" spans="1:4" ht="14.25">
      <c r="A136" s="29"/>
      <c r="B136" s="29"/>
      <c r="C136" s="29"/>
      <c r="D136" s="29"/>
    </row>
    <row r="137" spans="1:4" ht="14.25">
      <c r="A137" s="29"/>
      <c r="B137" s="29"/>
      <c r="C137" s="29"/>
      <c r="D137" s="29"/>
    </row>
    <row r="138" spans="1:4" ht="14.25">
      <c r="A138" s="29"/>
      <c r="B138" s="29"/>
      <c r="C138" s="29"/>
      <c r="D138" s="29"/>
    </row>
    <row r="139" spans="1:4" ht="14.25">
      <c r="A139" s="29"/>
      <c r="B139" s="29"/>
      <c r="C139" s="29"/>
      <c r="D139" s="29"/>
    </row>
    <row r="140" spans="1:4" ht="14.25">
      <c r="A140" s="29"/>
      <c r="B140" s="29"/>
      <c r="C140" s="29"/>
      <c r="D140" s="29"/>
    </row>
    <row r="141" spans="1:4" ht="14.25">
      <c r="A141" s="29"/>
      <c r="B141" s="29"/>
      <c r="C141" s="29"/>
      <c r="D141" s="29"/>
    </row>
    <row r="142" spans="1:4" ht="14.25">
      <c r="A142" s="29"/>
      <c r="B142" s="29"/>
      <c r="C142" s="29"/>
      <c r="D142" s="29"/>
    </row>
    <row r="143" spans="1:4" ht="14.25">
      <c r="A143" s="29"/>
      <c r="B143" s="29"/>
      <c r="C143" s="29"/>
      <c r="D143" s="29"/>
    </row>
    <row r="144" spans="1:4" ht="14.25">
      <c r="A144" s="29"/>
      <c r="B144" s="29"/>
      <c r="C144" s="29"/>
      <c r="D144" s="29"/>
    </row>
    <row r="145" spans="1:4" ht="14.25">
      <c r="A145" s="29"/>
      <c r="B145" s="29"/>
      <c r="C145" s="29"/>
      <c r="D145" s="29"/>
    </row>
    <row r="146" spans="1:4" ht="14.25">
      <c r="A146" s="29"/>
      <c r="B146" s="29"/>
      <c r="C146" s="29"/>
      <c r="D146" s="29"/>
    </row>
    <row r="147" spans="1:4" ht="14.25">
      <c r="A147" s="29"/>
      <c r="B147" s="29"/>
      <c r="C147" s="29"/>
      <c r="D147" s="29"/>
    </row>
    <row r="148" spans="1:4" ht="14.25">
      <c r="A148" s="29"/>
      <c r="B148" s="29"/>
      <c r="C148" s="29"/>
      <c r="D148" s="29"/>
    </row>
    <row r="149" spans="1:4" ht="14.25">
      <c r="A149" s="29"/>
      <c r="B149" s="29"/>
      <c r="C149" s="29"/>
      <c r="D149" s="29"/>
    </row>
    <row r="150" spans="1:4" ht="14.25">
      <c r="A150" s="29"/>
      <c r="B150" s="29"/>
      <c r="C150" s="29"/>
      <c r="D150" s="29"/>
    </row>
    <row r="151" spans="1:4" ht="14.25">
      <c r="A151" s="29"/>
      <c r="B151" s="29"/>
      <c r="C151" s="29"/>
      <c r="D151" s="29"/>
    </row>
    <row r="152" spans="1:4" ht="14.25">
      <c r="A152" s="29"/>
      <c r="B152" s="29"/>
      <c r="C152" s="29"/>
      <c r="D152" s="29"/>
    </row>
    <row r="153" spans="1:4" ht="14.25">
      <c r="A153" s="29"/>
      <c r="B153" s="29"/>
      <c r="C153" s="29"/>
      <c r="D153" s="29"/>
    </row>
    <row r="154" spans="1:4" ht="14.25">
      <c r="A154" s="29"/>
      <c r="B154" s="29"/>
      <c r="C154" s="29"/>
      <c r="D154" s="29"/>
    </row>
    <row r="155" spans="1:4" ht="14.25">
      <c r="A155" s="29"/>
      <c r="B155" s="29"/>
      <c r="C155" s="29"/>
      <c r="D155" s="29"/>
    </row>
    <row r="156" spans="1:4" ht="14.25">
      <c r="A156" s="29"/>
      <c r="B156" s="29"/>
      <c r="C156" s="29"/>
      <c r="D156" s="29"/>
    </row>
    <row r="157" spans="1:4" ht="14.25">
      <c r="A157" s="29"/>
      <c r="B157" s="29"/>
      <c r="C157" s="29"/>
      <c r="D157" s="29"/>
    </row>
    <row r="158" spans="1:4" ht="14.25">
      <c r="A158" s="29"/>
      <c r="B158" s="29"/>
      <c r="C158" s="29"/>
      <c r="D158" s="29"/>
    </row>
    <row r="159" spans="1:4" ht="14.25">
      <c r="A159" s="29"/>
      <c r="B159" s="29"/>
      <c r="C159" s="29"/>
      <c r="D159" s="29"/>
    </row>
    <row r="160" spans="1:4" ht="14.25">
      <c r="A160" s="29"/>
      <c r="B160" s="29"/>
      <c r="C160" s="29"/>
      <c r="D160" s="29"/>
    </row>
    <row r="161" spans="1:4" ht="14.25">
      <c r="A161" s="29"/>
      <c r="B161" s="29"/>
      <c r="C161" s="29"/>
      <c r="D161" s="29"/>
    </row>
    <row r="162" spans="1:4" ht="14.25">
      <c r="A162" s="29"/>
      <c r="B162" s="29"/>
      <c r="C162" s="29"/>
      <c r="D162" s="29"/>
    </row>
    <row r="163" spans="1:4" ht="14.25">
      <c r="A163" s="29"/>
      <c r="B163" s="29"/>
      <c r="C163" s="29"/>
      <c r="D163" s="29"/>
    </row>
    <row r="164" spans="1:4" ht="14.25">
      <c r="A164" s="29"/>
      <c r="B164" s="29"/>
      <c r="C164" s="29"/>
      <c r="D164" s="29"/>
    </row>
    <row r="165" spans="1:4" ht="14.25">
      <c r="A165" s="29"/>
      <c r="B165" s="29"/>
      <c r="C165" s="29"/>
      <c r="D165" s="29"/>
    </row>
    <row r="166" spans="1:4" ht="14.25">
      <c r="A166" s="29"/>
      <c r="B166" s="29"/>
      <c r="C166" s="29"/>
      <c r="D166" s="29"/>
    </row>
    <row r="167" spans="1:4" ht="14.25">
      <c r="A167" s="29"/>
      <c r="B167" s="29"/>
      <c r="C167" s="29"/>
      <c r="D167" s="29"/>
    </row>
    <row r="168" spans="1:4" ht="14.25">
      <c r="A168" s="29"/>
      <c r="B168" s="29"/>
      <c r="C168" s="29"/>
      <c r="D168" s="29"/>
    </row>
    <row r="169" spans="1:4" ht="14.25">
      <c r="A169" s="29"/>
      <c r="B169" s="29"/>
      <c r="C169" s="29"/>
      <c r="D169" s="29"/>
    </row>
    <row r="170" spans="1:4" ht="14.25">
      <c r="A170" s="29"/>
      <c r="B170" s="29"/>
      <c r="C170" s="29"/>
      <c r="D170" s="29"/>
    </row>
    <row r="171" spans="1:4" ht="14.25">
      <c r="A171" s="29"/>
      <c r="B171" s="29"/>
      <c r="C171" s="29"/>
      <c r="D171" s="29"/>
    </row>
    <row r="172" spans="1:4" ht="14.25">
      <c r="A172" s="29"/>
      <c r="B172" s="29"/>
      <c r="C172" s="29"/>
      <c r="D172" s="29"/>
    </row>
    <row r="173" spans="1:4" ht="14.25">
      <c r="A173" s="29"/>
      <c r="B173" s="29"/>
      <c r="C173" s="29"/>
      <c r="D173" s="29"/>
    </row>
    <row r="174" spans="1:4" ht="14.25">
      <c r="A174" s="29"/>
      <c r="B174" s="29"/>
      <c r="C174" s="29"/>
      <c r="D174" s="29"/>
    </row>
    <row r="175" spans="1:4" ht="14.25">
      <c r="A175" s="29"/>
      <c r="B175" s="29"/>
      <c r="C175" s="29"/>
      <c r="D175" s="29"/>
    </row>
    <row r="176" spans="1:4" ht="14.25">
      <c r="A176" s="29"/>
      <c r="B176" s="29"/>
      <c r="C176" s="29"/>
      <c r="D176" s="29"/>
    </row>
    <row r="177" spans="1:4" ht="14.25">
      <c r="A177" s="29"/>
      <c r="B177" s="29"/>
      <c r="C177" s="29"/>
      <c r="D177" s="29"/>
    </row>
    <row r="178" spans="1:4" ht="14.25">
      <c r="A178" s="29"/>
      <c r="B178" s="29"/>
      <c r="C178" s="29"/>
      <c r="D178" s="29"/>
    </row>
    <row r="179" spans="1:4" ht="14.25">
      <c r="A179" s="29"/>
      <c r="B179" s="29"/>
      <c r="C179" s="29"/>
      <c r="D179" s="29"/>
    </row>
    <row r="180" spans="1:4" ht="14.25">
      <c r="A180" s="29"/>
      <c r="B180" s="29"/>
      <c r="C180" s="29"/>
      <c r="D180" s="29"/>
    </row>
    <row r="181" spans="1:4" ht="14.25">
      <c r="A181" s="29"/>
      <c r="B181" s="29"/>
      <c r="C181" s="29"/>
      <c r="D181" s="29"/>
    </row>
    <row r="182" spans="1:4" ht="14.25">
      <c r="A182" s="29"/>
      <c r="B182" s="29"/>
      <c r="C182" s="29"/>
      <c r="D182" s="29"/>
    </row>
    <row r="183" spans="1:4" ht="14.25">
      <c r="A183" s="29"/>
      <c r="B183" s="29"/>
      <c r="C183" s="29"/>
      <c r="D183" s="29"/>
    </row>
    <row r="184" spans="1:4" ht="14.25">
      <c r="A184" s="29"/>
      <c r="B184" s="29"/>
      <c r="C184" s="29"/>
      <c r="D184" s="29"/>
    </row>
    <row r="185" spans="1:4" ht="14.25">
      <c r="A185" s="29"/>
      <c r="B185" s="29"/>
      <c r="C185" s="29"/>
      <c r="D185" s="29"/>
    </row>
    <row r="186" spans="1:4" ht="14.25">
      <c r="A186" s="29"/>
      <c r="B186" s="29"/>
      <c r="C186" s="29"/>
      <c r="D186" s="29"/>
    </row>
    <row r="187" spans="1:4" ht="14.25">
      <c r="A187" s="29"/>
      <c r="B187" s="29"/>
      <c r="C187" s="29"/>
      <c r="D187" s="29"/>
    </row>
    <row r="188" spans="1:4" ht="14.25">
      <c r="A188" s="29"/>
      <c r="B188" s="29"/>
      <c r="C188" s="29"/>
      <c r="D188" s="29"/>
    </row>
    <row r="189" spans="1:4" ht="14.25">
      <c r="A189" s="29"/>
      <c r="B189" s="29"/>
      <c r="C189" s="29"/>
      <c r="D189" s="29"/>
    </row>
    <row r="190" spans="1:4" ht="14.25">
      <c r="A190" s="29"/>
      <c r="B190" s="29"/>
      <c r="C190" s="29"/>
      <c r="D190" s="29"/>
    </row>
    <row r="191" spans="1:4" ht="14.25">
      <c r="A191" s="29"/>
      <c r="B191" s="29"/>
      <c r="C191" s="29"/>
      <c r="D191" s="29"/>
    </row>
    <row r="192" spans="1:4" ht="14.25">
      <c r="A192" s="29"/>
      <c r="B192" s="29"/>
      <c r="C192" s="29"/>
      <c r="D192" s="29"/>
    </row>
    <row r="193" spans="1:4" ht="14.25">
      <c r="A193" s="29"/>
      <c r="B193" s="29"/>
      <c r="C193" s="29"/>
      <c r="D193" s="29"/>
    </row>
  </sheetData>
  <sheetProtection/>
  <mergeCells count="12">
    <mergeCell ref="F1:F2"/>
    <mergeCell ref="F50:F51"/>
    <mergeCell ref="E1:E2"/>
    <mergeCell ref="E50:E51"/>
    <mergeCell ref="D1:D2"/>
    <mergeCell ref="D50:D51"/>
    <mergeCell ref="A1:A2"/>
    <mergeCell ref="B1:B2"/>
    <mergeCell ref="C1:C2"/>
    <mergeCell ref="C50:C51"/>
    <mergeCell ref="A50:A51"/>
    <mergeCell ref="B50:B51"/>
  </mergeCells>
  <printOptions horizontalCentered="1"/>
  <pageMargins left="0.35" right="0.2362204724409449" top="1.16" bottom="0.19" header="0.37" footer="0.19"/>
  <pageSetup fitToHeight="1" fitToWidth="1" horizontalDpi="600" verticalDpi="600" orientation="portrait" paperSize="9" scale="55" r:id="rId1"/>
  <headerFooter alignWithMargins="0">
    <oddHeader>&amp;C&amp;"Garamond,Félkövér"&amp;14 2/2019. (V.31.) számú költségvetési rendelethez
&amp;12ZALASZABAR KÖZSÉG ÖNKORMÁNYZAT
BEVÉTELI ÉS KIADÁSI ELŐIRÁNYZATAINAK ÖSSZESÍTŐJE ROVATONKÉNT   
2018. ÉVBEN&amp;14
&amp;R
</oddHeader>
  </headerFooter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view="pageLayout" workbookViewId="0" topLeftCell="A1">
      <selection activeCell="F4" sqref="F4:F6"/>
    </sheetView>
  </sheetViews>
  <sheetFormatPr defaultColWidth="9.00390625" defaultRowHeight="12.75"/>
  <cols>
    <col min="1" max="1" width="8.75390625" style="16" customWidth="1"/>
    <col min="2" max="2" width="49.625" style="16" customWidth="1"/>
    <col min="3" max="4" width="14.375" style="16" customWidth="1"/>
    <col min="5" max="6" width="13.25390625" style="16" customWidth="1"/>
    <col min="7" max="8" width="14.75390625" style="16" customWidth="1"/>
    <col min="9" max="9" width="13.25390625" style="16" customWidth="1"/>
    <col min="10" max="10" width="13.875" style="16" customWidth="1"/>
    <col min="11" max="16384" width="9.125" style="16" customWidth="1"/>
  </cols>
  <sheetData>
    <row r="1" spans="1:10" ht="12.75">
      <c r="A1" s="15"/>
      <c r="B1" s="15"/>
      <c r="C1" s="15"/>
      <c r="D1" s="15"/>
      <c r="E1" s="626" t="s">
        <v>584</v>
      </c>
      <c r="F1" s="626"/>
      <c r="G1" s="626"/>
      <c r="H1" s="626"/>
      <c r="I1" s="626"/>
      <c r="J1" s="626"/>
    </row>
    <row r="2" spans="1:10" ht="15" customHeight="1">
      <c r="A2" s="15"/>
      <c r="B2" s="15"/>
      <c r="C2" s="15"/>
      <c r="D2" s="15"/>
      <c r="E2" s="626" t="s">
        <v>584</v>
      </c>
      <c r="F2" s="626"/>
      <c r="G2" s="626"/>
      <c r="H2" s="626"/>
      <c r="I2" s="626"/>
      <c r="J2" s="626"/>
    </row>
    <row r="3" spans="1:10" ht="15" customHeight="1">
      <c r="A3" s="627" t="s">
        <v>52</v>
      </c>
      <c r="B3" s="630" t="s">
        <v>87</v>
      </c>
      <c r="C3" s="631" t="s">
        <v>322</v>
      </c>
      <c r="D3" s="632"/>
      <c r="E3" s="632"/>
      <c r="F3" s="633"/>
      <c r="G3" s="631" t="s">
        <v>54</v>
      </c>
      <c r="H3" s="632"/>
      <c r="I3" s="632"/>
      <c r="J3" s="633"/>
    </row>
    <row r="4" spans="1:10" ht="15" customHeight="1">
      <c r="A4" s="628"/>
      <c r="B4" s="628"/>
      <c r="C4" s="628" t="s">
        <v>71</v>
      </c>
      <c r="D4" s="628" t="s">
        <v>430</v>
      </c>
      <c r="E4" s="628" t="s">
        <v>650</v>
      </c>
      <c r="F4" s="628" t="s">
        <v>55</v>
      </c>
      <c r="G4" s="628" t="s">
        <v>8</v>
      </c>
      <c r="H4" s="108" t="s">
        <v>256</v>
      </c>
      <c r="I4" s="628" t="s">
        <v>650</v>
      </c>
      <c r="J4" s="628" t="s">
        <v>55</v>
      </c>
    </row>
    <row r="5" spans="1:10" ht="15" customHeight="1">
      <c r="A5" s="628"/>
      <c r="B5" s="628"/>
      <c r="C5" s="628"/>
      <c r="D5" s="628"/>
      <c r="E5" s="628"/>
      <c r="F5" s="628"/>
      <c r="G5" s="628"/>
      <c r="H5" s="108" t="s">
        <v>255</v>
      </c>
      <c r="I5" s="628"/>
      <c r="J5" s="628"/>
    </row>
    <row r="6" spans="1:10" ht="39.75" customHeight="1">
      <c r="A6" s="629"/>
      <c r="B6" s="629"/>
      <c r="C6" s="629"/>
      <c r="D6" s="629"/>
      <c r="E6" s="629"/>
      <c r="F6" s="629"/>
      <c r="G6" s="629"/>
      <c r="H6" s="109" t="s">
        <v>257</v>
      </c>
      <c r="I6" s="629"/>
      <c r="J6" s="629"/>
    </row>
    <row r="7" spans="1:11" ht="39.75" customHeight="1">
      <c r="A7" s="54" t="s">
        <v>2</v>
      </c>
      <c r="B7" s="126" t="s">
        <v>569</v>
      </c>
      <c r="C7" s="530">
        <f>SUM(D7:F7)</f>
        <v>41160504</v>
      </c>
      <c r="D7" s="530">
        <v>39103204</v>
      </c>
      <c r="E7" s="531">
        <v>0</v>
      </c>
      <c r="F7" s="532">
        <v>2057300</v>
      </c>
      <c r="G7" s="532">
        <f>SUM(H7:I7)</f>
        <v>41406957</v>
      </c>
      <c r="H7" s="532">
        <v>15401388</v>
      </c>
      <c r="I7" s="532">
        <v>26005569</v>
      </c>
      <c r="J7" s="532"/>
      <c r="K7" s="16" t="s">
        <v>651</v>
      </c>
    </row>
    <row r="8" spans="1:10" ht="39.75" customHeight="1">
      <c r="A8" s="18"/>
      <c r="B8" s="135" t="s">
        <v>76</v>
      </c>
      <c r="C8" s="127">
        <f aca="true" t="shared" si="0" ref="C8:J8">SUM(C7:C7)</f>
        <v>41160504</v>
      </c>
      <c r="D8" s="127">
        <f t="shared" si="0"/>
        <v>39103204</v>
      </c>
      <c r="E8" s="55">
        <f t="shared" si="0"/>
        <v>0</v>
      </c>
      <c r="F8" s="55">
        <f t="shared" si="0"/>
        <v>2057300</v>
      </c>
      <c r="G8" s="55">
        <f t="shared" si="0"/>
        <v>41406957</v>
      </c>
      <c r="H8" s="55">
        <f t="shared" si="0"/>
        <v>15401388</v>
      </c>
      <c r="I8" s="55">
        <f t="shared" si="0"/>
        <v>26005569</v>
      </c>
      <c r="J8" s="55">
        <f t="shared" si="0"/>
        <v>0</v>
      </c>
    </row>
    <row r="9" spans="5:7" ht="39.75" customHeight="1">
      <c r="E9" s="533"/>
      <c r="G9" s="534"/>
    </row>
    <row r="10" spans="1:10" ht="15.75">
      <c r="A10" s="627" t="s">
        <v>52</v>
      </c>
      <c r="B10" s="630" t="s">
        <v>87</v>
      </c>
      <c r="C10" s="631" t="s">
        <v>322</v>
      </c>
      <c r="D10" s="632"/>
      <c r="E10" s="632"/>
      <c r="F10" s="633"/>
      <c r="G10" s="631" t="s">
        <v>54</v>
      </c>
      <c r="H10" s="632"/>
      <c r="I10" s="632"/>
      <c r="J10" s="633"/>
    </row>
    <row r="11" spans="1:10" ht="12.75">
      <c r="A11" s="628"/>
      <c r="B11" s="628"/>
      <c r="C11" s="628" t="s">
        <v>71</v>
      </c>
      <c r="D11" s="628" t="s">
        <v>430</v>
      </c>
      <c r="E11" s="628" t="s">
        <v>650</v>
      </c>
      <c r="F11" s="628" t="s">
        <v>55</v>
      </c>
      <c r="G11" s="628" t="s">
        <v>8</v>
      </c>
      <c r="H11" s="627" t="s">
        <v>256</v>
      </c>
      <c r="I11" s="628" t="s">
        <v>650</v>
      </c>
      <c r="J11" s="628" t="s">
        <v>55</v>
      </c>
    </row>
    <row r="12" spans="1:10" ht="12.75">
      <c r="A12" s="628"/>
      <c r="B12" s="628"/>
      <c r="C12" s="628"/>
      <c r="D12" s="628"/>
      <c r="E12" s="628"/>
      <c r="F12" s="628"/>
      <c r="G12" s="628"/>
      <c r="H12" s="628"/>
      <c r="I12" s="628"/>
      <c r="J12" s="628"/>
    </row>
    <row r="13" spans="1:10" ht="12.75">
      <c r="A13" s="629"/>
      <c r="B13" s="629"/>
      <c r="C13" s="629"/>
      <c r="D13" s="629"/>
      <c r="E13" s="629"/>
      <c r="F13" s="629"/>
      <c r="G13" s="629"/>
      <c r="H13" s="629"/>
      <c r="I13" s="629"/>
      <c r="J13" s="629"/>
    </row>
    <row r="14" spans="1:11" ht="47.25">
      <c r="A14" s="54" t="s">
        <v>3</v>
      </c>
      <c r="B14" s="126" t="s">
        <v>652</v>
      </c>
      <c r="C14" s="530">
        <f>SUM(D14:F14)</f>
        <v>16237621</v>
      </c>
      <c r="D14" s="530">
        <v>0</v>
      </c>
      <c r="E14" s="532">
        <v>0</v>
      </c>
      <c r="F14" s="532">
        <v>16237621</v>
      </c>
      <c r="G14" s="532">
        <f>SUM(H14:J14)</f>
        <v>18041801</v>
      </c>
      <c r="H14" s="532">
        <v>0</v>
      </c>
      <c r="I14" s="532">
        <v>0</v>
      </c>
      <c r="J14" s="532">
        <v>18041801</v>
      </c>
      <c r="K14" s="16" t="s">
        <v>653</v>
      </c>
    </row>
    <row r="15" spans="1:10" ht="18">
      <c r="A15" s="18"/>
      <c r="B15" s="135" t="s">
        <v>76</v>
      </c>
      <c r="C15" s="127">
        <f aca="true" t="shared" si="1" ref="C15:J15">SUM(C14:C14)</f>
        <v>16237621</v>
      </c>
      <c r="D15" s="127">
        <f t="shared" si="1"/>
        <v>0</v>
      </c>
      <c r="E15" s="55">
        <f t="shared" si="1"/>
        <v>0</v>
      </c>
      <c r="F15" s="55">
        <f t="shared" si="1"/>
        <v>16237621</v>
      </c>
      <c r="G15" s="55">
        <f t="shared" si="1"/>
        <v>18041801</v>
      </c>
      <c r="H15" s="55">
        <f t="shared" si="1"/>
        <v>0</v>
      </c>
      <c r="I15" s="55">
        <f t="shared" si="1"/>
        <v>0</v>
      </c>
      <c r="J15" s="55">
        <f t="shared" si="1"/>
        <v>18041801</v>
      </c>
    </row>
    <row r="17" spans="1:10" ht="15.75">
      <c r="A17" s="627" t="s">
        <v>52</v>
      </c>
      <c r="B17" s="630" t="s">
        <v>87</v>
      </c>
      <c r="C17" s="631" t="s">
        <v>322</v>
      </c>
      <c r="D17" s="632"/>
      <c r="E17" s="632"/>
      <c r="F17" s="633"/>
      <c r="G17" s="631" t="s">
        <v>54</v>
      </c>
      <c r="H17" s="632"/>
      <c r="I17" s="632"/>
      <c r="J17" s="633"/>
    </row>
    <row r="18" spans="1:10" ht="12.75">
      <c r="A18" s="628"/>
      <c r="B18" s="628"/>
      <c r="C18" s="628" t="s">
        <v>71</v>
      </c>
      <c r="D18" s="628" t="s">
        <v>430</v>
      </c>
      <c r="E18" s="628" t="s">
        <v>650</v>
      </c>
      <c r="F18" s="628" t="s">
        <v>55</v>
      </c>
      <c r="G18" s="628" t="s">
        <v>8</v>
      </c>
      <c r="H18" s="627" t="s">
        <v>256</v>
      </c>
      <c r="I18" s="628" t="s">
        <v>650</v>
      </c>
      <c r="J18" s="628" t="s">
        <v>55</v>
      </c>
    </row>
    <row r="19" spans="1:10" ht="12.75">
      <c r="A19" s="628"/>
      <c r="B19" s="628"/>
      <c r="C19" s="628"/>
      <c r="D19" s="628"/>
      <c r="E19" s="628"/>
      <c r="F19" s="628"/>
      <c r="G19" s="628"/>
      <c r="H19" s="628"/>
      <c r="I19" s="628"/>
      <c r="J19" s="628"/>
    </row>
    <row r="20" spans="1:10" ht="12.75">
      <c r="A20" s="629"/>
      <c r="B20" s="629"/>
      <c r="C20" s="629"/>
      <c r="D20" s="629"/>
      <c r="E20" s="629"/>
      <c r="F20" s="629"/>
      <c r="G20" s="629"/>
      <c r="H20" s="629"/>
      <c r="I20" s="629"/>
      <c r="J20" s="629"/>
    </row>
    <row r="21" spans="1:11" ht="78.75">
      <c r="A21" s="54" t="s">
        <v>654</v>
      </c>
      <c r="B21" s="126" t="s">
        <v>655</v>
      </c>
      <c r="C21" s="530">
        <f>SUM(D21:F21)</f>
        <v>9923590</v>
      </c>
      <c r="D21" s="530">
        <v>0</v>
      </c>
      <c r="E21" s="532">
        <v>7442693</v>
      </c>
      <c r="F21" s="532">
        <v>2480897</v>
      </c>
      <c r="G21" s="532">
        <f>SUM(H21:J21)</f>
        <v>18756146</v>
      </c>
      <c r="H21" s="532">
        <v>0</v>
      </c>
      <c r="I21" s="532">
        <v>0</v>
      </c>
      <c r="J21" s="532">
        <v>18756146</v>
      </c>
      <c r="K21" s="16" t="s">
        <v>651</v>
      </c>
    </row>
    <row r="22" spans="1:10" ht="18">
      <c r="A22" s="18"/>
      <c r="B22" s="135" t="s">
        <v>76</v>
      </c>
      <c r="C22" s="127">
        <f aca="true" t="shared" si="2" ref="C22:J22">SUM(C21:C21)</f>
        <v>9923590</v>
      </c>
      <c r="D22" s="127">
        <f t="shared" si="2"/>
        <v>0</v>
      </c>
      <c r="E22" s="55">
        <f t="shared" si="2"/>
        <v>7442693</v>
      </c>
      <c r="F22" s="55">
        <f t="shared" si="2"/>
        <v>2480897</v>
      </c>
      <c r="G22" s="55">
        <f t="shared" si="2"/>
        <v>18756146</v>
      </c>
      <c r="H22" s="55">
        <f t="shared" si="2"/>
        <v>0</v>
      </c>
      <c r="I22" s="55">
        <f t="shared" si="2"/>
        <v>0</v>
      </c>
      <c r="J22" s="55">
        <f t="shared" si="2"/>
        <v>18756146</v>
      </c>
    </row>
    <row r="40" ht="12.75">
      <c r="K40" s="17"/>
    </row>
  </sheetData>
  <sheetProtection/>
  <mergeCells count="37">
    <mergeCell ref="J18:J20"/>
    <mergeCell ref="A17:A20"/>
    <mergeCell ref="B17:B20"/>
    <mergeCell ref="C17:F17"/>
    <mergeCell ref="G17:J17"/>
    <mergeCell ref="C18:C20"/>
    <mergeCell ref="D18:D20"/>
    <mergeCell ref="E18:E20"/>
    <mergeCell ref="F18:F20"/>
    <mergeCell ref="G4:G6"/>
    <mergeCell ref="I4:I6"/>
    <mergeCell ref="J4:J6"/>
    <mergeCell ref="G18:G20"/>
    <mergeCell ref="H18:H20"/>
    <mergeCell ref="E11:E13"/>
    <mergeCell ref="F11:F13"/>
    <mergeCell ref="G11:G13"/>
    <mergeCell ref="H11:H13"/>
    <mergeCell ref="I18:I20"/>
    <mergeCell ref="A10:A13"/>
    <mergeCell ref="B10:B13"/>
    <mergeCell ref="C10:F10"/>
    <mergeCell ref="G10:J10"/>
    <mergeCell ref="C11:C13"/>
    <mergeCell ref="D11:D13"/>
    <mergeCell ref="I11:I13"/>
    <mergeCell ref="J11:J13"/>
    <mergeCell ref="E1:J1"/>
    <mergeCell ref="E2:J2"/>
    <mergeCell ref="A3:A6"/>
    <mergeCell ref="B3:B6"/>
    <mergeCell ref="C3:F3"/>
    <mergeCell ref="G3:J3"/>
    <mergeCell ref="C4:C6"/>
    <mergeCell ref="D4:D6"/>
    <mergeCell ref="E4:E6"/>
    <mergeCell ref="F4:F6"/>
  </mergeCells>
  <printOptions horizontalCentered="1"/>
  <pageMargins left="0.2362204724409449" right="0.2362204724409449" top="1.3385826771653544" bottom="0.1968503937007874" header="0.5905511811023623" footer="0.1968503937007874"/>
  <pageSetup fitToHeight="0" fitToWidth="1" horizontalDpi="600" verticalDpi="600" orientation="landscape" paperSize="9" scale="81" r:id="rId1"/>
  <headerFooter alignWithMargins="0">
    <oddHeader>&amp;C&amp;"Garamond,Félkövér"&amp;14 2/2019. (V.31.) számú költségvetési rendelethez
ZALASZABAR KÖZSÉG ÖNKORMÁNYZAT 2018.ÉVI EURÓPAI UNIÓS PROJEKTJEINEK BEVÉTELEI ÉS KIADÁSAI&amp;R&amp;A
&amp;P.oldal
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1"/>
  <sheetViews>
    <sheetView view="pageLayout" zoomScaleSheetLayoutView="80" workbookViewId="0" topLeftCell="A1">
      <selection activeCell="G11" sqref="G11"/>
    </sheetView>
  </sheetViews>
  <sheetFormatPr defaultColWidth="9.00390625" defaultRowHeight="12.75"/>
  <cols>
    <col min="1" max="1" width="7.75390625" style="20" customWidth="1"/>
    <col min="2" max="2" width="44.375" style="20" customWidth="1"/>
    <col min="3" max="3" width="5.625" style="20" hidden="1" customWidth="1"/>
    <col min="4" max="4" width="13.375" style="20" customWidth="1"/>
    <col min="5" max="5" width="21.125" style="20" customWidth="1"/>
    <col min="6" max="6" width="14.00390625" style="20" customWidth="1"/>
    <col min="7" max="7" width="13.125" style="20" customWidth="1"/>
    <col min="8" max="16384" width="9.125" style="20" customWidth="1"/>
  </cols>
  <sheetData>
    <row r="1" spans="1:5" ht="12.75" customHeight="1">
      <c r="A1" s="21"/>
      <c r="B1" s="21"/>
      <c r="C1" s="21"/>
      <c r="D1" s="21"/>
      <c r="E1" s="21"/>
    </row>
    <row r="2" spans="1:5" ht="13.5" thickBot="1">
      <c r="A2" s="19"/>
      <c r="B2" s="19"/>
      <c r="C2" s="19"/>
      <c r="D2" s="19"/>
      <c r="E2" s="19"/>
    </row>
    <row r="3" spans="1:7" ht="15.75" customHeight="1" thickBot="1">
      <c r="A3" s="637" t="s">
        <v>15</v>
      </c>
      <c r="B3" s="638" t="s">
        <v>18</v>
      </c>
      <c r="C3" s="638"/>
      <c r="D3" s="634" t="s">
        <v>477</v>
      </c>
      <c r="E3" s="638" t="s">
        <v>19</v>
      </c>
      <c r="F3" s="634" t="s">
        <v>608</v>
      </c>
      <c r="G3" s="634" t="s">
        <v>648</v>
      </c>
    </row>
    <row r="4" spans="1:7" ht="15.75" customHeight="1" thickBot="1">
      <c r="A4" s="637"/>
      <c r="B4" s="638"/>
      <c r="C4" s="638"/>
      <c r="D4" s="635"/>
      <c r="E4" s="638"/>
      <c r="F4" s="635"/>
      <c r="G4" s="635"/>
    </row>
    <row r="5" spans="1:7" ht="15.75" customHeight="1" thickBot="1">
      <c r="A5" s="637"/>
      <c r="B5" s="638"/>
      <c r="C5" s="638"/>
      <c r="D5" s="635"/>
      <c r="E5" s="638"/>
      <c r="F5" s="635"/>
      <c r="G5" s="635"/>
    </row>
    <row r="6" spans="1:7" ht="15.75" customHeight="1" thickBot="1">
      <c r="A6" s="637"/>
      <c r="B6" s="638"/>
      <c r="C6" s="638"/>
      <c r="D6" s="636"/>
      <c r="E6" s="638"/>
      <c r="F6" s="636"/>
      <c r="G6" s="636"/>
    </row>
    <row r="7" spans="1:7" ht="27.75" customHeight="1">
      <c r="A7" s="392"/>
      <c r="B7" s="250" t="s">
        <v>319</v>
      </c>
      <c r="C7" s="249"/>
      <c r="D7" s="393">
        <v>2991004</v>
      </c>
      <c r="E7" s="251" t="s">
        <v>59</v>
      </c>
      <c r="F7" s="393">
        <f>2991004+1000000-1551737</f>
        <v>2439267</v>
      </c>
      <c r="G7" s="393">
        <f>2991004+1000000-1551737+22276514</f>
        <v>24715781</v>
      </c>
    </row>
    <row r="8" spans="1:7" ht="27.75" customHeight="1">
      <c r="A8" s="392"/>
      <c r="B8" s="250" t="s">
        <v>560</v>
      </c>
      <c r="C8" s="249"/>
      <c r="D8" s="393">
        <v>7386927</v>
      </c>
      <c r="E8" s="251" t="s">
        <v>59</v>
      </c>
      <c r="F8" s="393">
        <v>7386927</v>
      </c>
      <c r="G8" s="393">
        <v>7386927</v>
      </c>
    </row>
    <row r="9" spans="1:7" ht="27.75" customHeight="1">
      <c r="A9" s="392"/>
      <c r="B9" s="250" t="s">
        <v>561</v>
      </c>
      <c r="C9" s="249"/>
      <c r="D9" s="393">
        <v>7000000</v>
      </c>
      <c r="E9" s="251" t="s">
        <v>59</v>
      </c>
      <c r="F9" s="393">
        <f>7000000-1000000</f>
        <v>6000000</v>
      </c>
      <c r="G9" s="393">
        <f>7000000-1000000</f>
        <v>6000000</v>
      </c>
    </row>
    <row r="10" spans="1:7" ht="27.75" customHeight="1">
      <c r="A10" s="392"/>
      <c r="B10" s="474" t="s">
        <v>562</v>
      </c>
      <c r="C10" s="249"/>
      <c r="D10" s="393">
        <f>SUM(D8:D9)</f>
        <v>14386927</v>
      </c>
      <c r="E10" s="473"/>
      <c r="F10" s="393">
        <f>SUM(F8:F9)</f>
        <v>13386927</v>
      </c>
      <c r="G10" s="393">
        <f>SUM(G8:G9)</f>
        <v>13386927</v>
      </c>
    </row>
    <row r="11" spans="1:7" ht="27.75" customHeight="1" thickBot="1">
      <c r="A11" s="357"/>
      <c r="B11" s="358" t="s">
        <v>323</v>
      </c>
      <c r="C11" s="359"/>
      <c r="D11" s="360">
        <f>D10+D7</f>
        <v>17377931</v>
      </c>
      <c r="E11" s="361"/>
      <c r="F11" s="360">
        <f>F10+F7</f>
        <v>15826194</v>
      </c>
      <c r="G11" s="360">
        <f>G10+G7</f>
        <v>38102708</v>
      </c>
    </row>
    <row r="12" ht="16.5" customHeight="1"/>
  </sheetData>
  <sheetProtection/>
  <mergeCells count="7">
    <mergeCell ref="G3:G6"/>
    <mergeCell ref="A3:A6"/>
    <mergeCell ref="B3:B6"/>
    <mergeCell ref="C3:C6"/>
    <mergeCell ref="E3:E6"/>
    <mergeCell ref="D3:D6"/>
    <mergeCell ref="F3:F6"/>
  </mergeCells>
  <printOptions horizontalCentered="1"/>
  <pageMargins left="0.2362204724409449" right="0.2362204724409449" top="1.25" bottom="0.19" header="0.44" footer="0.19"/>
  <pageSetup fitToHeight="1" fitToWidth="1" horizontalDpi="600" verticalDpi="600" orientation="portrait" paperSize="9" scale="89" r:id="rId1"/>
  <headerFooter alignWithMargins="0">
    <oddHeader>&amp;C&amp;"Garamond,Félkövér"&amp;14 2/2019. (V.31.) számú költségvetési rendelethez
ZALASZABAR KÖZSÉG ÖNKORMÁNYZAT 2018. ÉVI TARTALÉKA&amp;R&amp;A
&amp;P.oldal
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8"/>
  <sheetViews>
    <sheetView view="pageLayout" workbookViewId="0" topLeftCell="A1">
      <selection activeCell="H11" sqref="H11"/>
    </sheetView>
  </sheetViews>
  <sheetFormatPr defaultColWidth="9.00390625" defaultRowHeight="12.75"/>
  <cols>
    <col min="1" max="1" width="12.625" style="37" customWidth="1"/>
    <col min="2" max="2" width="8.125" style="37" customWidth="1"/>
    <col min="3" max="3" width="8.25390625" style="37" customWidth="1"/>
    <col min="4" max="4" width="48.375" style="37" customWidth="1"/>
    <col min="5" max="7" width="15.00390625" style="37" customWidth="1"/>
    <col min="8" max="8" width="13.375" style="37" customWidth="1"/>
    <col min="9" max="9" width="12.25390625" style="37" customWidth="1"/>
    <col min="10" max="10" width="11.00390625" style="37" customWidth="1"/>
    <col min="11" max="16384" width="9.125" style="37" customWidth="1"/>
  </cols>
  <sheetData>
    <row r="1" ht="12.75">
      <c r="I1" s="44" t="s">
        <v>584</v>
      </c>
    </row>
    <row r="2" spans="1:9" ht="16.5" customHeight="1">
      <c r="A2" s="649" t="s">
        <v>0</v>
      </c>
      <c r="B2" s="652" t="s">
        <v>46</v>
      </c>
      <c r="C2" s="653"/>
      <c r="D2" s="654"/>
      <c r="E2" s="646" t="s">
        <v>472</v>
      </c>
      <c r="F2" s="646" t="s">
        <v>594</v>
      </c>
      <c r="G2" s="646" t="s">
        <v>629</v>
      </c>
      <c r="H2" s="47">
        <v>2019</v>
      </c>
      <c r="I2" s="47">
        <v>2020</v>
      </c>
    </row>
    <row r="3" spans="1:9" ht="17.25" customHeight="1">
      <c r="A3" s="650"/>
      <c r="B3" s="655"/>
      <c r="C3" s="656"/>
      <c r="D3" s="657"/>
      <c r="E3" s="647"/>
      <c r="F3" s="647"/>
      <c r="G3" s="647"/>
      <c r="H3" s="639" t="s">
        <v>325</v>
      </c>
      <c r="I3" s="640"/>
    </row>
    <row r="4" spans="1:9" ht="12" customHeight="1">
      <c r="A4" s="651"/>
      <c r="B4" s="658"/>
      <c r="C4" s="659"/>
      <c r="D4" s="660"/>
      <c r="E4" s="648"/>
      <c r="F4" s="648"/>
      <c r="G4" s="648"/>
      <c r="H4" s="641"/>
      <c r="I4" s="642"/>
    </row>
    <row r="5" spans="1:9" ht="34.5" customHeight="1">
      <c r="A5" s="46" t="s">
        <v>2</v>
      </c>
      <c r="B5" s="664" t="s">
        <v>431</v>
      </c>
      <c r="C5" s="664"/>
      <c r="D5" s="664"/>
      <c r="E5" s="100">
        <v>89389072</v>
      </c>
      <c r="F5" s="100">
        <f>83784177+127000</f>
        <v>83911177</v>
      </c>
      <c r="G5" s="100">
        <v>86581334</v>
      </c>
      <c r="H5" s="100"/>
      <c r="I5" s="100"/>
    </row>
    <row r="6" spans="1:9" ht="34.5" customHeight="1">
      <c r="A6" s="46" t="s">
        <v>3</v>
      </c>
      <c r="B6" s="664" t="s">
        <v>86</v>
      </c>
      <c r="C6" s="664"/>
      <c r="D6" s="664"/>
      <c r="E6" s="100">
        <v>2100180</v>
      </c>
      <c r="F6" s="100">
        <v>2100180</v>
      </c>
      <c r="G6" s="100">
        <v>2100180</v>
      </c>
      <c r="H6" s="100"/>
      <c r="I6" s="100"/>
    </row>
    <row r="7" spans="1:9" ht="34.5" customHeight="1">
      <c r="A7" s="46" t="s">
        <v>4</v>
      </c>
      <c r="B7" s="661" t="s">
        <v>432</v>
      </c>
      <c r="C7" s="662"/>
      <c r="D7" s="663"/>
      <c r="E7" s="100"/>
      <c r="F7" s="100"/>
      <c r="G7" s="100"/>
      <c r="H7" s="100"/>
      <c r="I7" s="100"/>
    </row>
    <row r="8" spans="1:9" ht="34.5" customHeight="1">
      <c r="A8" s="46"/>
      <c r="B8" s="643" t="s">
        <v>76</v>
      </c>
      <c r="C8" s="644"/>
      <c r="D8" s="645"/>
      <c r="E8" s="124">
        <f>SUM(E5:E7)</f>
        <v>91489252</v>
      </c>
      <c r="F8" s="124">
        <f>SUM(F5:F7)</f>
        <v>86011357</v>
      </c>
      <c r="G8" s="124">
        <f>SUM(G5:G7)</f>
        <v>88681514</v>
      </c>
      <c r="H8" s="124">
        <f>SUM(H5:H7)</f>
        <v>0</v>
      </c>
      <c r="I8" s="124">
        <f>SUM(I5:I7)</f>
        <v>0</v>
      </c>
    </row>
  </sheetData>
  <sheetProtection/>
  <mergeCells count="10">
    <mergeCell ref="H3:I4"/>
    <mergeCell ref="B8:D8"/>
    <mergeCell ref="E2:E4"/>
    <mergeCell ref="A2:A4"/>
    <mergeCell ref="B2:D4"/>
    <mergeCell ref="B7:D7"/>
    <mergeCell ref="B5:D5"/>
    <mergeCell ref="B6:D6"/>
    <mergeCell ref="F2:F4"/>
    <mergeCell ref="G2:G4"/>
  </mergeCells>
  <printOptions horizontalCentered="1"/>
  <pageMargins left="0.2362204724409449" right="0.2362204724409449" top="1.54" bottom="0.19" header="0.45" footer="0.19"/>
  <pageSetup fitToHeight="0" fitToWidth="1" horizontalDpi="600" verticalDpi="600" orientation="landscape" paperSize="9" scale="98" r:id="rId1"/>
  <headerFooter alignWithMargins="0">
    <oddHeader>&amp;C&amp;"Garamond,Félkövér"&amp;14 2/2019. (V.31.)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J1" sqref="J1:K1"/>
    </sheetView>
  </sheetViews>
  <sheetFormatPr defaultColWidth="9.00390625" defaultRowHeight="12.75"/>
  <cols>
    <col min="1" max="1" width="3.75390625" style="34" customWidth="1"/>
    <col min="2" max="2" width="9.125" style="34" customWidth="1"/>
    <col min="3" max="3" width="8.375" style="34" customWidth="1"/>
    <col min="4" max="4" width="22.875" style="34" customWidth="1"/>
    <col min="5" max="5" width="25.625" style="34" customWidth="1"/>
    <col min="6" max="6" width="10.875" style="34" customWidth="1"/>
    <col min="7" max="7" width="11.125" style="34" customWidth="1"/>
    <col min="8" max="8" width="16.75390625" style="34" customWidth="1"/>
    <col min="9" max="9" width="9.125" style="34" customWidth="1"/>
    <col min="10" max="10" width="11.125" style="34" customWidth="1"/>
    <col min="11" max="11" width="11.375" style="34" customWidth="1"/>
    <col min="12" max="16384" width="9.125" style="34" customWidth="1"/>
  </cols>
  <sheetData>
    <row r="1" spans="10:11" ht="12.75">
      <c r="J1" s="673" t="s">
        <v>568</v>
      </c>
      <c r="K1" s="673"/>
    </row>
    <row r="2" spans="1:11" ht="24.75" customHeight="1">
      <c r="A2" s="665" t="s">
        <v>17</v>
      </c>
      <c r="B2" s="665" t="s">
        <v>22</v>
      </c>
      <c r="C2" s="665"/>
      <c r="D2" s="665"/>
      <c r="E2" s="666" t="s">
        <v>56</v>
      </c>
      <c r="F2" s="666"/>
      <c r="G2" s="666"/>
      <c r="H2" s="666" t="s">
        <v>57</v>
      </c>
      <c r="I2" s="666"/>
      <c r="J2" s="666"/>
      <c r="K2" s="35" t="s">
        <v>8</v>
      </c>
    </row>
    <row r="3" spans="1:11" ht="24.75" customHeight="1">
      <c r="A3" s="665"/>
      <c r="B3" s="665"/>
      <c r="C3" s="665"/>
      <c r="D3" s="665"/>
      <c r="E3" s="665" t="s">
        <v>23</v>
      </c>
      <c r="F3" s="665" t="s">
        <v>24</v>
      </c>
      <c r="G3" s="665" t="s">
        <v>25</v>
      </c>
      <c r="H3" s="665" t="s">
        <v>23</v>
      </c>
      <c r="I3" s="665" t="s">
        <v>24</v>
      </c>
      <c r="J3" s="665" t="s">
        <v>563</v>
      </c>
      <c r="K3" s="667" t="s">
        <v>456</v>
      </c>
    </row>
    <row r="4" spans="1:11" ht="24.75" customHeight="1">
      <c r="A4" s="665"/>
      <c r="B4" s="665"/>
      <c r="C4" s="665"/>
      <c r="D4" s="665"/>
      <c r="E4" s="665"/>
      <c r="F4" s="665"/>
      <c r="G4" s="665"/>
      <c r="H4" s="665"/>
      <c r="I4" s="665"/>
      <c r="J4" s="665"/>
      <c r="K4" s="667"/>
    </row>
    <row r="5" spans="1:11" ht="24.75" customHeight="1">
      <c r="A5" s="61" t="s">
        <v>29</v>
      </c>
      <c r="B5" s="668" t="s">
        <v>58</v>
      </c>
      <c r="C5" s="669"/>
      <c r="D5" s="670"/>
      <c r="E5" s="61"/>
      <c r="F5" s="61"/>
      <c r="G5" s="61"/>
      <c r="H5" s="61"/>
      <c r="I5" s="61"/>
      <c r="J5" s="61"/>
      <c r="K5" s="62"/>
    </row>
    <row r="6" spans="1:11" ht="49.5" customHeight="1">
      <c r="A6" s="36" t="s">
        <v>564</v>
      </c>
      <c r="B6" s="671" t="s">
        <v>565</v>
      </c>
      <c r="C6" s="672"/>
      <c r="D6" s="672"/>
      <c r="E6" s="49"/>
      <c r="F6" s="475"/>
      <c r="G6" s="111"/>
      <c r="H6" s="45" t="s">
        <v>45</v>
      </c>
      <c r="I6" s="45" t="s">
        <v>45</v>
      </c>
      <c r="J6" s="45" t="s">
        <v>45</v>
      </c>
      <c r="K6" s="111">
        <f>SUM(G6:J6)</f>
        <v>0</v>
      </c>
    </row>
    <row r="7" spans="1:11" ht="30" customHeight="1">
      <c r="A7" s="36" t="s">
        <v>566</v>
      </c>
      <c r="B7" s="671" t="s">
        <v>26</v>
      </c>
      <c r="C7" s="672"/>
      <c r="D7" s="672"/>
      <c r="E7" s="45"/>
      <c r="F7" s="45"/>
      <c r="G7" s="45"/>
      <c r="H7" s="45" t="s">
        <v>45</v>
      </c>
      <c r="I7" s="45" t="s">
        <v>45</v>
      </c>
      <c r="J7" s="45" t="s">
        <v>45</v>
      </c>
      <c r="K7" s="45" t="s">
        <v>45</v>
      </c>
    </row>
    <row r="8" spans="1:11" ht="30" customHeight="1">
      <c r="A8" s="36" t="s">
        <v>4</v>
      </c>
      <c r="B8" s="671" t="s">
        <v>27</v>
      </c>
      <c r="C8" s="672"/>
      <c r="D8" s="672"/>
      <c r="E8" s="45"/>
      <c r="F8" s="45"/>
      <c r="G8" s="45"/>
      <c r="H8" s="45" t="s">
        <v>45</v>
      </c>
      <c r="I8" s="45" t="s">
        <v>45</v>
      </c>
      <c r="J8" s="45" t="s">
        <v>45</v>
      </c>
      <c r="K8" s="49" t="s">
        <v>45</v>
      </c>
    </row>
    <row r="9" spans="1:11" ht="33" customHeight="1">
      <c r="A9" s="36" t="s">
        <v>5</v>
      </c>
      <c r="B9" s="671" t="s">
        <v>28</v>
      </c>
      <c r="C9" s="672"/>
      <c r="D9" s="672"/>
      <c r="E9" s="48"/>
      <c r="F9" s="49"/>
      <c r="G9" s="50"/>
      <c r="H9" s="48" t="s">
        <v>53</v>
      </c>
      <c r="I9" s="52">
        <v>1</v>
      </c>
      <c r="J9" s="50">
        <v>10000</v>
      </c>
      <c r="K9" s="111">
        <f>SUM(G9+J9)</f>
        <v>10000</v>
      </c>
    </row>
    <row r="10" spans="1:11" ht="33" customHeight="1">
      <c r="A10" s="36"/>
      <c r="B10" s="674" t="s">
        <v>567</v>
      </c>
      <c r="C10" s="674"/>
      <c r="D10" s="674"/>
      <c r="E10" s="57"/>
      <c r="F10" s="58"/>
      <c r="G10" s="110"/>
      <c r="H10" s="57"/>
      <c r="I10" s="60"/>
      <c r="J10" s="59">
        <f>SUM(J9)</f>
        <v>10000</v>
      </c>
      <c r="K10" s="258">
        <f>SUM(K6:K9)</f>
        <v>10000</v>
      </c>
    </row>
    <row r="11" spans="1:11" ht="33" customHeight="1">
      <c r="A11" s="36"/>
      <c r="B11" s="671"/>
      <c r="C11" s="672"/>
      <c r="D11" s="672"/>
      <c r="E11" s="48"/>
      <c r="F11" s="476"/>
      <c r="G11" s="50"/>
      <c r="H11" s="48"/>
      <c r="I11" s="52"/>
      <c r="J11" s="50"/>
      <c r="K11" s="111"/>
    </row>
    <row r="12" spans="1:11" ht="33" customHeight="1">
      <c r="A12" s="56"/>
      <c r="B12" s="675" t="s">
        <v>324</v>
      </c>
      <c r="C12" s="676"/>
      <c r="D12" s="677"/>
      <c r="E12" s="57"/>
      <c r="F12" s="58"/>
      <c r="G12" s="110"/>
      <c r="H12" s="57"/>
      <c r="I12" s="60"/>
      <c r="J12" s="59">
        <f>SUM(J10:J11)</f>
        <v>10000</v>
      </c>
      <c r="K12" s="110">
        <f>SUM(K10:K11)</f>
        <v>10000</v>
      </c>
    </row>
    <row r="13" spans="2:4" ht="12.75">
      <c r="B13" s="678"/>
      <c r="C13" s="678"/>
      <c r="D13" s="678"/>
    </row>
    <row r="21" ht="12.75">
      <c r="D21" s="53"/>
    </row>
  </sheetData>
  <sheetProtection/>
  <mergeCells count="21">
    <mergeCell ref="B9:D9"/>
    <mergeCell ref="B10:D10"/>
    <mergeCell ref="B11:D11"/>
    <mergeCell ref="B12:D12"/>
    <mergeCell ref="B13:D13"/>
    <mergeCell ref="J3:J4"/>
    <mergeCell ref="K3:K4"/>
    <mergeCell ref="B5:D5"/>
    <mergeCell ref="B6:D6"/>
    <mergeCell ref="B7:D7"/>
    <mergeCell ref="B8:D8"/>
    <mergeCell ref="J1:K1"/>
    <mergeCell ref="A2:A4"/>
    <mergeCell ref="B2:D4"/>
    <mergeCell ref="E2:G2"/>
    <mergeCell ref="H2:J2"/>
    <mergeCell ref="E3:E4"/>
    <mergeCell ref="F3:F4"/>
    <mergeCell ref="G3:G4"/>
    <mergeCell ref="H3:H4"/>
    <mergeCell ref="I3:I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2/2019. (V.31.) számú költségvetési rendelethez
ZALASZABAR KÖZSÉG  ÖNKORMÁNYZATA
2018. 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S10"/>
  <sheetViews>
    <sheetView view="pageLayout" zoomScale="80" zoomScalePageLayoutView="80" workbookViewId="0" topLeftCell="A1">
      <selection activeCell="I10" sqref="I10"/>
    </sheetView>
  </sheetViews>
  <sheetFormatPr defaultColWidth="9.00390625" defaultRowHeight="12.75"/>
  <cols>
    <col min="1" max="1" width="3.00390625" style="39" customWidth="1"/>
    <col min="2" max="2" width="31.375" style="39" customWidth="1"/>
    <col min="3" max="3" width="11.75390625" style="39" customWidth="1"/>
    <col min="4" max="4" width="10.375" style="39" customWidth="1"/>
    <col min="5" max="5" width="11.375" style="39" customWidth="1"/>
    <col min="6" max="6" width="10.00390625" style="39" customWidth="1"/>
    <col min="7" max="7" width="10.375" style="39" customWidth="1"/>
    <col min="8" max="8" width="9.25390625" style="39" customWidth="1"/>
    <col min="9" max="9" width="9.875" style="39" customWidth="1"/>
    <col min="10" max="10" width="9.75390625" style="39" customWidth="1"/>
    <col min="11" max="11" width="10.25390625" style="39" customWidth="1"/>
    <col min="12" max="12" width="10.625" style="39" customWidth="1"/>
    <col min="13" max="13" width="10.375" style="39" customWidth="1"/>
    <col min="14" max="14" width="11.25390625" style="39" customWidth="1"/>
    <col min="15" max="15" width="16.00390625" style="39" customWidth="1"/>
    <col min="16" max="17" width="10.875" style="39" bestFit="1" customWidth="1"/>
    <col min="18" max="18" width="9.125" style="39" customWidth="1"/>
    <col min="19" max="19" width="0" style="39" hidden="1" customWidth="1"/>
    <col min="20" max="16384" width="9.125" style="39" customWidth="1"/>
  </cols>
  <sheetData>
    <row r="1" spans="13:15" ht="3.75" customHeight="1">
      <c r="M1" s="679" t="s">
        <v>14</v>
      </c>
      <c r="N1" s="679"/>
      <c r="O1" s="679"/>
    </row>
    <row r="2" spans="1:15" ht="27.75" customHeight="1">
      <c r="A2" s="40" t="s">
        <v>326</v>
      </c>
      <c r="B2" s="273" t="s">
        <v>10</v>
      </c>
      <c r="C2" s="273" t="s">
        <v>31</v>
      </c>
      <c r="D2" s="273" t="s">
        <v>32</v>
      </c>
      <c r="E2" s="273" t="s">
        <v>33</v>
      </c>
      <c r="F2" s="273" t="s">
        <v>34</v>
      </c>
      <c r="G2" s="273" t="s">
        <v>35</v>
      </c>
      <c r="H2" s="273" t="s">
        <v>36</v>
      </c>
      <c r="I2" s="273" t="s">
        <v>37</v>
      </c>
      <c r="J2" s="273" t="s">
        <v>38</v>
      </c>
      <c r="K2" s="273" t="s">
        <v>39</v>
      </c>
      <c r="L2" s="273" t="s">
        <v>40</v>
      </c>
      <c r="M2" s="273" t="s">
        <v>41</v>
      </c>
      <c r="N2" s="273" t="s">
        <v>42</v>
      </c>
      <c r="O2" s="273" t="s">
        <v>8</v>
      </c>
    </row>
    <row r="3" spans="1:19" ht="27.75" customHeight="1">
      <c r="A3" s="41"/>
      <c r="B3" s="383" t="s">
        <v>67</v>
      </c>
      <c r="C3" s="406">
        <f>10596413+S3</f>
        <v>14597969.33333333</v>
      </c>
      <c r="D3" s="407">
        <f>10596413+S3</f>
        <v>14597969.33333333</v>
      </c>
      <c r="E3" s="407">
        <f>44094593+145310+2037736+S3</f>
        <v>50279195.33333333</v>
      </c>
      <c r="F3" s="407">
        <f>10596413+S3</f>
        <v>14597969.33333333</v>
      </c>
      <c r="G3" s="407">
        <f>12653415+S3</f>
        <v>16654971.33333333</v>
      </c>
      <c r="H3" s="407">
        <f>10596413+145310+S3</f>
        <v>14743279.33333333</v>
      </c>
      <c r="I3" s="407">
        <f>10596413+1529736+S3</f>
        <v>16127705.33333333</v>
      </c>
      <c r="J3" s="407">
        <f>10596413+S3</f>
        <v>14597969.33333333</v>
      </c>
      <c r="K3" s="407">
        <f>11596413+4359001-290320+S3</f>
        <v>19666650.33333333</v>
      </c>
      <c r="L3" s="407">
        <f>10596413+S3</f>
        <v>14597969.33333333</v>
      </c>
      <c r="M3" s="407">
        <f>10596413+S3</f>
        <v>14597969.33333333</v>
      </c>
      <c r="N3" s="407">
        <f>10596413+S3</f>
        <v>14597969.33333333</v>
      </c>
      <c r="O3" s="274">
        <f>C3+D3+E3+F3+G3+H3+I3+J3+K3+L3+M3+N3</f>
        <v>219657587.00000003</v>
      </c>
      <c r="Q3" s="408"/>
      <c r="S3" s="39">
        <v>4001556.33333333</v>
      </c>
    </row>
    <row r="4" spans="1:15" ht="27.75" customHeight="1">
      <c r="A4" s="41"/>
      <c r="B4" s="383" t="s">
        <v>68</v>
      </c>
      <c r="C4" s="406">
        <f>7717068+S3</f>
        <v>11718624.33333333</v>
      </c>
      <c r="D4" s="407">
        <f>7717068+S3</f>
        <v>11718624.33333333</v>
      </c>
      <c r="E4" s="407">
        <f>36764019+145310+2037736+S3</f>
        <v>42948621.33333333</v>
      </c>
      <c r="F4" s="407">
        <f>7717068+S3</f>
        <v>11718624.33333333</v>
      </c>
      <c r="G4" s="407">
        <f>27371962+S3</f>
        <v>31373518.33333333</v>
      </c>
      <c r="H4" s="407">
        <f>7717068+145310+S3</f>
        <v>11863934.33333333</v>
      </c>
      <c r="I4" s="407">
        <f>15861128+1529736+S3</f>
        <v>21392420.33333333</v>
      </c>
      <c r="J4" s="407">
        <f>20978485+S3</f>
        <v>24980041.33333333</v>
      </c>
      <c r="K4" s="407">
        <f>8717068+4359001-290320+S3</f>
        <v>16787305.33333333</v>
      </c>
      <c r="L4" s="407">
        <f>7717068+S3</f>
        <v>11718624.33333333</v>
      </c>
      <c r="M4" s="407">
        <f>7717068+S3</f>
        <v>11718624.33333333</v>
      </c>
      <c r="N4" s="407">
        <f>7717068+S3</f>
        <v>11718624.33333333</v>
      </c>
      <c r="O4" s="274">
        <f>C4+D4+E4+F4+G4+H4+I4+J4+K4+L4+M4+N4</f>
        <v>219657586.99999997</v>
      </c>
    </row>
    <row r="6" spans="14:15" ht="12.75">
      <c r="N6" s="408"/>
      <c r="O6" s="408"/>
    </row>
    <row r="7" ht="12.75">
      <c r="O7" s="408"/>
    </row>
    <row r="8" spans="2:15" ht="22.5" customHeight="1">
      <c r="B8" s="275"/>
      <c r="O8" s="408"/>
    </row>
    <row r="10" ht="12.75">
      <c r="B10" s="405"/>
    </row>
  </sheetData>
  <sheetProtection/>
  <mergeCells count="1">
    <mergeCell ref="M1:O1"/>
  </mergeCells>
  <printOptions horizontalCentered="1"/>
  <pageMargins left="0.2362204724409449" right="0.06484375" top="0.8789930555555555" bottom="0.1968503937007874" header="0.35433070866141736" footer="0.1968503937007874"/>
  <pageSetup horizontalDpi="600" verticalDpi="600" orientation="landscape" paperSize="9" scale="83" r:id="rId1"/>
  <headerFooter alignWithMargins="0">
    <oddHeader>&amp;C&amp;"Garamond,Félkövér"&amp;12  2/2019. (V.31.) számú költségvetési rendelethez
ZALASZABAR KÖZSÉG ÖNKORMÁNYZATA 2018.ÉVI ELŐIRÁNYZAT  FELHASZNÁLÁSI ÜTEMTERVE
&amp;R&amp;A
&amp;P.oldal
Forintban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tabSelected="1" view="pageLayout" zoomScaleSheetLayoutView="100" workbookViewId="0" topLeftCell="A1">
      <selection activeCell="E3" sqref="E3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59" t="s">
        <v>282</v>
      </c>
      <c r="B1" s="382" t="s">
        <v>474</v>
      </c>
      <c r="C1" s="382" t="s">
        <v>570</v>
      </c>
      <c r="D1" s="382" t="s">
        <v>571</v>
      </c>
      <c r="E1" s="382" t="s">
        <v>583</v>
      </c>
      <c r="F1" s="382" t="s">
        <v>572</v>
      </c>
      <c r="G1" s="382" t="s">
        <v>573</v>
      </c>
      <c r="H1" s="382" t="s">
        <v>574</v>
      </c>
      <c r="I1" s="382" t="s">
        <v>283</v>
      </c>
      <c r="J1" s="382" t="s">
        <v>287</v>
      </c>
      <c r="K1" s="382" t="s">
        <v>582</v>
      </c>
    </row>
    <row r="2" spans="1:11" ht="24.75" customHeight="1">
      <c r="A2" s="220" t="s">
        <v>284</v>
      </c>
      <c r="B2" s="95"/>
      <c r="C2" s="74"/>
      <c r="D2" s="74"/>
      <c r="E2" s="74"/>
      <c r="F2" s="74"/>
      <c r="G2" s="74"/>
      <c r="H2" s="74"/>
      <c r="I2" s="74"/>
      <c r="J2" s="74"/>
      <c r="K2" s="95"/>
    </row>
    <row r="3" spans="1:11" ht="24.75" customHeight="1">
      <c r="A3" s="74" t="s">
        <v>575</v>
      </c>
      <c r="B3" s="95">
        <v>0</v>
      </c>
      <c r="C3" s="74"/>
      <c r="D3" s="74"/>
      <c r="E3" s="74"/>
      <c r="F3" s="74"/>
      <c r="G3" s="74"/>
      <c r="H3" s="74"/>
      <c r="I3" s="74"/>
      <c r="J3" s="74"/>
      <c r="K3" s="95">
        <f>SUM(C3:J3)</f>
        <v>0</v>
      </c>
    </row>
    <row r="4" spans="1:11" ht="24.75" customHeight="1">
      <c r="A4" s="74" t="s">
        <v>285</v>
      </c>
      <c r="B4" s="95">
        <v>5</v>
      </c>
      <c r="C4" s="74"/>
      <c r="D4" s="74"/>
      <c r="E4" s="74"/>
      <c r="F4" s="74"/>
      <c r="G4" s="74"/>
      <c r="H4" s="74"/>
      <c r="I4" s="74"/>
      <c r="J4" s="74">
        <v>5</v>
      </c>
      <c r="K4" s="95">
        <f>SUM(C4:J4)</f>
        <v>5</v>
      </c>
    </row>
    <row r="5" spans="1:11" ht="24.75" customHeight="1">
      <c r="A5" s="74" t="s">
        <v>576</v>
      </c>
      <c r="B5" s="95">
        <v>0</v>
      </c>
      <c r="C5" s="74"/>
      <c r="D5" s="74"/>
      <c r="E5" s="74"/>
      <c r="F5" s="74">
        <v>1</v>
      </c>
      <c r="G5" s="74"/>
      <c r="H5" s="74"/>
      <c r="I5" s="74"/>
      <c r="J5" s="74"/>
      <c r="K5" s="95">
        <f>SUM(C5:J5)</f>
        <v>1</v>
      </c>
    </row>
    <row r="6" spans="1:11" s="154" customFormat="1" ht="24.75" customHeight="1">
      <c r="A6" s="477" t="s">
        <v>577</v>
      </c>
      <c r="B6" s="477">
        <f aca="true" t="shared" si="0" ref="B6:J6">SUM(B3:B4)</f>
        <v>5</v>
      </c>
      <c r="C6" s="477">
        <f t="shared" si="0"/>
        <v>0</v>
      </c>
      <c r="D6" s="477">
        <f t="shared" si="0"/>
        <v>0</v>
      </c>
      <c r="E6" s="477">
        <f t="shared" si="0"/>
        <v>0</v>
      </c>
      <c r="F6" s="477">
        <f t="shared" si="0"/>
        <v>0</v>
      </c>
      <c r="G6" s="477">
        <f t="shared" si="0"/>
        <v>0</v>
      </c>
      <c r="H6" s="477">
        <f t="shared" si="0"/>
        <v>0</v>
      </c>
      <c r="I6" s="477">
        <f t="shared" si="0"/>
        <v>0</v>
      </c>
      <c r="J6" s="477">
        <f t="shared" si="0"/>
        <v>5</v>
      </c>
      <c r="K6" s="477">
        <f>SUM(K3:K5)</f>
        <v>6</v>
      </c>
    </row>
    <row r="7" spans="1:11" s="154" customFormat="1" ht="24.75" customHeight="1">
      <c r="A7" s="254" t="s">
        <v>578</v>
      </c>
      <c r="B7" s="254"/>
      <c r="C7" s="254"/>
      <c r="D7" s="254"/>
      <c r="E7" s="254"/>
      <c r="F7" s="254"/>
      <c r="G7" s="254"/>
      <c r="H7" s="254"/>
      <c r="I7" s="254"/>
      <c r="J7" s="254"/>
      <c r="K7" s="254">
        <f>SUM(C7:J7)</f>
        <v>0</v>
      </c>
    </row>
    <row r="8" spans="1:11" ht="24.75" customHeight="1">
      <c r="A8" s="74" t="s">
        <v>579</v>
      </c>
      <c r="B8" s="95">
        <v>4</v>
      </c>
      <c r="C8" s="74"/>
      <c r="D8" s="74">
        <v>2</v>
      </c>
      <c r="E8" s="74">
        <v>2</v>
      </c>
      <c r="F8" s="74"/>
      <c r="G8" s="74"/>
      <c r="H8" s="74"/>
      <c r="I8" s="74"/>
      <c r="J8" s="74"/>
      <c r="K8" s="95">
        <f>SUM(D8:J8)</f>
        <v>4</v>
      </c>
    </row>
    <row r="9" spans="1:11" ht="24.75" customHeight="1">
      <c r="A9" s="74" t="s">
        <v>580</v>
      </c>
      <c r="B9" s="95">
        <v>4</v>
      </c>
      <c r="C9" s="74"/>
      <c r="D9" s="74"/>
      <c r="E9" s="74"/>
      <c r="F9" s="74"/>
      <c r="G9" s="74"/>
      <c r="H9" s="74"/>
      <c r="I9" s="74">
        <v>4</v>
      </c>
      <c r="J9" s="74"/>
      <c r="K9" s="95">
        <f>SUM(D9:J9)</f>
        <v>4</v>
      </c>
    </row>
    <row r="10" spans="1:11" ht="24.75" customHeight="1">
      <c r="A10" s="477" t="s">
        <v>581</v>
      </c>
      <c r="B10" s="477">
        <f aca="true" t="shared" si="1" ref="B10:K10">SUM(B8:B9)</f>
        <v>8</v>
      </c>
      <c r="C10" s="477">
        <f t="shared" si="1"/>
        <v>0</v>
      </c>
      <c r="D10" s="477">
        <f t="shared" si="1"/>
        <v>2</v>
      </c>
      <c r="E10" s="477">
        <f t="shared" si="1"/>
        <v>2</v>
      </c>
      <c r="F10" s="477">
        <f t="shared" si="1"/>
        <v>0</v>
      </c>
      <c r="G10" s="477">
        <f t="shared" si="1"/>
        <v>0</v>
      </c>
      <c r="H10" s="477">
        <f t="shared" si="1"/>
        <v>0</v>
      </c>
      <c r="I10" s="477">
        <f t="shared" si="1"/>
        <v>4</v>
      </c>
      <c r="J10" s="477">
        <f t="shared" si="1"/>
        <v>0</v>
      </c>
      <c r="K10" s="477">
        <f t="shared" si="1"/>
        <v>8</v>
      </c>
    </row>
    <row r="11" spans="1:11" s="154" customFormat="1" ht="24.75" customHeight="1">
      <c r="A11" s="254" t="s">
        <v>286</v>
      </c>
      <c r="B11" s="254">
        <f aca="true" t="shared" si="2" ref="B11:K11">SUM(B10+B7+B6)</f>
        <v>13</v>
      </c>
      <c r="C11" s="254">
        <f t="shared" si="2"/>
        <v>0</v>
      </c>
      <c r="D11" s="254">
        <f t="shared" si="2"/>
        <v>2</v>
      </c>
      <c r="E11" s="254">
        <f t="shared" si="2"/>
        <v>2</v>
      </c>
      <c r="F11" s="254">
        <f t="shared" si="2"/>
        <v>0</v>
      </c>
      <c r="G11" s="254">
        <f t="shared" si="2"/>
        <v>0</v>
      </c>
      <c r="H11" s="254">
        <f t="shared" si="2"/>
        <v>0</v>
      </c>
      <c r="I11" s="254">
        <f t="shared" si="2"/>
        <v>4</v>
      </c>
      <c r="J11" s="254">
        <f t="shared" si="2"/>
        <v>5</v>
      </c>
      <c r="K11" s="254">
        <f t="shared" si="2"/>
        <v>14</v>
      </c>
    </row>
    <row r="13" spans="1:9" ht="15.75">
      <c r="A13" s="260"/>
      <c r="B13" s="260"/>
      <c r="C13" s="260"/>
      <c r="D13" s="260"/>
      <c r="I13" s="253"/>
    </row>
    <row r="14" ht="12.75">
      <c r="A14" s="154"/>
    </row>
    <row r="15" ht="12.75">
      <c r="A15" s="154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&amp;C..2./2019.(V.31.) számú rendelethez
ZALASZABAR  KÖZSÉG ÖNKORMÁNYZATÁNAK ÉS INTÉZMÉNYÉNEK  2018. ÉVI LÉTSZÁMÁNAK ALAKULÁSA&amp;R11.számú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Layout" zoomScale="80" zoomScaleSheetLayoutView="100" zoomScalePageLayoutView="80" workbookViewId="0" topLeftCell="A1">
      <selection activeCell="J65" sqref="J65"/>
    </sheetView>
  </sheetViews>
  <sheetFormatPr defaultColWidth="9.00390625" defaultRowHeight="12.75"/>
  <cols>
    <col min="1" max="1" width="76.75390625" style="156" customWidth="1"/>
    <col min="2" max="2" width="10.75390625" style="156" customWidth="1"/>
    <col min="3" max="3" width="8.125" style="156" customWidth="1"/>
    <col min="4" max="4" width="14.25390625" style="156" customWidth="1"/>
    <col min="5" max="5" width="12.75390625" style="156" customWidth="1"/>
    <col min="6" max="6" width="8.875" style="156" customWidth="1"/>
    <col min="7" max="7" width="15.75390625" style="156" customWidth="1"/>
    <col min="8" max="8" width="13.125" style="156" customWidth="1"/>
    <col min="9" max="9" width="11.625" style="156" customWidth="1"/>
    <col min="10" max="10" width="13.625" style="156" customWidth="1"/>
    <col min="11" max="11" width="10.875" style="156" customWidth="1"/>
    <col min="12" max="12" width="9.125" style="156" customWidth="1"/>
    <col min="13" max="13" width="15.125" style="156" customWidth="1"/>
    <col min="14" max="14" width="11.125" style="156" bestFit="1" customWidth="1"/>
    <col min="15" max="15" width="12.625" style="156" customWidth="1"/>
    <col min="16" max="16384" width="9.125" style="156" customWidth="1"/>
  </cols>
  <sheetData>
    <row r="1" spans="1:13" ht="15">
      <c r="A1" s="545" t="s">
        <v>43</v>
      </c>
      <c r="B1" s="547" t="s">
        <v>489</v>
      </c>
      <c r="C1" s="548"/>
      <c r="D1" s="549"/>
      <c r="E1" s="547" t="s">
        <v>490</v>
      </c>
      <c r="F1" s="548"/>
      <c r="G1" s="549"/>
      <c r="H1" s="547" t="s">
        <v>594</v>
      </c>
      <c r="I1" s="548"/>
      <c r="J1" s="549"/>
      <c r="K1" s="547" t="s">
        <v>629</v>
      </c>
      <c r="L1" s="548"/>
      <c r="M1" s="549"/>
    </row>
    <row r="2" spans="1:13" s="205" customFormat="1" ht="30">
      <c r="A2" s="546"/>
      <c r="B2" s="207" t="s">
        <v>278</v>
      </c>
      <c r="C2" s="207" t="s">
        <v>110</v>
      </c>
      <c r="D2" s="208" t="s">
        <v>279</v>
      </c>
      <c r="E2" s="207" t="s">
        <v>278</v>
      </c>
      <c r="F2" s="207" t="s">
        <v>110</v>
      </c>
      <c r="G2" s="208" t="s">
        <v>279</v>
      </c>
      <c r="H2" s="207" t="s">
        <v>278</v>
      </c>
      <c r="I2" s="207" t="s">
        <v>110</v>
      </c>
      <c r="J2" s="208" t="s">
        <v>279</v>
      </c>
      <c r="K2" s="207" t="s">
        <v>278</v>
      </c>
      <c r="L2" s="207" t="s">
        <v>110</v>
      </c>
      <c r="M2" s="208" t="s">
        <v>279</v>
      </c>
    </row>
    <row r="3" spans="1:11" ht="15">
      <c r="A3" s="209"/>
      <c r="B3" s="210"/>
      <c r="C3" s="211" t="s">
        <v>44</v>
      </c>
      <c r="D3" s="212" t="s">
        <v>456</v>
      </c>
      <c r="E3" s="210"/>
      <c r="F3" s="211" t="s">
        <v>44</v>
      </c>
      <c r="G3" s="212" t="s">
        <v>456</v>
      </c>
      <c r="H3" s="486"/>
      <c r="K3" s="486"/>
    </row>
    <row r="4" spans="1:13" ht="15">
      <c r="A4" s="362" t="s">
        <v>93</v>
      </c>
      <c r="B4" s="363"/>
      <c r="C4" s="363"/>
      <c r="D4" s="364"/>
      <c r="E4" s="363"/>
      <c r="F4" s="363"/>
      <c r="G4" s="487"/>
      <c r="H4" s="157"/>
      <c r="I4" s="504"/>
      <c r="J4" s="504"/>
      <c r="K4" s="157"/>
      <c r="L4" s="504"/>
      <c r="M4" s="504"/>
    </row>
    <row r="5" spans="1:13" ht="15">
      <c r="A5" s="200" t="s">
        <v>94</v>
      </c>
      <c r="B5" s="365"/>
      <c r="C5" s="366"/>
      <c r="D5" s="367"/>
      <c r="E5" s="365"/>
      <c r="F5" s="366"/>
      <c r="G5" s="488"/>
      <c r="H5" s="157"/>
      <c r="I5" s="504"/>
      <c r="J5" s="504"/>
      <c r="K5" s="157"/>
      <c r="L5" s="504"/>
      <c r="M5" s="504"/>
    </row>
    <row r="6" spans="1:13" ht="15">
      <c r="A6" s="200" t="s">
        <v>95</v>
      </c>
      <c r="B6" s="366"/>
      <c r="C6" s="366"/>
      <c r="D6" s="367"/>
      <c r="E6" s="366"/>
      <c r="F6" s="366"/>
      <c r="G6" s="488"/>
      <c r="H6" s="157"/>
      <c r="I6" s="504"/>
      <c r="J6" s="504"/>
      <c r="K6" s="157"/>
      <c r="L6" s="504"/>
      <c r="M6" s="504"/>
    </row>
    <row r="7" spans="1:13" ht="15">
      <c r="A7" s="200" t="s">
        <v>328</v>
      </c>
      <c r="B7" s="366"/>
      <c r="C7" s="366"/>
      <c r="D7" s="367">
        <f>D9+D11+D13+D15</f>
        <v>7120052</v>
      </c>
      <c r="E7" s="366"/>
      <c r="F7" s="366"/>
      <c r="G7" s="488">
        <f>G9+G11+G13+G15</f>
        <v>7120052</v>
      </c>
      <c r="H7" s="157"/>
      <c r="I7" s="157"/>
      <c r="J7" s="157">
        <f>J9+J11+J13+J15</f>
        <v>7120052</v>
      </c>
      <c r="K7" s="157"/>
      <c r="L7" s="157"/>
      <c r="M7" s="157">
        <f>M9+M11+M13+M15</f>
        <v>7120052</v>
      </c>
    </row>
    <row r="8" spans="1:13" ht="14.25">
      <c r="A8" s="201" t="s">
        <v>96</v>
      </c>
      <c r="B8" s="158"/>
      <c r="C8" s="159"/>
      <c r="D8" s="160">
        <v>2321430</v>
      </c>
      <c r="E8" s="158"/>
      <c r="F8" s="159"/>
      <c r="G8" s="489">
        <v>2321430</v>
      </c>
      <c r="H8" s="174"/>
      <c r="I8" s="504"/>
      <c r="J8" s="174">
        <v>2321430</v>
      </c>
      <c r="K8" s="174"/>
      <c r="L8" s="504"/>
      <c r="M8" s="174">
        <v>2321430</v>
      </c>
    </row>
    <row r="9" spans="1:13" ht="14.25">
      <c r="A9" s="201" t="s">
        <v>188</v>
      </c>
      <c r="B9" s="158"/>
      <c r="C9" s="159"/>
      <c r="D9" s="160">
        <v>2321430</v>
      </c>
      <c r="E9" s="158"/>
      <c r="F9" s="159"/>
      <c r="G9" s="489">
        <v>2321430</v>
      </c>
      <c r="H9" s="174"/>
      <c r="I9" s="504"/>
      <c r="J9" s="174">
        <v>2321430</v>
      </c>
      <c r="K9" s="174"/>
      <c r="L9" s="504"/>
      <c r="M9" s="174">
        <v>2321430</v>
      </c>
    </row>
    <row r="10" spans="1:13" ht="14.25">
      <c r="A10" s="201" t="s">
        <v>97</v>
      </c>
      <c r="B10" s="161"/>
      <c r="C10" s="161"/>
      <c r="D10" s="160">
        <v>3360000</v>
      </c>
      <c r="E10" s="161"/>
      <c r="F10" s="161"/>
      <c r="G10" s="489">
        <v>3360000</v>
      </c>
      <c r="H10" s="174"/>
      <c r="I10" s="504"/>
      <c r="J10" s="174">
        <v>3360000</v>
      </c>
      <c r="K10" s="174"/>
      <c r="L10" s="504"/>
      <c r="M10" s="174">
        <v>3360000</v>
      </c>
    </row>
    <row r="11" spans="1:13" ht="14.25">
      <c r="A11" s="201" t="s">
        <v>189</v>
      </c>
      <c r="B11" s="161"/>
      <c r="C11" s="161"/>
      <c r="D11" s="160">
        <v>3360000</v>
      </c>
      <c r="E11" s="161"/>
      <c r="F11" s="161"/>
      <c r="G11" s="489">
        <v>3360000</v>
      </c>
      <c r="H11" s="174"/>
      <c r="I11" s="504"/>
      <c r="J11" s="174">
        <v>3360000</v>
      </c>
      <c r="K11" s="174"/>
      <c r="L11" s="504"/>
      <c r="M11" s="174">
        <v>3360000</v>
      </c>
    </row>
    <row r="12" spans="1:13" ht="14.25">
      <c r="A12" s="201" t="s">
        <v>98</v>
      </c>
      <c r="B12" s="161"/>
      <c r="C12" s="161"/>
      <c r="D12" s="160">
        <v>646392</v>
      </c>
      <c r="E12" s="161"/>
      <c r="F12" s="161"/>
      <c r="G12" s="489">
        <v>646392</v>
      </c>
      <c r="H12" s="174"/>
      <c r="I12" s="504"/>
      <c r="J12" s="174">
        <v>646392</v>
      </c>
      <c r="K12" s="174"/>
      <c r="L12" s="504"/>
      <c r="M12" s="174">
        <v>646392</v>
      </c>
    </row>
    <row r="13" spans="1:13" ht="14.25">
      <c r="A13" s="201" t="s">
        <v>190</v>
      </c>
      <c r="B13" s="161"/>
      <c r="C13" s="161"/>
      <c r="D13" s="160">
        <v>646392</v>
      </c>
      <c r="E13" s="161"/>
      <c r="F13" s="161"/>
      <c r="G13" s="489">
        <v>646392</v>
      </c>
      <c r="H13" s="174"/>
      <c r="I13" s="504"/>
      <c r="J13" s="174">
        <v>646392</v>
      </c>
      <c r="K13" s="174"/>
      <c r="L13" s="504"/>
      <c r="M13" s="174">
        <v>646392</v>
      </c>
    </row>
    <row r="14" spans="1:13" ht="14.25">
      <c r="A14" s="201" t="s">
        <v>99</v>
      </c>
      <c r="B14" s="161"/>
      <c r="C14" s="161"/>
      <c r="D14" s="160">
        <v>792230</v>
      </c>
      <c r="E14" s="161"/>
      <c r="F14" s="161"/>
      <c r="G14" s="489">
        <v>792230</v>
      </c>
      <c r="H14" s="174"/>
      <c r="I14" s="504"/>
      <c r="J14" s="174">
        <v>792230</v>
      </c>
      <c r="K14" s="174"/>
      <c r="L14" s="504"/>
      <c r="M14" s="174">
        <v>792230</v>
      </c>
    </row>
    <row r="15" spans="1:13" ht="14.25">
      <c r="A15" s="201" t="s">
        <v>99</v>
      </c>
      <c r="B15" s="161"/>
      <c r="C15" s="161"/>
      <c r="D15" s="160">
        <v>792230</v>
      </c>
      <c r="E15" s="161"/>
      <c r="F15" s="161"/>
      <c r="G15" s="489">
        <v>792230</v>
      </c>
      <c r="H15" s="174"/>
      <c r="I15" s="504"/>
      <c r="J15" s="174">
        <v>792230</v>
      </c>
      <c r="K15" s="174"/>
      <c r="L15" s="504"/>
      <c r="M15" s="174">
        <v>792230</v>
      </c>
    </row>
    <row r="16" spans="1:13" ht="15">
      <c r="A16" s="200" t="s">
        <v>422</v>
      </c>
      <c r="B16" s="162"/>
      <c r="C16" s="162"/>
      <c r="D16" s="163"/>
      <c r="E16" s="162"/>
      <c r="F16" s="162"/>
      <c r="G16" s="391"/>
      <c r="H16" s="172"/>
      <c r="I16" s="504"/>
      <c r="J16" s="172"/>
      <c r="K16" s="172"/>
      <c r="L16" s="504"/>
      <c r="M16" s="172"/>
    </row>
    <row r="17" spans="1:13" ht="15">
      <c r="A17" s="200" t="s">
        <v>423</v>
      </c>
      <c r="B17" s="162"/>
      <c r="C17" s="162"/>
      <c r="D17" s="163">
        <v>5000000</v>
      </c>
      <c r="E17" s="162"/>
      <c r="F17" s="162"/>
      <c r="G17" s="391">
        <v>5000000</v>
      </c>
      <c r="H17" s="172"/>
      <c r="I17" s="504"/>
      <c r="J17" s="172">
        <v>5000000</v>
      </c>
      <c r="K17" s="172"/>
      <c r="L17" s="504"/>
      <c r="M17" s="172">
        <v>5000000</v>
      </c>
    </row>
    <row r="18" spans="1:13" ht="14.25" customHeight="1">
      <c r="A18" s="200" t="s">
        <v>426</v>
      </c>
      <c r="B18" s="162"/>
      <c r="C18" s="162"/>
      <c r="D18" s="163"/>
      <c r="E18" s="162"/>
      <c r="F18" s="162"/>
      <c r="G18" s="391"/>
      <c r="H18" s="172"/>
      <c r="I18" s="504"/>
      <c r="J18" s="172"/>
      <c r="K18" s="172"/>
      <c r="L18" s="504"/>
      <c r="M18" s="172"/>
    </row>
    <row r="19" spans="1:13" ht="14.25" customHeight="1">
      <c r="A19" s="200" t="s">
        <v>424</v>
      </c>
      <c r="B19" s="162"/>
      <c r="C19" s="162"/>
      <c r="D19" s="163">
        <v>28050</v>
      </c>
      <c r="E19" s="162"/>
      <c r="F19" s="162"/>
      <c r="G19" s="391">
        <v>40800</v>
      </c>
      <c r="H19" s="172"/>
      <c r="I19" s="504"/>
      <c r="J19" s="172">
        <v>40800</v>
      </c>
      <c r="K19" s="172"/>
      <c r="L19" s="504"/>
      <c r="M19" s="172">
        <v>40800</v>
      </c>
    </row>
    <row r="20" spans="1:13" ht="14.25" customHeight="1">
      <c r="A20" s="200" t="s">
        <v>425</v>
      </c>
      <c r="B20" s="162"/>
      <c r="C20" s="162"/>
      <c r="D20" s="163"/>
      <c r="E20" s="162"/>
      <c r="F20" s="162"/>
      <c r="G20" s="490"/>
      <c r="H20" s="505"/>
      <c r="I20" s="506"/>
      <c r="J20" s="505"/>
      <c r="K20" s="505"/>
      <c r="L20" s="506"/>
      <c r="M20" s="505"/>
    </row>
    <row r="21" spans="1:13" ht="14.25" customHeight="1">
      <c r="A21" s="200" t="s">
        <v>427</v>
      </c>
      <c r="B21" s="162"/>
      <c r="C21" s="162"/>
      <c r="D21" s="163"/>
      <c r="E21" s="162"/>
      <c r="F21" s="162"/>
      <c r="G21" s="391"/>
      <c r="H21" s="172"/>
      <c r="I21" s="504"/>
      <c r="J21" s="172"/>
      <c r="K21" s="172"/>
      <c r="L21" s="504"/>
      <c r="M21" s="172"/>
    </row>
    <row r="22" spans="1:13" ht="14.25" customHeight="1">
      <c r="A22" s="200" t="s">
        <v>428</v>
      </c>
      <c r="B22" s="162"/>
      <c r="C22" s="162"/>
      <c r="D22" s="163"/>
      <c r="E22" s="162"/>
      <c r="F22" s="162"/>
      <c r="G22" s="490"/>
      <c r="H22" s="505"/>
      <c r="I22" s="504"/>
      <c r="J22" s="505"/>
      <c r="K22" s="505"/>
      <c r="L22" s="504"/>
      <c r="M22" s="505"/>
    </row>
    <row r="23" spans="1:13" ht="14.25" customHeight="1">
      <c r="A23" s="200" t="s">
        <v>429</v>
      </c>
      <c r="B23" s="162"/>
      <c r="C23" s="162"/>
      <c r="D23" s="163">
        <v>4373317</v>
      </c>
      <c r="E23" s="162"/>
      <c r="F23" s="162"/>
      <c r="G23" s="391">
        <v>2432170</v>
      </c>
      <c r="H23" s="172"/>
      <c r="I23" s="504"/>
      <c r="J23" s="172">
        <v>2432170</v>
      </c>
      <c r="K23" s="172"/>
      <c r="L23" s="504"/>
      <c r="M23" s="172">
        <v>2432170</v>
      </c>
    </row>
    <row r="24" spans="1:13" ht="14.25" customHeight="1">
      <c r="A24" s="200" t="s">
        <v>475</v>
      </c>
      <c r="B24" s="391"/>
      <c r="C24" s="391"/>
      <c r="D24" s="163">
        <v>24130</v>
      </c>
      <c r="E24" s="391"/>
      <c r="F24" s="391"/>
      <c r="G24" s="391">
        <v>0</v>
      </c>
      <c r="H24" s="172"/>
      <c r="I24" s="504"/>
      <c r="J24" s="172">
        <v>0</v>
      </c>
      <c r="K24" s="172"/>
      <c r="L24" s="504"/>
      <c r="M24" s="172">
        <v>25010</v>
      </c>
    </row>
    <row r="25" spans="1:13" ht="14.25" customHeight="1">
      <c r="A25" s="200" t="s">
        <v>476</v>
      </c>
      <c r="B25" s="391"/>
      <c r="C25" s="391"/>
      <c r="D25" s="163"/>
      <c r="E25" s="391"/>
      <c r="F25" s="391"/>
      <c r="G25" s="391">
        <v>585200</v>
      </c>
      <c r="H25" s="172"/>
      <c r="I25" s="504"/>
      <c r="J25" s="172">
        <v>585200</v>
      </c>
      <c r="K25" s="172"/>
      <c r="L25" s="504"/>
      <c r="M25" s="172">
        <v>585200</v>
      </c>
    </row>
    <row r="26" spans="1:13" ht="15">
      <c r="A26" s="374" t="s">
        <v>100</v>
      </c>
      <c r="B26" s="375">
        <f>B5+B7+B22+B20+B18+B23</f>
        <v>0</v>
      </c>
      <c r="C26" s="375">
        <f>C5+C7+C22+C20+C18+C23</f>
        <v>0</v>
      </c>
      <c r="D26" s="375">
        <f>D7+D17+D23+D24+D19</f>
        <v>16545549</v>
      </c>
      <c r="E26" s="375">
        <f>E5+E7+E22+E20+E18+E23</f>
        <v>0</v>
      </c>
      <c r="F26" s="375">
        <f>F5+F7+F22+F20+F18+F23</f>
        <v>0</v>
      </c>
      <c r="G26" s="491">
        <f aca="true" t="shared" si="0" ref="G26:M26">G7+G17+G23+G24+G19+G25</f>
        <v>15178222</v>
      </c>
      <c r="H26" s="377">
        <f t="shared" si="0"/>
        <v>0</v>
      </c>
      <c r="I26" s="377">
        <f t="shared" si="0"/>
        <v>0</v>
      </c>
      <c r="J26" s="377">
        <f t="shared" si="0"/>
        <v>15178222</v>
      </c>
      <c r="K26" s="377">
        <f t="shared" si="0"/>
        <v>0</v>
      </c>
      <c r="L26" s="377">
        <f t="shared" si="0"/>
        <v>0</v>
      </c>
      <c r="M26" s="377">
        <f t="shared" si="0"/>
        <v>15203232</v>
      </c>
    </row>
    <row r="27" spans="1:13" ht="17.25" customHeight="1">
      <c r="A27" s="200" t="s">
        <v>101</v>
      </c>
      <c r="B27" s="366"/>
      <c r="C27" s="366"/>
      <c r="D27" s="367"/>
      <c r="E27" s="366"/>
      <c r="F27" s="366"/>
      <c r="G27" s="488"/>
      <c r="H27" s="157"/>
      <c r="I27" s="504"/>
      <c r="J27" s="504"/>
      <c r="K27" s="157"/>
      <c r="L27" s="504"/>
      <c r="M27" s="504"/>
    </row>
    <row r="28" spans="1:13" ht="14.25" customHeight="1">
      <c r="A28" s="201" t="s">
        <v>191</v>
      </c>
      <c r="B28" s="368"/>
      <c r="C28" s="369"/>
      <c r="D28" s="370">
        <v>11621740</v>
      </c>
      <c r="E28" s="368"/>
      <c r="F28" s="369"/>
      <c r="G28" s="492">
        <v>10605600</v>
      </c>
      <c r="H28" s="164"/>
      <c r="I28" s="504"/>
      <c r="J28" s="164">
        <v>10605600</v>
      </c>
      <c r="K28" s="164"/>
      <c r="L28" s="504"/>
      <c r="M28" s="164">
        <v>12959400</v>
      </c>
    </row>
    <row r="29" spans="1:13" ht="14.25" customHeight="1">
      <c r="A29" s="283" t="s">
        <v>329</v>
      </c>
      <c r="B29" s="368"/>
      <c r="C29" s="369"/>
      <c r="D29" s="370">
        <v>91680</v>
      </c>
      <c r="E29" s="368"/>
      <c r="F29" s="369"/>
      <c r="G29" s="492">
        <v>0</v>
      </c>
      <c r="H29" s="164"/>
      <c r="I29" s="504"/>
      <c r="J29" s="164">
        <v>0</v>
      </c>
      <c r="K29" s="164"/>
      <c r="L29" s="504"/>
      <c r="M29" s="164">
        <v>0</v>
      </c>
    </row>
    <row r="30" spans="1:13" ht="14.25" customHeight="1">
      <c r="A30" s="202" t="s">
        <v>192</v>
      </c>
      <c r="B30" s="161"/>
      <c r="C30" s="369"/>
      <c r="D30" s="370">
        <v>1800000</v>
      </c>
      <c r="E30" s="161"/>
      <c r="F30" s="369"/>
      <c r="G30" s="492">
        <v>2205000</v>
      </c>
      <c r="H30" s="164"/>
      <c r="I30" s="504"/>
      <c r="J30" s="164">
        <v>2205000</v>
      </c>
      <c r="K30" s="164"/>
      <c r="L30" s="504"/>
      <c r="M30" s="526">
        <v>735000</v>
      </c>
    </row>
    <row r="31" spans="1:13" ht="14.25" customHeight="1">
      <c r="A31" s="371" t="s">
        <v>102</v>
      </c>
      <c r="B31" s="372"/>
      <c r="C31" s="372"/>
      <c r="D31" s="373">
        <v>1960800</v>
      </c>
      <c r="E31" s="372"/>
      <c r="F31" s="372"/>
      <c r="G31" s="493">
        <v>1715700</v>
      </c>
      <c r="H31" s="164"/>
      <c r="I31" s="504"/>
      <c r="J31" s="164">
        <v>1715700</v>
      </c>
      <c r="K31" s="164"/>
      <c r="L31" s="504"/>
      <c r="M31" s="164">
        <f>1715700+54467+108933</f>
        <v>1879100</v>
      </c>
    </row>
    <row r="32" spans="1:15" ht="15">
      <c r="A32" s="376" t="s">
        <v>103</v>
      </c>
      <c r="B32" s="377"/>
      <c r="C32" s="377"/>
      <c r="D32" s="377">
        <f>SUM(D28:D31)</f>
        <v>15474220</v>
      </c>
      <c r="E32" s="377"/>
      <c r="F32" s="377"/>
      <c r="G32" s="494">
        <f aca="true" t="shared" si="1" ref="G32:M32">SUM(G28:G31)</f>
        <v>14526300</v>
      </c>
      <c r="H32" s="377">
        <f t="shared" si="1"/>
        <v>0</v>
      </c>
      <c r="I32" s="377">
        <f t="shared" si="1"/>
        <v>0</v>
      </c>
      <c r="J32" s="377">
        <f t="shared" si="1"/>
        <v>14526300</v>
      </c>
      <c r="K32" s="377">
        <f t="shared" si="1"/>
        <v>0</v>
      </c>
      <c r="L32" s="377">
        <f t="shared" si="1"/>
        <v>0</v>
      </c>
      <c r="M32" s="377">
        <f t="shared" si="1"/>
        <v>15573500</v>
      </c>
      <c r="O32" s="527"/>
    </row>
    <row r="33" spans="1:13" ht="15">
      <c r="A33" s="280" t="s">
        <v>104</v>
      </c>
      <c r="B33" s="281"/>
      <c r="C33" s="281"/>
      <c r="D33" s="281"/>
      <c r="E33" s="281"/>
      <c r="F33" s="281"/>
      <c r="G33" s="495"/>
      <c r="H33" s="157"/>
      <c r="I33" s="504"/>
      <c r="J33" s="504"/>
      <c r="K33" s="157"/>
      <c r="L33" s="504"/>
      <c r="M33" s="504"/>
    </row>
    <row r="34" spans="1:13" ht="14.25">
      <c r="A34" s="201" t="s">
        <v>105</v>
      </c>
      <c r="B34" s="164"/>
      <c r="C34" s="164"/>
      <c r="D34" s="164"/>
      <c r="E34" s="164"/>
      <c r="F34" s="164"/>
      <c r="G34" s="496"/>
      <c r="H34" s="164"/>
      <c r="I34" s="504"/>
      <c r="J34" s="504"/>
      <c r="K34" s="164"/>
      <c r="L34" s="504"/>
      <c r="M34" s="504"/>
    </row>
    <row r="35" spans="1:13" ht="14.25">
      <c r="A35" s="283" t="s">
        <v>455</v>
      </c>
      <c r="B35" s="164"/>
      <c r="C35" s="164"/>
      <c r="D35" s="164">
        <v>4620000</v>
      </c>
      <c r="E35" s="164"/>
      <c r="F35" s="164"/>
      <c r="G35" s="496">
        <v>4395000</v>
      </c>
      <c r="H35" s="164"/>
      <c r="I35" s="504"/>
      <c r="J35" s="164">
        <v>4395000</v>
      </c>
      <c r="K35" s="164"/>
      <c r="L35" s="504"/>
      <c r="M35" s="164">
        <v>4395000</v>
      </c>
    </row>
    <row r="36" spans="1:13" ht="14.25">
      <c r="A36" s="201" t="s">
        <v>106</v>
      </c>
      <c r="B36" s="164"/>
      <c r="C36" s="161"/>
      <c r="D36" s="161"/>
      <c r="E36" s="164"/>
      <c r="F36" s="161"/>
      <c r="G36" s="489"/>
      <c r="H36" s="174"/>
      <c r="I36" s="504"/>
      <c r="J36" s="174"/>
      <c r="K36" s="174"/>
      <c r="L36" s="504"/>
      <c r="M36" s="174"/>
    </row>
    <row r="37" spans="1:13" ht="14.25">
      <c r="A37" s="201" t="s">
        <v>108</v>
      </c>
      <c r="B37" s="165">
        <v>55360</v>
      </c>
      <c r="C37" s="167">
        <v>23</v>
      </c>
      <c r="D37" s="166">
        <v>1273280</v>
      </c>
      <c r="E37" s="165">
        <v>55360</v>
      </c>
      <c r="F37" s="167">
        <v>25</v>
      </c>
      <c r="G37" s="497">
        <v>1384000</v>
      </c>
      <c r="H37" s="165">
        <v>55360</v>
      </c>
      <c r="I37" s="167">
        <v>25</v>
      </c>
      <c r="J37" s="174">
        <v>1384000</v>
      </c>
      <c r="K37" s="165">
        <v>55360</v>
      </c>
      <c r="L37" s="167">
        <v>25</v>
      </c>
      <c r="M37" s="174">
        <v>1217920</v>
      </c>
    </row>
    <row r="38" spans="1:13" ht="14.25">
      <c r="A38" s="386" t="s">
        <v>491</v>
      </c>
      <c r="B38" s="168"/>
      <c r="C38" s="169"/>
      <c r="D38" s="166">
        <v>342570</v>
      </c>
      <c r="E38" s="168">
        <v>570</v>
      </c>
      <c r="F38" s="169">
        <v>454</v>
      </c>
      <c r="G38" s="497">
        <v>258780</v>
      </c>
      <c r="H38" s="174"/>
      <c r="I38" s="504"/>
      <c r="J38" s="174">
        <v>258780</v>
      </c>
      <c r="K38" s="174"/>
      <c r="L38" s="504"/>
      <c r="M38" s="174">
        <v>196080</v>
      </c>
    </row>
    <row r="39" spans="1:13" ht="14.25">
      <c r="A39" s="387" t="s">
        <v>457</v>
      </c>
      <c r="B39" s="168"/>
      <c r="C39" s="169"/>
      <c r="D39" s="166">
        <v>2624961</v>
      </c>
      <c r="E39" s="168"/>
      <c r="F39" s="169"/>
      <c r="G39" s="497">
        <v>2581046</v>
      </c>
      <c r="H39" s="174"/>
      <c r="I39" s="504"/>
      <c r="J39" s="174">
        <v>2581046</v>
      </c>
      <c r="K39" s="174"/>
      <c r="L39" s="504"/>
      <c r="M39" s="174">
        <v>2438046</v>
      </c>
    </row>
    <row r="40" spans="1:13" ht="14.25">
      <c r="A40" s="204"/>
      <c r="B40" s="378"/>
      <c r="C40" s="169"/>
      <c r="D40" s="166"/>
      <c r="E40" s="378"/>
      <c r="F40" s="169"/>
      <c r="G40" s="497"/>
      <c r="H40" s="174"/>
      <c r="I40" s="504"/>
      <c r="J40" s="174"/>
      <c r="K40" s="174"/>
      <c r="L40" s="504"/>
      <c r="M40" s="174"/>
    </row>
    <row r="41" spans="1:13" ht="14.25">
      <c r="A41" s="255"/>
      <c r="B41" s="170"/>
      <c r="C41" s="169"/>
      <c r="D41" s="174"/>
      <c r="E41" s="170"/>
      <c r="F41" s="169"/>
      <c r="G41" s="498"/>
      <c r="H41" s="174"/>
      <c r="I41" s="504"/>
      <c r="J41" s="174"/>
      <c r="K41" s="174"/>
      <c r="L41" s="504"/>
      <c r="M41" s="174"/>
    </row>
    <row r="42" spans="1:13" ht="15">
      <c r="A42" s="376" t="s">
        <v>107</v>
      </c>
      <c r="B42" s="379"/>
      <c r="C42" s="380"/>
      <c r="D42" s="381">
        <f>SUM(D35:D41)</f>
        <v>8860811</v>
      </c>
      <c r="E42" s="379"/>
      <c r="F42" s="380"/>
      <c r="G42" s="499">
        <f aca="true" t="shared" si="2" ref="G42:L42">SUM(G35:G41)</f>
        <v>8618826</v>
      </c>
      <c r="H42" s="381">
        <f t="shared" si="2"/>
        <v>55360</v>
      </c>
      <c r="I42" s="381">
        <f t="shared" si="2"/>
        <v>25</v>
      </c>
      <c r="J42" s="381">
        <f t="shared" si="2"/>
        <v>8618826</v>
      </c>
      <c r="K42" s="381">
        <f t="shared" si="2"/>
        <v>55360</v>
      </c>
      <c r="L42" s="381">
        <f t="shared" si="2"/>
        <v>25</v>
      </c>
      <c r="M42" s="381">
        <f>SUM(M35:M41)</f>
        <v>8247046</v>
      </c>
    </row>
    <row r="43" spans="1:13" ht="15">
      <c r="A43" s="203" t="s">
        <v>316</v>
      </c>
      <c r="B43" s="157"/>
      <c r="C43" s="171"/>
      <c r="D43" s="172">
        <v>1200000</v>
      </c>
      <c r="E43" s="157"/>
      <c r="F43" s="171"/>
      <c r="G43" s="500">
        <v>1800000</v>
      </c>
      <c r="H43" s="172"/>
      <c r="I43" s="504"/>
      <c r="J43" s="172">
        <v>1800000</v>
      </c>
      <c r="K43" s="172"/>
      <c r="L43" s="504"/>
      <c r="M43" s="172">
        <v>1800000</v>
      </c>
    </row>
    <row r="44" spans="1:13" s="256" customFormat="1" ht="15">
      <c r="A44" s="206" t="s">
        <v>109</v>
      </c>
      <c r="B44" s="263"/>
      <c r="C44" s="264"/>
      <c r="D44" s="265">
        <f>D26+D32+D42+D43</f>
        <v>42080580</v>
      </c>
      <c r="E44" s="263"/>
      <c r="F44" s="264"/>
      <c r="G44" s="501">
        <f aca="true" t="shared" si="3" ref="G44:M44">G26+G32+G42+G43</f>
        <v>40123348</v>
      </c>
      <c r="H44" s="265">
        <f t="shared" si="3"/>
        <v>55360</v>
      </c>
      <c r="I44" s="265">
        <f t="shared" si="3"/>
        <v>25</v>
      </c>
      <c r="J44" s="265">
        <f t="shared" si="3"/>
        <v>40123348</v>
      </c>
      <c r="K44" s="265">
        <f t="shared" si="3"/>
        <v>55360</v>
      </c>
      <c r="L44" s="265">
        <f t="shared" si="3"/>
        <v>25</v>
      </c>
      <c r="M44" s="265">
        <f t="shared" si="3"/>
        <v>40823778</v>
      </c>
    </row>
    <row r="45" spans="1:13" ht="14.25">
      <c r="A45" s="203" t="s">
        <v>193</v>
      </c>
      <c r="B45" s="164"/>
      <c r="C45" s="173"/>
      <c r="D45" s="164"/>
      <c r="E45" s="164"/>
      <c r="F45" s="173"/>
      <c r="G45" s="496"/>
      <c r="H45" s="164"/>
      <c r="I45" s="504"/>
      <c r="J45" s="164"/>
      <c r="K45" s="164"/>
      <c r="L45" s="504"/>
      <c r="M45" s="164"/>
    </row>
    <row r="46" spans="1:13" ht="14.25">
      <c r="A46" s="204" t="s">
        <v>194</v>
      </c>
      <c r="B46" s="164"/>
      <c r="C46" s="173"/>
      <c r="D46" s="164">
        <f>B46*C46</f>
        <v>0</v>
      </c>
      <c r="E46" s="164"/>
      <c r="F46" s="173"/>
      <c r="G46" s="496">
        <f>E46*F46</f>
        <v>0</v>
      </c>
      <c r="H46" s="164"/>
      <c r="I46" s="504"/>
      <c r="J46" s="164">
        <f>H46*I46</f>
        <v>0</v>
      </c>
      <c r="K46" s="164"/>
      <c r="L46" s="504"/>
      <c r="M46" s="164">
        <f>K46*L46</f>
        <v>0</v>
      </c>
    </row>
    <row r="47" spans="1:13" ht="15">
      <c r="A47" s="204" t="s">
        <v>195</v>
      </c>
      <c r="B47" s="157"/>
      <c r="C47" s="171"/>
      <c r="D47" s="174"/>
      <c r="E47" s="157"/>
      <c r="F47" s="171"/>
      <c r="G47" s="498"/>
      <c r="H47" s="174"/>
      <c r="I47" s="504"/>
      <c r="J47" s="174"/>
      <c r="K47" s="174"/>
      <c r="L47" s="504"/>
      <c r="M47" s="174"/>
    </row>
    <row r="48" spans="1:13" ht="15">
      <c r="A48" s="282" t="s">
        <v>193</v>
      </c>
      <c r="B48" s="263"/>
      <c r="C48" s="263"/>
      <c r="D48" s="263">
        <f>SUM(D46:D47)</f>
        <v>0</v>
      </c>
      <c r="E48" s="263"/>
      <c r="F48" s="263"/>
      <c r="G48" s="502">
        <f>SUM(G46:G47)</f>
        <v>0</v>
      </c>
      <c r="H48" s="263"/>
      <c r="I48" s="504"/>
      <c r="J48" s="263">
        <f>SUM(J46:J47)</f>
        <v>0</v>
      </c>
      <c r="K48" s="263"/>
      <c r="L48" s="504"/>
      <c r="M48" s="263">
        <f>SUM(M46:M47)</f>
        <v>0</v>
      </c>
    </row>
    <row r="49" spans="1:13" ht="15">
      <c r="A49" s="478" t="s">
        <v>592</v>
      </c>
      <c r="B49" s="263"/>
      <c r="C49" s="263"/>
      <c r="D49" s="263"/>
      <c r="E49" s="263"/>
      <c r="F49" s="263"/>
      <c r="G49" s="502"/>
      <c r="H49" s="263"/>
      <c r="I49" s="504"/>
      <c r="J49" s="263">
        <v>188465</v>
      </c>
      <c r="K49" s="263"/>
      <c r="L49" s="504"/>
      <c r="M49" s="263">
        <f>188465+86270</f>
        <v>274735</v>
      </c>
    </row>
    <row r="50" spans="1:13" ht="15">
      <c r="A50" s="255" t="s">
        <v>593</v>
      </c>
      <c r="B50" s="263"/>
      <c r="C50" s="263"/>
      <c r="D50" s="263"/>
      <c r="E50" s="263"/>
      <c r="F50" s="263"/>
      <c r="G50" s="502"/>
      <c r="H50" s="263"/>
      <c r="I50" s="504"/>
      <c r="J50" s="263">
        <v>266700</v>
      </c>
      <c r="K50" s="263"/>
      <c r="L50" s="504"/>
      <c r="M50" s="263">
        <f>266700+1200150+624000</f>
        <v>2090850</v>
      </c>
    </row>
    <row r="51" spans="1:13" ht="15">
      <c r="A51" s="203" t="s">
        <v>591</v>
      </c>
      <c r="B51" s="263"/>
      <c r="C51" s="263"/>
      <c r="D51" s="263">
        <v>0</v>
      </c>
      <c r="E51" s="263"/>
      <c r="F51" s="263"/>
      <c r="G51" s="502">
        <f aca="true" t="shared" si="4" ref="G51:M51">SUM(G49:G50)</f>
        <v>0</v>
      </c>
      <c r="H51" s="502">
        <f t="shared" si="4"/>
        <v>0</v>
      </c>
      <c r="I51" s="502">
        <f t="shared" si="4"/>
        <v>0</v>
      </c>
      <c r="J51" s="502">
        <f t="shared" si="4"/>
        <v>455165</v>
      </c>
      <c r="K51" s="502">
        <f t="shared" si="4"/>
        <v>0</v>
      </c>
      <c r="L51" s="502">
        <f t="shared" si="4"/>
        <v>0</v>
      </c>
      <c r="M51" s="502">
        <f t="shared" si="4"/>
        <v>2365585</v>
      </c>
    </row>
    <row r="52" spans="1:13" ht="15">
      <c r="A52" s="206" t="s">
        <v>196</v>
      </c>
      <c r="B52" s="213"/>
      <c r="C52" s="213"/>
      <c r="D52" s="214">
        <f>D44+D48+D51</f>
        <v>42080580</v>
      </c>
      <c r="E52" s="213"/>
      <c r="F52" s="213"/>
      <c r="G52" s="503">
        <f aca="true" t="shared" si="5" ref="G52:M52">G44+G48+G51</f>
        <v>40123348</v>
      </c>
      <c r="H52" s="214">
        <f t="shared" si="5"/>
        <v>55360</v>
      </c>
      <c r="I52" s="214">
        <f t="shared" si="5"/>
        <v>25</v>
      </c>
      <c r="J52" s="214">
        <f t="shared" si="5"/>
        <v>40578513</v>
      </c>
      <c r="K52" s="214">
        <f t="shared" si="5"/>
        <v>55360</v>
      </c>
      <c r="L52" s="214">
        <f t="shared" si="5"/>
        <v>25</v>
      </c>
      <c r="M52" s="214">
        <f t="shared" si="5"/>
        <v>43189363</v>
      </c>
    </row>
    <row r="53" ht="14.25">
      <c r="A53" s="271"/>
    </row>
  </sheetData>
  <sheetProtection/>
  <mergeCells count="5">
    <mergeCell ref="A1:A2"/>
    <mergeCell ref="B1:D1"/>
    <mergeCell ref="E1:G1"/>
    <mergeCell ref="H1:J1"/>
    <mergeCell ref="K1:M1"/>
  </mergeCells>
  <printOptions horizontalCentered="1"/>
  <pageMargins left="0.2362204724409449" right="0.2362204724409449" top="1.08" bottom="0.19" header="0.19" footer="0.19"/>
  <pageSetup fitToHeight="1" fitToWidth="1" horizontalDpi="600" verticalDpi="600" orientation="landscape" paperSize="9" scale="66" r:id="rId1"/>
  <headerFooter alignWithMargins="0">
    <oddHeader>&amp;C&amp;"Garamond,Félkövér"&amp;14 .2./2019. (V.31.) számú rendelethez 
ZALASZABAR
 KÖZSÉG ÖNKORMÁNYZATÁNAK ÁLLAMI HOZZÁJÁRULÁSA 2018. ÉVBEN 
&amp;12
&amp;14
&amp;R&amp;A
&amp;P.oldal
Forintban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55"/>
  <sheetViews>
    <sheetView view="pageLayout" zoomScaleSheetLayoutView="100" workbookViewId="0" topLeftCell="B1">
      <selection activeCell="I17" sqref="I17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3.00390625" style="0" customWidth="1"/>
    <col min="4" max="6" width="14.75390625" style="0" customWidth="1"/>
    <col min="7" max="7" width="4.625" style="0" customWidth="1"/>
    <col min="8" max="8" width="45.625" style="0" customWidth="1"/>
    <col min="9" max="9" width="16.125" style="0" customWidth="1"/>
    <col min="10" max="10" width="14.00390625" style="0" customWidth="1"/>
    <col min="11" max="12" width="15.375" style="0" customWidth="1"/>
  </cols>
  <sheetData>
    <row r="1" spans="1:12" ht="18" customHeight="1">
      <c r="A1" s="566" t="s">
        <v>11</v>
      </c>
      <c r="B1" s="568" t="s">
        <v>1</v>
      </c>
      <c r="C1" s="2" t="s">
        <v>467</v>
      </c>
      <c r="D1" s="2" t="s">
        <v>471</v>
      </c>
      <c r="E1" s="2" t="s">
        <v>471</v>
      </c>
      <c r="F1" s="2" t="s">
        <v>471</v>
      </c>
      <c r="G1" s="566" t="s">
        <v>11</v>
      </c>
      <c r="H1" s="568" t="s">
        <v>1</v>
      </c>
      <c r="I1" s="2" t="s">
        <v>492</v>
      </c>
      <c r="J1" s="2" t="s">
        <v>516</v>
      </c>
      <c r="K1" s="2" t="s">
        <v>471</v>
      </c>
      <c r="L1" s="2" t="s">
        <v>471</v>
      </c>
    </row>
    <row r="2" spans="1:12" ht="32.25" customHeight="1">
      <c r="A2" s="567"/>
      <c r="B2" s="569"/>
      <c r="C2" s="42" t="s">
        <v>50</v>
      </c>
      <c r="D2" s="42" t="s">
        <v>50</v>
      </c>
      <c r="E2" s="42" t="s">
        <v>595</v>
      </c>
      <c r="F2" s="42" t="s">
        <v>630</v>
      </c>
      <c r="G2" s="567"/>
      <c r="H2" s="569"/>
      <c r="I2" s="42" t="s">
        <v>50</v>
      </c>
      <c r="J2" s="42" t="s">
        <v>50</v>
      </c>
      <c r="K2" s="42" t="s">
        <v>595</v>
      </c>
      <c r="L2" s="42" t="s">
        <v>630</v>
      </c>
    </row>
    <row r="3" spans="1:9" ht="15" customHeight="1">
      <c r="A3" s="570" t="s">
        <v>51</v>
      </c>
      <c r="B3" s="571"/>
      <c r="C3" s="572"/>
      <c r="D3" s="411"/>
      <c r="E3" s="411"/>
      <c r="F3" s="411"/>
      <c r="G3" s="570" t="s">
        <v>20</v>
      </c>
      <c r="H3" s="571"/>
      <c r="I3" s="572"/>
    </row>
    <row r="4" spans="1:12" ht="15" customHeight="1">
      <c r="A4" s="119" t="s">
        <v>83</v>
      </c>
      <c r="B4" s="11" t="s">
        <v>77</v>
      </c>
      <c r="C4" s="3"/>
      <c r="D4" s="3"/>
      <c r="E4" s="3"/>
      <c r="F4" s="3"/>
      <c r="G4" s="114" t="s">
        <v>83</v>
      </c>
      <c r="H4" s="116" t="s">
        <v>77</v>
      </c>
      <c r="I4" s="3"/>
      <c r="J4" s="3"/>
      <c r="K4" s="3"/>
      <c r="L4" s="3"/>
    </row>
    <row r="5" spans="1:12" ht="15" customHeight="1">
      <c r="A5" s="119"/>
      <c r="B5" s="236" t="s">
        <v>434</v>
      </c>
      <c r="C5" s="237">
        <v>46651680</v>
      </c>
      <c r="D5" s="237">
        <v>43413227</v>
      </c>
      <c r="E5" s="237">
        <v>47772228</v>
      </c>
      <c r="F5" s="237">
        <v>52347219</v>
      </c>
      <c r="G5" s="118"/>
      <c r="H5" s="65" t="s">
        <v>291</v>
      </c>
      <c r="I5" s="63">
        <v>29346903</v>
      </c>
      <c r="J5" s="63">
        <v>25704670</v>
      </c>
      <c r="K5" s="63">
        <f>38155608</f>
        <v>38155608</v>
      </c>
      <c r="L5" s="63">
        <v>40102600</v>
      </c>
    </row>
    <row r="6" spans="1:12" ht="15" customHeight="1">
      <c r="A6" s="119"/>
      <c r="B6" s="238" t="s">
        <v>435</v>
      </c>
      <c r="C6" s="239">
        <v>12300000</v>
      </c>
      <c r="D6" s="239">
        <v>13300000</v>
      </c>
      <c r="E6" s="239">
        <v>13300000</v>
      </c>
      <c r="F6" s="239">
        <v>15644117</v>
      </c>
      <c r="G6" s="114"/>
      <c r="H6" s="235" t="s">
        <v>292</v>
      </c>
      <c r="I6" s="63">
        <v>4620000</v>
      </c>
      <c r="J6" s="63">
        <v>4395000</v>
      </c>
      <c r="K6" s="63">
        <v>4661700</v>
      </c>
      <c r="L6" s="63">
        <v>5297000</v>
      </c>
    </row>
    <row r="7" spans="1:12" ht="15" customHeight="1">
      <c r="A7" s="119"/>
      <c r="B7" s="236" t="s">
        <v>436</v>
      </c>
      <c r="C7" s="239">
        <v>2913000</v>
      </c>
      <c r="D7" s="239">
        <v>3301600</v>
      </c>
      <c r="E7" s="239">
        <v>3301600</v>
      </c>
      <c r="F7" s="239">
        <f>3301600+5442001-1529736</f>
        <v>7213865</v>
      </c>
      <c r="G7" s="114"/>
      <c r="H7" s="65" t="s">
        <v>293</v>
      </c>
      <c r="I7" s="63">
        <v>2200000</v>
      </c>
      <c r="J7" s="63">
        <v>2785080</v>
      </c>
      <c r="K7" s="63">
        <v>2797346</v>
      </c>
      <c r="L7" s="63">
        <v>2797346</v>
      </c>
    </row>
    <row r="8" spans="1:12" ht="15" customHeight="1">
      <c r="A8" s="119"/>
      <c r="B8" s="236" t="s">
        <v>437</v>
      </c>
      <c r="C8" s="239">
        <v>0</v>
      </c>
      <c r="D8" s="239">
        <v>0</v>
      </c>
      <c r="E8" s="239">
        <v>0</v>
      </c>
      <c r="F8" s="239">
        <v>0</v>
      </c>
      <c r="G8" s="114"/>
      <c r="H8" s="65" t="s">
        <v>294</v>
      </c>
      <c r="I8" s="63">
        <v>0</v>
      </c>
      <c r="J8" s="63">
        <v>100000</v>
      </c>
      <c r="K8" s="63">
        <v>100000</v>
      </c>
      <c r="L8" s="63">
        <v>100000</v>
      </c>
    </row>
    <row r="9" spans="1:12" ht="15" customHeight="1">
      <c r="A9" s="119"/>
      <c r="B9" s="523" t="s">
        <v>615</v>
      </c>
      <c r="C9" s="239">
        <v>0</v>
      </c>
      <c r="D9" s="239">
        <v>0</v>
      </c>
      <c r="E9" s="239">
        <v>1529736</v>
      </c>
      <c r="F9" s="239">
        <v>1529736</v>
      </c>
      <c r="G9" s="114"/>
      <c r="H9" s="65" t="s">
        <v>620</v>
      </c>
      <c r="I9" s="63"/>
      <c r="J9" s="63"/>
      <c r="K9" s="63"/>
      <c r="L9" s="63"/>
    </row>
    <row r="10" spans="1:12" ht="15" customHeight="1">
      <c r="A10" s="119"/>
      <c r="B10" s="75" t="s">
        <v>82</v>
      </c>
      <c r="C10" s="233">
        <f>SUM(C5:C9)</f>
        <v>61864680</v>
      </c>
      <c r="D10" s="233">
        <f>SUM(D5:D9)</f>
        <v>60014827</v>
      </c>
      <c r="E10" s="233">
        <f>SUM(E5:E9)</f>
        <v>65903564</v>
      </c>
      <c r="F10" s="233">
        <f>SUM(F5:F9)</f>
        <v>76734937</v>
      </c>
      <c r="G10" s="114"/>
      <c r="H10" s="65" t="s">
        <v>621</v>
      </c>
      <c r="I10" s="63">
        <v>7386927</v>
      </c>
      <c r="J10" s="63">
        <v>17377931</v>
      </c>
      <c r="K10" s="63">
        <v>15826194</v>
      </c>
      <c r="L10" s="63">
        <v>38102708</v>
      </c>
    </row>
    <row r="11" spans="1:12" ht="15" customHeight="1">
      <c r="A11" s="119"/>
      <c r="B11" s="75"/>
      <c r="C11" s="233"/>
      <c r="D11" s="233"/>
      <c r="E11" s="233"/>
      <c r="F11" s="233"/>
      <c r="G11" s="413"/>
      <c r="H11" s="11" t="s">
        <v>82</v>
      </c>
      <c r="I11" s="38">
        <f>SUM(I4:I10)</f>
        <v>43553830</v>
      </c>
      <c r="J11" s="38">
        <f>SUM(J4:J10)</f>
        <v>50362681</v>
      </c>
      <c r="K11" s="38">
        <f>SUM(K4:K10)</f>
        <v>61540848</v>
      </c>
      <c r="L11" s="38">
        <f>SUM(L4:L10)</f>
        <v>86399654</v>
      </c>
    </row>
    <row r="12" spans="1:12" ht="15" customHeight="1">
      <c r="A12" s="119"/>
      <c r="B12" s="75"/>
      <c r="C12" s="228"/>
      <c r="D12" s="228"/>
      <c r="E12" s="228"/>
      <c r="F12" s="228"/>
      <c r="G12" s="114" t="s">
        <v>84</v>
      </c>
      <c r="H12" s="75" t="s">
        <v>493</v>
      </c>
      <c r="I12" s="3"/>
      <c r="J12" s="3"/>
      <c r="K12" s="3"/>
      <c r="L12" s="3"/>
    </row>
    <row r="13" spans="1:12" ht="15" customHeight="1">
      <c r="A13" s="119" t="s">
        <v>84</v>
      </c>
      <c r="B13" s="75" t="s">
        <v>493</v>
      </c>
      <c r="C13" s="228"/>
      <c r="D13" s="228"/>
      <c r="E13" s="228"/>
      <c r="F13" s="228"/>
      <c r="G13" s="114"/>
      <c r="H13" s="65" t="s">
        <v>495</v>
      </c>
      <c r="I13" s="63">
        <v>42636912</v>
      </c>
      <c r="J13" s="63">
        <v>42266185</v>
      </c>
      <c r="K13" s="63">
        <f>42266185+108000+400000+157711+30754</f>
        <v>42962650</v>
      </c>
      <c r="L13" s="63">
        <v>43735613</v>
      </c>
    </row>
    <row r="14" spans="1:12" ht="15" customHeight="1">
      <c r="A14" s="119"/>
      <c r="B14" s="65" t="s">
        <v>494</v>
      </c>
      <c r="C14" s="232">
        <v>19716750</v>
      </c>
      <c r="D14" s="232">
        <v>19716750</v>
      </c>
      <c r="E14" s="232">
        <v>19716750</v>
      </c>
      <c r="F14" s="232">
        <v>19716750</v>
      </c>
      <c r="G14" s="114"/>
      <c r="H14" s="240" t="s">
        <v>613</v>
      </c>
      <c r="I14" s="63">
        <v>0</v>
      </c>
      <c r="J14" s="63">
        <v>0</v>
      </c>
      <c r="K14" s="63">
        <v>1529736</v>
      </c>
      <c r="L14" s="63">
        <v>1529736</v>
      </c>
    </row>
    <row r="15" spans="1:12" ht="15" customHeight="1">
      <c r="A15" s="119"/>
      <c r="B15" s="240"/>
      <c r="C15" s="232"/>
      <c r="D15" s="232"/>
      <c r="E15" s="232"/>
      <c r="F15" s="232"/>
      <c r="G15" s="114"/>
      <c r="H15" s="75" t="s">
        <v>496</v>
      </c>
      <c r="I15" s="38">
        <f>SUM(I13)</f>
        <v>42636912</v>
      </c>
      <c r="J15" s="38">
        <f>SUM(J13)</f>
        <v>42266185</v>
      </c>
      <c r="K15" s="38">
        <f>SUM(K13:K14)</f>
        <v>44492386</v>
      </c>
      <c r="L15" s="38">
        <f>SUM(L13:L14)</f>
        <v>45265349</v>
      </c>
    </row>
    <row r="16" spans="1:12" ht="15" customHeight="1">
      <c r="A16" s="119"/>
      <c r="B16" s="75" t="s">
        <v>496</v>
      </c>
      <c r="C16" s="414">
        <f>SUM(C14)</f>
        <v>19716750</v>
      </c>
      <c r="D16" s="414">
        <f>SUM(D14)</f>
        <v>19716750</v>
      </c>
      <c r="E16" s="414">
        <f>SUM(E14)</f>
        <v>19716750</v>
      </c>
      <c r="F16" s="414">
        <f>SUM(F14)</f>
        <v>19716750</v>
      </c>
      <c r="G16" s="522"/>
      <c r="H16" s="75"/>
      <c r="I16" s="38"/>
      <c r="J16" s="38"/>
      <c r="K16" s="38"/>
      <c r="L16" s="38"/>
    </row>
    <row r="17" spans="1:12" ht="15" customHeight="1">
      <c r="A17" s="429"/>
      <c r="B17" s="75"/>
      <c r="C17" s="414"/>
      <c r="D17" s="414"/>
      <c r="E17" s="414"/>
      <c r="F17" s="414"/>
      <c r="G17" s="522"/>
      <c r="H17" s="75"/>
      <c r="I17" s="38"/>
      <c r="J17" s="38"/>
      <c r="K17" s="38"/>
      <c r="L17" s="38"/>
    </row>
    <row r="18" spans="1:12" ht="15" customHeight="1">
      <c r="A18" s="429"/>
      <c r="B18" s="75"/>
      <c r="C18" s="414"/>
      <c r="D18" s="414"/>
      <c r="E18" s="414"/>
      <c r="F18" s="414"/>
      <c r="G18" s="559" t="s">
        <v>498</v>
      </c>
      <c r="H18" s="560"/>
      <c r="I18" s="38">
        <f>I11+I15</f>
        <v>86190742</v>
      </c>
      <c r="J18" s="38">
        <f>J11+J15</f>
        <v>92628866</v>
      </c>
      <c r="K18" s="38">
        <f>K11+K15</f>
        <v>106033234</v>
      </c>
      <c r="L18" s="38">
        <f>L11+L15</f>
        <v>131665003</v>
      </c>
    </row>
    <row r="19" spans="1:12" ht="15" customHeight="1">
      <c r="A19" s="561" t="s">
        <v>497</v>
      </c>
      <c r="B19" s="562"/>
      <c r="C19" s="233">
        <f>C10+C16</f>
        <v>81581430</v>
      </c>
      <c r="D19" s="233">
        <f>D10+D16</f>
        <v>79731577</v>
      </c>
      <c r="E19" s="233">
        <f>E10+E16</f>
        <v>85620314</v>
      </c>
      <c r="F19" s="233">
        <f>F10+F16</f>
        <v>96451687</v>
      </c>
      <c r="G19" s="563" t="s">
        <v>500</v>
      </c>
      <c r="H19" s="564"/>
      <c r="I19" s="63">
        <v>1487589</v>
      </c>
      <c r="J19" s="63">
        <v>1411250</v>
      </c>
      <c r="K19" s="63">
        <v>1411250</v>
      </c>
      <c r="L19" s="63">
        <v>1411250</v>
      </c>
    </row>
    <row r="20" spans="1:12" ht="15" customHeight="1">
      <c r="A20" s="559" t="s">
        <v>499</v>
      </c>
      <c r="B20" s="560"/>
      <c r="C20" s="232">
        <v>0</v>
      </c>
      <c r="D20" s="232">
        <v>0</v>
      </c>
      <c r="E20" s="232">
        <v>0</v>
      </c>
      <c r="F20" s="232">
        <v>0</v>
      </c>
      <c r="G20" s="417"/>
      <c r="H20" s="418"/>
      <c r="I20" s="63"/>
      <c r="J20" s="63"/>
      <c r="K20" s="63"/>
      <c r="L20" s="63"/>
    </row>
    <row r="21" spans="1:12" ht="15" customHeight="1">
      <c r="A21" s="415" t="s">
        <v>501</v>
      </c>
      <c r="B21" s="75" t="s">
        <v>77</v>
      </c>
      <c r="C21" s="232"/>
      <c r="D21" s="232"/>
      <c r="E21" s="507"/>
      <c r="F21" s="507"/>
      <c r="G21" s="417"/>
      <c r="H21" s="418"/>
      <c r="I21" s="63"/>
      <c r="J21" s="63"/>
      <c r="K21" s="63"/>
      <c r="L21" s="63"/>
    </row>
    <row r="22" spans="1:12" ht="15" customHeight="1">
      <c r="A22" s="415"/>
      <c r="B22" s="419" t="s">
        <v>502</v>
      </c>
      <c r="C22" s="420">
        <v>8696901</v>
      </c>
      <c r="D22" s="420">
        <v>60413118</v>
      </c>
      <c r="E22" s="420">
        <v>60413118</v>
      </c>
      <c r="F22" s="420">
        <v>60413118</v>
      </c>
      <c r="G22" s="417"/>
      <c r="H22" s="421" t="s">
        <v>504</v>
      </c>
      <c r="I22" s="63">
        <v>1487589</v>
      </c>
      <c r="J22" s="63">
        <v>1411250</v>
      </c>
      <c r="K22" s="63">
        <v>1411250</v>
      </c>
      <c r="L22" s="63">
        <v>1411250</v>
      </c>
    </row>
    <row r="23" spans="1:12" ht="15" customHeight="1">
      <c r="A23" s="415"/>
      <c r="B23" s="419" t="s">
        <v>503</v>
      </c>
      <c r="C23" s="420"/>
      <c r="D23" s="420"/>
      <c r="E23" s="508"/>
      <c r="F23" s="508"/>
      <c r="G23" s="417"/>
      <c r="H23" s="418"/>
      <c r="I23" s="63"/>
      <c r="J23" s="63"/>
      <c r="K23" s="63"/>
      <c r="L23" s="63"/>
    </row>
    <row r="24" spans="1:12" ht="15" customHeight="1">
      <c r="A24" s="415"/>
      <c r="B24" s="11" t="s">
        <v>505</v>
      </c>
      <c r="C24" s="38">
        <f>SUM(C22:C23)</f>
        <v>8696901</v>
      </c>
      <c r="D24" s="38">
        <f>SUM(D22:D23)</f>
        <v>60413118</v>
      </c>
      <c r="E24" s="38">
        <f>SUM(E22:E23)</f>
        <v>60413118</v>
      </c>
      <c r="F24" s="38">
        <f>SUM(F22:F23)</f>
        <v>60413118</v>
      </c>
      <c r="G24" s="119" t="s">
        <v>84</v>
      </c>
      <c r="H24" s="75" t="s">
        <v>493</v>
      </c>
      <c r="I24" s="63"/>
      <c r="J24" s="63"/>
      <c r="K24" s="63"/>
      <c r="L24" s="63"/>
    </row>
    <row r="25" spans="1:12" ht="15" customHeight="1">
      <c r="A25" s="119" t="s">
        <v>84</v>
      </c>
      <c r="B25" s="75" t="s">
        <v>493</v>
      </c>
      <c r="C25" s="38"/>
      <c r="D25" s="38"/>
      <c r="E25" s="38"/>
      <c r="F25" s="38"/>
      <c r="G25" s="417"/>
      <c r="H25" s="419" t="s">
        <v>614</v>
      </c>
      <c r="I25" s="63"/>
      <c r="J25" s="63"/>
      <c r="K25" s="63"/>
      <c r="L25" s="63"/>
    </row>
    <row r="26" spans="1:12" ht="15" customHeight="1">
      <c r="A26" s="415"/>
      <c r="B26" s="419" t="s">
        <v>614</v>
      </c>
      <c r="C26" s="8">
        <v>0</v>
      </c>
      <c r="D26" s="8">
        <v>0</v>
      </c>
      <c r="E26" s="8">
        <v>2037736</v>
      </c>
      <c r="F26" s="8">
        <v>2037736</v>
      </c>
      <c r="G26" s="417"/>
      <c r="H26" s="419"/>
      <c r="I26" s="63"/>
      <c r="J26" s="63"/>
      <c r="K26" s="63"/>
      <c r="L26" s="63"/>
    </row>
    <row r="27" spans="1:12" ht="15" customHeight="1">
      <c r="A27" s="415"/>
      <c r="B27" s="11" t="s">
        <v>612</v>
      </c>
      <c r="C27" s="38"/>
      <c r="D27" s="38"/>
      <c r="E27" s="38">
        <f>SUM(E26)</f>
        <v>2037736</v>
      </c>
      <c r="F27" s="38">
        <f>SUM(F26)</f>
        <v>2037736</v>
      </c>
      <c r="G27" s="565" t="s">
        <v>7</v>
      </c>
      <c r="H27" s="565" t="s">
        <v>7</v>
      </c>
      <c r="I27" s="270">
        <f>I18+I19</f>
        <v>87678331</v>
      </c>
      <c r="J27" s="270">
        <f>J18+J19</f>
        <v>94040116</v>
      </c>
      <c r="K27" s="270">
        <f>K18+K19</f>
        <v>107444484</v>
      </c>
      <c r="L27" s="270">
        <f>L18+L19</f>
        <v>133076253</v>
      </c>
    </row>
    <row r="28" spans="1:12" ht="15" customHeight="1">
      <c r="A28" s="565" t="s">
        <v>48</v>
      </c>
      <c r="B28" s="565"/>
      <c r="C28" s="270">
        <f>C19+C24</f>
        <v>90278331</v>
      </c>
      <c r="D28" s="270">
        <f>D19+D24+D27</f>
        <v>140144695</v>
      </c>
      <c r="E28" s="270">
        <f>E19+E24+E27</f>
        <v>148071168</v>
      </c>
      <c r="F28" s="270">
        <f>F19+F24+F27</f>
        <v>158902541</v>
      </c>
      <c r="G28" s="557" t="s">
        <v>89</v>
      </c>
      <c r="H28" s="558"/>
      <c r="I28" s="423"/>
      <c r="J28" s="423"/>
      <c r="K28" s="423"/>
      <c r="L28" s="423"/>
    </row>
    <row r="29" spans="1:12" ht="15" customHeight="1">
      <c r="A29" s="557" t="s">
        <v>21</v>
      </c>
      <c r="B29" s="558"/>
      <c r="C29" s="422"/>
      <c r="D29" s="422"/>
      <c r="E29" s="422"/>
      <c r="F29" s="422"/>
      <c r="G29" s="119" t="s">
        <v>83</v>
      </c>
      <c r="H29" s="116" t="s">
        <v>77</v>
      </c>
      <c r="I29" s="3"/>
      <c r="J29" s="3"/>
      <c r="K29" s="3"/>
      <c r="L29" s="3"/>
    </row>
    <row r="30" spans="1:12" ht="15" customHeight="1">
      <c r="A30" s="119" t="s">
        <v>83</v>
      </c>
      <c r="B30" s="120" t="s">
        <v>77</v>
      </c>
      <c r="C30" s="8"/>
      <c r="D30" s="8"/>
      <c r="E30" s="8"/>
      <c r="F30" s="8"/>
      <c r="G30" s="119"/>
      <c r="H30" s="65" t="s">
        <v>622</v>
      </c>
      <c r="I30" s="63">
        <v>0</v>
      </c>
      <c r="J30" s="63">
        <v>152400</v>
      </c>
      <c r="K30" s="63">
        <v>4086407</v>
      </c>
      <c r="L30" s="63">
        <v>4807387</v>
      </c>
    </row>
    <row r="31" spans="1:12" ht="15" customHeight="1">
      <c r="A31" s="117"/>
      <c r="B31" s="240" t="s">
        <v>616</v>
      </c>
      <c r="C31" s="63"/>
      <c r="D31" s="63">
        <v>43284493</v>
      </c>
      <c r="E31" s="63">
        <v>43284493</v>
      </c>
      <c r="F31" s="63">
        <v>50750046</v>
      </c>
      <c r="G31" s="119"/>
      <c r="H31" s="64" t="s">
        <v>623</v>
      </c>
      <c r="I31" s="63">
        <v>2000000</v>
      </c>
      <c r="J31" s="63">
        <v>89036672</v>
      </c>
      <c r="K31" s="63">
        <v>79497770</v>
      </c>
      <c r="L31" s="63">
        <v>81237979</v>
      </c>
    </row>
    <row r="32" spans="1:12" ht="15" customHeight="1">
      <c r="A32" s="117"/>
      <c r="B32" s="240" t="s">
        <v>617</v>
      </c>
      <c r="C32" s="63"/>
      <c r="D32" s="63"/>
      <c r="E32" s="63"/>
      <c r="F32" s="63">
        <v>10005000</v>
      </c>
      <c r="G32" s="119"/>
      <c r="H32" s="64" t="s">
        <v>624</v>
      </c>
      <c r="I32" s="63"/>
      <c r="J32" s="63"/>
      <c r="K32" s="63"/>
      <c r="L32" s="63"/>
    </row>
    <row r="33" spans="1:12" ht="15" customHeight="1">
      <c r="A33" s="117"/>
      <c r="B33" s="240" t="s">
        <v>618</v>
      </c>
      <c r="C33" s="63">
        <v>0</v>
      </c>
      <c r="D33" s="63">
        <v>0</v>
      </c>
      <c r="E33" s="63">
        <v>0</v>
      </c>
      <c r="F33" s="63">
        <v>0</v>
      </c>
      <c r="G33" s="119"/>
      <c r="H33" s="11" t="s">
        <v>82</v>
      </c>
      <c r="I33" s="416">
        <f>SUM(I30:I32)</f>
        <v>2000000</v>
      </c>
      <c r="J33" s="416">
        <f>SUM(J30:J32)</f>
        <v>89189072</v>
      </c>
      <c r="K33" s="416">
        <f>SUM(K30:K32)</f>
        <v>83584177</v>
      </c>
      <c r="L33" s="416">
        <f>SUM(L30:L32)</f>
        <v>86045366</v>
      </c>
    </row>
    <row r="34" spans="1:12" ht="15" customHeight="1">
      <c r="A34" s="117"/>
      <c r="B34" s="240" t="s">
        <v>619</v>
      </c>
      <c r="C34" s="232">
        <v>0</v>
      </c>
      <c r="D34" s="232">
        <v>0</v>
      </c>
      <c r="E34" s="232">
        <v>0</v>
      </c>
      <c r="F34" s="232">
        <v>0</v>
      </c>
      <c r="G34" s="425"/>
      <c r="H34" s="11"/>
      <c r="I34" s="426"/>
      <c r="J34" s="426"/>
      <c r="K34" s="426"/>
      <c r="L34" s="426"/>
    </row>
    <row r="35" spans="1:12" s="234" customFormat="1" ht="15.75">
      <c r="A35" s="424"/>
      <c r="B35" s="11" t="s">
        <v>82</v>
      </c>
      <c r="C35" s="416">
        <f>SUM(C31:C34)</f>
        <v>0</v>
      </c>
      <c r="D35" s="416">
        <f>SUM(D31:D34)</f>
        <v>43284493</v>
      </c>
      <c r="E35" s="416">
        <f>SUM(E31:E34)</f>
        <v>43284493</v>
      </c>
      <c r="F35" s="416">
        <f>SUM(F31:F34)</f>
        <v>60755046</v>
      </c>
      <c r="G35" s="119" t="s">
        <v>84</v>
      </c>
      <c r="H35" s="75" t="s">
        <v>493</v>
      </c>
      <c r="I35" s="63"/>
      <c r="J35" s="63"/>
      <c r="K35" s="63"/>
      <c r="L35" s="63"/>
    </row>
    <row r="36" spans="1:12" ht="15" customHeight="1">
      <c r="A36" s="119"/>
      <c r="B36" s="11"/>
      <c r="C36" s="3"/>
      <c r="D36" s="3"/>
      <c r="E36" s="3"/>
      <c r="F36" s="3"/>
      <c r="G36" s="119"/>
      <c r="H36" s="64" t="s">
        <v>625</v>
      </c>
      <c r="I36" s="3">
        <v>600000</v>
      </c>
      <c r="J36" s="3">
        <v>200000</v>
      </c>
      <c r="K36" s="3">
        <v>327000</v>
      </c>
      <c r="L36" s="3">
        <v>535968</v>
      </c>
    </row>
    <row r="37" spans="1:12" ht="15" customHeight="1">
      <c r="A37" s="117"/>
      <c r="B37" s="419"/>
      <c r="C37" s="63"/>
      <c r="D37" s="63"/>
      <c r="E37" s="63"/>
      <c r="F37" s="63"/>
      <c r="G37" s="119"/>
      <c r="H37" s="75" t="s">
        <v>496</v>
      </c>
      <c r="I37" s="416">
        <f>SUM(I36)</f>
        <v>600000</v>
      </c>
      <c r="J37" s="416">
        <f>SUM(J36)</f>
        <v>200000</v>
      </c>
      <c r="K37" s="416">
        <f>SUM(K36)</f>
        <v>327000</v>
      </c>
      <c r="L37" s="416">
        <f>SUM(L36)</f>
        <v>535968</v>
      </c>
    </row>
    <row r="38" spans="1:12" ht="15" customHeight="1">
      <c r="A38" s="117"/>
      <c r="B38" s="427"/>
      <c r="C38" s="416"/>
      <c r="D38" s="416"/>
      <c r="E38" s="416"/>
      <c r="F38" s="416"/>
      <c r="G38" s="550" t="s">
        <v>507</v>
      </c>
      <c r="H38" s="551"/>
      <c r="I38" s="428">
        <f>I33+I37</f>
        <v>2600000</v>
      </c>
      <c r="J38" s="428">
        <f>J33+J37</f>
        <v>89389072</v>
      </c>
      <c r="K38" s="428">
        <f>K33+K37</f>
        <v>83911177</v>
      </c>
      <c r="L38" s="428">
        <f>L33+L37</f>
        <v>86581334</v>
      </c>
    </row>
    <row r="39" spans="1:12" ht="15" customHeight="1">
      <c r="A39" s="550" t="s">
        <v>506</v>
      </c>
      <c r="B39" s="551"/>
      <c r="C39" s="428">
        <f>C35+C38</f>
        <v>0</v>
      </c>
      <c r="D39" s="428">
        <f>D35+D38</f>
        <v>43284493</v>
      </c>
      <c r="E39" s="428">
        <f>E35+E38</f>
        <v>43284493</v>
      </c>
      <c r="F39" s="428">
        <f>F35+F38</f>
        <v>60755046</v>
      </c>
      <c r="G39" s="559" t="s">
        <v>508</v>
      </c>
      <c r="H39" s="560"/>
      <c r="I39" s="63"/>
      <c r="J39" s="63"/>
      <c r="K39" s="63"/>
      <c r="L39" s="63"/>
    </row>
    <row r="40" spans="1:12" ht="15" customHeight="1">
      <c r="A40" s="559" t="s">
        <v>315</v>
      </c>
      <c r="B40" s="560"/>
      <c r="C40" s="38"/>
      <c r="D40" s="38"/>
      <c r="E40" s="509"/>
      <c r="F40" s="509"/>
      <c r="G40" s="415" t="s">
        <v>83</v>
      </c>
      <c r="H40" s="75" t="s">
        <v>82</v>
      </c>
      <c r="I40" s="63"/>
      <c r="J40" s="63"/>
      <c r="K40" s="63"/>
      <c r="L40" s="63"/>
    </row>
    <row r="41" spans="1:12" ht="15" customHeight="1">
      <c r="A41" s="415" t="s">
        <v>83</v>
      </c>
      <c r="B41" s="140" t="s">
        <v>77</v>
      </c>
      <c r="C41" s="38"/>
      <c r="D41" s="38"/>
      <c r="E41" s="509"/>
      <c r="F41" s="509"/>
      <c r="G41" s="429"/>
      <c r="H41" s="65" t="s">
        <v>509</v>
      </c>
      <c r="I41" s="63">
        <v>0</v>
      </c>
      <c r="J41" s="63">
        <v>0</v>
      </c>
      <c r="K41" s="63">
        <v>0</v>
      </c>
      <c r="L41" s="63">
        <v>0</v>
      </c>
    </row>
    <row r="42" spans="1:12" ht="15" customHeight="1">
      <c r="A42" s="117"/>
      <c r="B42" s="419" t="s">
        <v>502</v>
      </c>
      <c r="C42" s="420"/>
      <c r="D42" s="420"/>
      <c r="E42" s="508"/>
      <c r="F42" s="508"/>
      <c r="G42" s="429"/>
      <c r="H42" s="430" t="s">
        <v>82</v>
      </c>
      <c r="I42" s="38">
        <f>SUM(I41)</f>
        <v>0</v>
      </c>
      <c r="J42" s="38">
        <f>SUM(J41)</f>
        <v>0</v>
      </c>
      <c r="K42" s="38">
        <f>SUM(K41)</f>
        <v>0</v>
      </c>
      <c r="L42" s="38">
        <f>SUM(L41)</f>
        <v>0</v>
      </c>
    </row>
    <row r="43" spans="1:12" ht="15" customHeight="1">
      <c r="A43" s="117"/>
      <c r="B43" s="11" t="s">
        <v>505</v>
      </c>
      <c r="C43" s="38"/>
      <c r="D43" s="38"/>
      <c r="E43" s="509"/>
      <c r="F43" s="509"/>
      <c r="G43" s="429"/>
      <c r="H43" s="430"/>
      <c r="I43" s="38"/>
      <c r="J43" s="38"/>
      <c r="K43" s="38"/>
      <c r="L43" s="38"/>
    </row>
    <row r="44" spans="1:12" ht="15" customHeight="1">
      <c r="A44" s="119" t="s">
        <v>84</v>
      </c>
      <c r="B44" s="11" t="s">
        <v>493</v>
      </c>
      <c r="C44" s="3"/>
      <c r="D44" s="3"/>
      <c r="E44" s="510"/>
      <c r="F44" s="510"/>
      <c r="G44" s="429"/>
      <c r="H44" s="430"/>
      <c r="I44" s="38"/>
      <c r="J44" s="38"/>
      <c r="K44" s="38"/>
      <c r="L44" s="38"/>
    </row>
    <row r="45" spans="1:12" ht="15" customHeight="1">
      <c r="A45" s="117"/>
      <c r="B45" s="419" t="s">
        <v>510</v>
      </c>
      <c r="C45" s="63"/>
      <c r="D45" s="63"/>
      <c r="E45" s="511"/>
      <c r="F45" s="511"/>
      <c r="G45" s="429"/>
      <c r="H45" s="430"/>
      <c r="I45" s="38"/>
      <c r="J45" s="38"/>
      <c r="K45" s="38"/>
      <c r="L45" s="38"/>
    </row>
    <row r="46" spans="1:12" ht="15" customHeight="1">
      <c r="A46" s="117"/>
      <c r="B46" s="427" t="s">
        <v>511</v>
      </c>
      <c r="C46" s="416"/>
      <c r="D46" s="416"/>
      <c r="E46" s="512"/>
      <c r="F46" s="512"/>
      <c r="G46" s="429"/>
      <c r="H46" s="430"/>
      <c r="I46" s="38"/>
      <c r="J46" s="38"/>
      <c r="K46" s="38"/>
      <c r="L46" s="38"/>
    </row>
    <row r="47" spans="1:12" ht="15" customHeight="1">
      <c r="A47" s="550" t="s">
        <v>512</v>
      </c>
      <c r="B47" s="551"/>
      <c r="C47" s="428">
        <f>C43+C46</f>
        <v>0</v>
      </c>
      <c r="D47" s="428">
        <f>D43+D46</f>
        <v>0</v>
      </c>
      <c r="E47" s="428">
        <f>E43+E46</f>
        <v>0</v>
      </c>
      <c r="F47" s="428">
        <f>F43+F46</f>
        <v>0</v>
      </c>
      <c r="G47" s="552" t="s">
        <v>513</v>
      </c>
      <c r="H47" s="553"/>
      <c r="I47" s="431">
        <f>I42</f>
        <v>0</v>
      </c>
      <c r="J47" s="431">
        <f>J42</f>
        <v>0</v>
      </c>
      <c r="K47" s="431">
        <f>K42</f>
        <v>0</v>
      </c>
      <c r="L47" s="431">
        <f>L42</f>
        <v>0</v>
      </c>
    </row>
    <row r="48" spans="1:12" ht="15" customHeight="1">
      <c r="A48" s="554" t="s">
        <v>514</v>
      </c>
      <c r="B48" s="555"/>
      <c r="C48" s="384">
        <f>C39+C47</f>
        <v>0</v>
      </c>
      <c r="D48" s="384">
        <f>D39+D47</f>
        <v>43284493</v>
      </c>
      <c r="E48" s="384">
        <f>E39+E47</f>
        <v>43284493</v>
      </c>
      <c r="F48" s="384">
        <f>F39+F47</f>
        <v>60755046</v>
      </c>
      <c r="G48" s="385"/>
      <c r="H48" s="432" t="s">
        <v>515</v>
      </c>
      <c r="I48" s="433">
        <f>I38+I47</f>
        <v>2600000</v>
      </c>
      <c r="J48" s="433">
        <f>J38+J47</f>
        <v>89389072</v>
      </c>
      <c r="K48" s="433">
        <f>K38+K47</f>
        <v>83911177</v>
      </c>
      <c r="L48" s="433">
        <f>L38+L47</f>
        <v>86581334</v>
      </c>
    </row>
    <row r="49" spans="1:12" ht="15" customHeight="1">
      <c r="A49" s="556" t="s">
        <v>49</v>
      </c>
      <c r="B49" s="556"/>
      <c r="C49" s="66">
        <f>C28+C48</f>
        <v>90278331</v>
      </c>
      <c r="D49" s="66">
        <f>D28+D48</f>
        <v>183429188</v>
      </c>
      <c r="E49" s="66">
        <f>E28+E48</f>
        <v>191355661</v>
      </c>
      <c r="F49" s="66">
        <f>F28+F48</f>
        <v>219657587</v>
      </c>
      <c r="G49" s="231"/>
      <c r="H49" s="231" t="s">
        <v>290</v>
      </c>
      <c r="I49" s="66">
        <f>I27+I48</f>
        <v>90278331</v>
      </c>
      <c r="J49" s="66">
        <f>J27+J48</f>
        <v>183429188</v>
      </c>
      <c r="K49" s="66">
        <f>K27+K48</f>
        <v>191355661</v>
      </c>
      <c r="L49" s="66">
        <f>L27+L48</f>
        <v>219657587</v>
      </c>
    </row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>
      <c r="H55" s="51"/>
    </row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</sheetData>
  <sheetProtection/>
  <mergeCells count="22">
    <mergeCell ref="A1:A2"/>
    <mergeCell ref="B1:B2"/>
    <mergeCell ref="G1:G2"/>
    <mergeCell ref="H1:H2"/>
    <mergeCell ref="A3:C3"/>
    <mergeCell ref="G3:I3"/>
    <mergeCell ref="A19:B19"/>
    <mergeCell ref="G18:H18"/>
    <mergeCell ref="A20:B20"/>
    <mergeCell ref="G19:H19"/>
    <mergeCell ref="A28:B28"/>
    <mergeCell ref="G27:H27"/>
    <mergeCell ref="A47:B47"/>
    <mergeCell ref="G47:H47"/>
    <mergeCell ref="A48:B48"/>
    <mergeCell ref="A49:B49"/>
    <mergeCell ref="A29:B29"/>
    <mergeCell ref="G28:H28"/>
    <mergeCell ref="A39:B39"/>
    <mergeCell ref="G38:H38"/>
    <mergeCell ref="A40:B40"/>
    <mergeCell ref="G39:H39"/>
  </mergeCells>
  <printOptions horizontalCentered="1"/>
  <pageMargins left="0.2362204724409449" right="0.2362204724409449" top="1.0236220472440944" bottom="0.1968503937007874" header="0.2755905511811024" footer="0.1968503937007874"/>
  <pageSetup fitToHeight="1" fitToWidth="1" horizontalDpi="600" verticalDpi="600" orientation="landscape" paperSize="9" scale="67" r:id="rId1"/>
  <headerFooter alignWithMargins="0">
    <oddHeader>&amp;C&amp;"Garamond,Félkövér"&amp;12 ..2./2019. (V.31.) számú költségvetési rendelethez
ZALASZABAR KÖZSÉG  ÖNKORMÁNYZATA ÉS INTÉZMÉNYE
2018. ÉVI MŰKÖDÉSI ÉS FELHALMOZÁSI CÉLÚ BEVÉTELEI ÉS KIADÁSAI
&amp;R&amp;A
&amp;P.oldal
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09"/>
  <sheetViews>
    <sheetView view="pageLayout" zoomScaleSheetLayoutView="100" workbookViewId="0" topLeftCell="A1">
      <selection activeCell="G9" sqref="G9"/>
    </sheetView>
  </sheetViews>
  <sheetFormatPr defaultColWidth="9.00390625" defaultRowHeight="12.75"/>
  <cols>
    <col min="1" max="1" width="5.625" style="24" customWidth="1"/>
    <col min="2" max="2" width="68.375" style="24" customWidth="1"/>
    <col min="3" max="3" width="19.125" style="24" customWidth="1"/>
    <col min="4" max="4" width="17.25390625" style="24" customWidth="1"/>
    <col min="5" max="6" width="15.00390625" style="24" customWidth="1"/>
    <col min="7" max="16384" width="9.125" style="24" customWidth="1"/>
  </cols>
  <sheetData>
    <row r="1" spans="3:4" ht="12.75">
      <c r="C1" s="183"/>
      <c r="D1" s="183"/>
    </row>
    <row r="2" spans="1:6" ht="15" customHeight="1">
      <c r="A2" s="535" t="s">
        <v>15</v>
      </c>
      <c r="B2" s="536" t="s">
        <v>10</v>
      </c>
      <c r="C2" s="573" t="s">
        <v>461</v>
      </c>
      <c r="D2" s="573" t="s">
        <v>472</v>
      </c>
      <c r="E2" s="573" t="s">
        <v>594</v>
      </c>
      <c r="F2" s="573" t="s">
        <v>629</v>
      </c>
    </row>
    <row r="3" spans="1:6" ht="35.25" customHeight="1">
      <c r="A3" s="535"/>
      <c r="B3" s="536"/>
      <c r="C3" s="574"/>
      <c r="D3" s="574"/>
      <c r="E3" s="574"/>
      <c r="F3" s="574"/>
    </row>
    <row r="4" spans="1:6" ht="19.5" customHeight="1">
      <c r="A4" s="32" t="s">
        <v>83</v>
      </c>
      <c r="B4" s="72" t="s">
        <v>295</v>
      </c>
      <c r="C4" s="353"/>
      <c r="D4" s="353"/>
      <c r="E4" s="353"/>
      <c r="F4" s="353"/>
    </row>
    <row r="5" spans="1:6" ht="19.5" customHeight="1">
      <c r="A5" s="32" t="s">
        <v>29</v>
      </c>
      <c r="B5" s="72" t="s">
        <v>296</v>
      </c>
      <c r="C5" s="26"/>
      <c r="D5" s="26"/>
      <c r="E5" s="26"/>
      <c r="F5" s="26"/>
    </row>
    <row r="6" spans="1:6" ht="19.5" customHeight="1">
      <c r="A6" s="32">
        <v>1</v>
      </c>
      <c r="B6" s="72" t="s">
        <v>297</v>
      </c>
      <c r="C6" s="26"/>
      <c r="D6" s="26"/>
      <c r="E6" s="26"/>
      <c r="F6" s="26"/>
    </row>
    <row r="7" spans="1:6" ht="19.5" customHeight="1">
      <c r="A7" s="32"/>
      <c r="B7" s="128" t="s">
        <v>410</v>
      </c>
      <c r="C7" s="26"/>
      <c r="D7" s="26"/>
      <c r="E7" s="26"/>
      <c r="F7" s="26"/>
    </row>
    <row r="8" spans="1:6" ht="19.5" customHeight="1">
      <c r="A8" s="32"/>
      <c r="B8" s="252" t="s">
        <v>412</v>
      </c>
      <c r="C8" s="27">
        <v>16545549</v>
      </c>
      <c r="D8" s="27">
        <v>15178222</v>
      </c>
      <c r="E8" s="27">
        <v>15178222</v>
      </c>
      <c r="F8" s="27">
        <v>15203232</v>
      </c>
    </row>
    <row r="9" spans="1:6" ht="19.5" customHeight="1">
      <c r="A9" s="32"/>
      <c r="B9" s="245" t="s">
        <v>413</v>
      </c>
      <c r="C9" s="27">
        <v>15474220</v>
      </c>
      <c r="D9" s="27">
        <v>14526300</v>
      </c>
      <c r="E9" s="27">
        <v>14526300</v>
      </c>
      <c r="F9" s="27">
        <v>15224433</v>
      </c>
    </row>
    <row r="10" spans="1:6" ht="19.5" customHeight="1">
      <c r="A10" s="32"/>
      <c r="B10" s="245" t="s">
        <v>414</v>
      </c>
      <c r="C10" s="27">
        <v>8860811</v>
      </c>
      <c r="D10" s="27">
        <v>8618826</v>
      </c>
      <c r="E10" s="27">
        <v>8618826</v>
      </c>
      <c r="F10" s="27">
        <v>8321216</v>
      </c>
    </row>
    <row r="11" spans="1:6" ht="19.5" customHeight="1">
      <c r="A11" s="32"/>
      <c r="B11" s="245" t="s">
        <v>415</v>
      </c>
      <c r="C11" s="27">
        <v>1200000</v>
      </c>
      <c r="D11" s="27">
        <v>1800000</v>
      </c>
      <c r="E11" s="27">
        <v>1800000</v>
      </c>
      <c r="F11" s="27">
        <v>1800000</v>
      </c>
    </row>
    <row r="12" spans="1:6" ht="19.5" customHeight="1">
      <c r="A12" s="32"/>
      <c r="B12" s="245" t="s">
        <v>458</v>
      </c>
      <c r="C12" s="27"/>
      <c r="D12" s="27"/>
      <c r="E12" s="27">
        <v>455165</v>
      </c>
      <c r="F12" s="27">
        <v>2365585</v>
      </c>
    </row>
    <row r="13" spans="1:6" ht="19.5" customHeight="1">
      <c r="A13" s="395"/>
      <c r="B13" s="396" t="s">
        <v>298</v>
      </c>
      <c r="C13" s="397">
        <f>SUM(C8:C12)</f>
        <v>42080580</v>
      </c>
      <c r="D13" s="397">
        <f>SUM(D8:D12)</f>
        <v>40123348</v>
      </c>
      <c r="E13" s="397">
        <f>SUM(E8:E12)</f>
        <v>40578513</v>
      </c>
      <c r="F13" s="397">
        <f>SUM(F8:F12)</f>
        <v>42914466</v>
      </c>
    </row>
    <row r="14" spans="1:6" ht="19.5" customHeight="1">
      <c r="A14" s="242"/>
      <c r="B14" s="241" t="s">
        <v>626</v>
      </c>
      <c r="C14" s="27">
        <v>0</v>
      </c>
      <c r="D14" s="27">
        <v>0</v>
      </c>
      <c r="E14" s="27">
        <v>1529736</v>
      </c>
      <c r="F14" s="27">
        <v>1529736</v>
      </c>
    </row>
    <row r="15" spans="1:6" ht="19.5" customHeight="1">
      <c r="A15" s="242"/>
      <c r="B15" s="241" t="s">
        <v>411</v>
      </c>
      <c r="C15" s="27"/>
      <c r="D15" s="27"/>
      <c r="E15" s="27"/>
      <c r="F15" s="243">
        <f>SUM(F16:F20)</f>
        <v>7903017</v>
      </c>
    </row>
    <row r="16" spans="1:6" ht="19.5" customHeight="1">
      <c r="A16" s="32"/>
      <c r="B16" s="247" t="s">
        <v>637</v>
      </c>
      <c r="C16" s="27">
        <v>2671100</v>
      </c>
      <c r="D16" s="27">
        <v>1389879</v>
      </c>
      <c r="E16" s="27">
        <f>1389879+3903836</f>
        <v>5293715</v>
      </c>
      <c r="F16" s="27">
        <f>1389879+3903836+555379</f>
        <v>5849094</v>
      </c>
    </row>
    <row r="17" spans="1:6" ht="19.5" customHeight="1">
      <c r="A17" s="32"/>
      <c r="B17" s="247" t="s">
        <v>633</v>
      </c>
      <c r="C17" s="27">
        <v>1200000</v>
      </c>
      <c r="D17" s="27">
        <v>1200000</v>
      </c>
      <c r="E17" s="27">
        <v>1200000</v>
      </c>
      <c r="F17" s="27">
        <v>1200000</v>
      </c>
    </row>
    <row r="18" spans="1:6" ht="19.5" customHeight="1">
      <c r="A18" s="32"/>
      <c r="B18" s="247" t="s">
        <v>634</v>
      </c>
      <c r="C18" s="27">
        <v>700000</v>
      </c>
      <c r="D18" s="27">
        <v>700000</v>
      </c>
      <c r="E18" s="27">
        <v>700000</v>
      </c>
      <c r="F18" s="27">
        <v>535923</v>
      </c>
    </row>
    <row r="19" spans="1:6" ht="19.5" customHeight="1">
      <c r="A19" s="32"/>
      <c r="B19" s="246" t="s">
        <v>635</v>
      </c>
      <c r="C19" s="27"/>
      <c r="D19" s="27"/>
      <c r="E19" s="27"/>
      <c r="F19" s="27">
        <v>40000</v>
      </c>
    </row>
    <row r="20" spans="1:6" ht="19.5" customHeight="1">
      <c r="A20" s="32"/>
      <c r="B20" s="246" t="s">
        <v>636</v>
      </c>
      <c r="C20" s="27"/>
      <c r="D20" s="27"/>
      <c r="E20" s="27"/>
      <c r="F20" s="27">
        <v>278000</v>
      </c>
    </row>
    <row r="21" spans="1:6" ht="19.5" customHeight="1">
      <c r="A21" s="395"/>
      <c r="B21" s="398" t="s">
        <v>318</v>
      </c>
      <c r="C21" s="397">
        <f>SUM(C16:C18)</f>
        <v>4571100</v>
      </c>
      <c r="D21" s="397">
        <f>SUM(D16:D18)</f>
        <v>3289879</v>
      </c>
      <c r="E21" s="397">
        <f>SUM(E14:E18)</f>
        <v>8723451</v>
      </c>
      <c r="F21" s="397">
        <f>SUM(F14:F15)</f>
        <v>9432753</v>
      </c>
    </row>
    <row r="22" spans="1:6" ht="19.5" customHeight="1">
      <c r="A22" s="394"/>
      <c r="B22" s="399" t="s">
        <v>300</v>
      </c>
      <c r="C22" s="400">
        <f>C13+C21</f>
        <v>46651680</v>
      </c>
      <c r="D22" s="400">
        <f>D13+D21</f>
        <v>43413227</v>
      </c>
      <c r="E22" s="400">
        <f>E13+E21</f>
        <v>49301964</v>
      </c>
      <c r="F22" s="400">
        <f>F13+F21</f>
        <v>52347219</v>
      </c>
    </row>
    <row r="23" spans="1:6" ht="19.5" customHeight="1">
      <c r="A23" s="32">
        <v>2</v>
      </c>
      <c r="B23" s="72" t="s">
        <v>299</v>
      </c>
      <c r="C23" s="26">
        <v>0</v>
      </c>
      <c r="D23" s="26">
        <f>SUM(D24:D27)</f>
        <v>43284493</v>
      </c>
      <c r="E23" s="26">
        <f>SUM(E24:E27)</f>
        <v>43284493</v>
      </c>
      <c r="F23" s="26">
        <f>SUM(F24:F27)</f>
        <v>50750046</v>
      </c>
    </row>
    <row r="24" spans="1:6" ht="19.5" customHeight="1">
      <c r="A24" s="32"/>
      <c r="B24" s="244" t="s">
        <v>587</v>
      </c>
      <c r="C24" s="26"/>
      <c r="D24" s="243">
        <v>33498180</v>
      </c>
      <c r="E24" s="243">
        <v>33498180</v>
      </c>
      <c r="F24" s="243">
        <v>33521040</v>
      </c>
    </row>
    <row r="25" spans="1:6" ht="19.5" customHeight="1">
      <c r="A25" s="32"/>
      <c r="B25" s="244" t="s">
        <v>588</v>
      </c>
      <c r="C25" s="26"/>
      <c r="D25" s="243">
        <v>7729013</v>
      </c>
      <c r="E25" s="243">
        <v>7729013</v>
      </c>
      <c r="F25" s="243">
        <v>7729013</v>
      </c>
    </row>
    <row r="26" spans="1:6" ht="19.5" customHeight="1">
      <c r="A26" s="32"/>
      <c r="B26" s="244" t="s">
        <v>586</v>
      </c>
      <c r="C26" s="26"/>
      <c r="D26" s="243">
        <v>2057300</v>
      </c>
      <c r="E26" s="243">
        <v>2057300</v>
      </c>
      <c r="F26" s="243">
        <v>2057300</v>
      </c>
    </row>
    <row r="27" spans="1:6" ht="33.75" customHeight="1">
      <c r="A27" s="32"/>
      <c r="B27" s="529" t="s">
        <v>649</v>
      </c>
      <c r="C27" s="26"/>
      <c r="D27" s="243">
        <v>0</v>
      </c>
      <c r="E27" s="243">
        <v>0</v>
      </c>
      <c r="F27" s="243">
        <v>7442693</v>
      </c>
    </row>
    <row r="28" spans="1:6" ht="26.25" customHeight="1">
      <c r="A28" s="394"/>
      <c r="B28" s="399" t="s">
        <v>409</v>
      </c>
      <c r="C28" s="400">
        <f>SUM(C23:C23)</f>
        <v>0</v>
      </c>
      <c r="D28" s="400">
        <f>SUM(D23:D23)</f>
        <v>43284493</v>
      </c>
      <c r="E28" s="400">
        <f>SUM(E23:E23)</f>
        <v>43284493</v>
      </c>
      <c r="F28" s="400">
        <f>SUM(F23:F23)</f>
        <v>50750046</v>
      </c>
    </row>
    <row r="29" spans="1:6" ht="19.5" customHeight="1">
      <c r="A29" s="32" t="s">
        <v>4</v>
      </c>
      <c r="B29" s="72" t="s">
        <v>301</v>
      </c>
      <c r="C29" s="26"/>
      <c r="D29" s="26"/>
      <c r="E29" s="26"/>
      <c r="F29" s="26"/>
    </row>
    <row r="30" spans="1:6" ht="19.5" customHeight="1">
      <c r="A30" s="32"/>
      <c r="B30" s="246" t="s">
        <v>304</v>
      </c>
      <c r="C30" s="27">
        <v>2500000</v>
      </c>
      <c r="D30" s="27">
        <v>2500000</v>
      </c>
      <c r="E30" s="27">
        <v>2500000</v>
      </c>
      <c r="F30" s="27">
        <v>2500000</v>
      </c>
    </row>
    <row r="31" spans="1:6" ht="19.5" customHeight="1">
      <c r="A31" s="32"/>
      <c r="B31" s="246" t="s">
        <v>305</v>
      </c>
      <c r="C31" s="27">
        <v>2500000</v>
      </c>
      <c r="D31" s="27">
        <v>2500000</v>
      </c>
      <c r="E31" s="27">
        <v>2500000</v>
      </c>
      <c r="F31" s="27">
        <v>2500000</v>
      </c>
    </row>
    <row r="32" spans="1:6" ht="19.5" customHeight="1">
      <c r="A32" s="32"/>
      <c r="B32" s="247" t="s">
        <v>306</v>
      </c>
      <c r="C32" s="27"/>
      <c r="D32" s="27"/>
      <c r="E32" s="27"/>
      <c r="F32" s="27"/>
    </row>
    <row r="33" spans="1:6" ht="19.5" customHeight="1">
      <c r="A33" s="32"/>
      <c r="B33" s="244" t="s">
        <v>307</v>
      </c>
      <c r="C33" s="27">
        <v>6000000</v>
      </c>
      <c r="D33" s="27">
        <v>7000000</v>
      </c>
      <c r="E33" s="27">
        <v>7000000</v>
      </c>
      <c r="F33" s="27">
        <v>9072651</v>
      </c>
    </row>
    <row r="34" spans="1:6" ht="19.5" customHeight="1">
      <c r="A34" s="32"/>
      <c r="B34" s="76" t="s">
        <v>308</v>
      </c>
      <c r="C34" s="43">
        <v>1300000</v>
      </c>
      <c r="D34" s="43">
        <v>1300000</v>
      </c>
      <c r="E34" s="43">
        <v>1300000</v>
      </c>
      <c r="F34" s="43">
        <v>1439345</v>
      </c>
    </row>
    <row r="35" spans="1:6" ht="19.5" customHeight="1">
      <c r="A35" s="32"/>
      <c r="B35" s="76" t="s">
        <v>309</v>
      </c>
      <c r="C35" s="43"/>
      <c r="D35" s="43"/>
      <c r="E35" s="43"/>
      <c r="F35" s="43">
        <v>132121</v>
      </c>
    </row>
    <row r="36" spans="1:6" ht="19.5" customHeight="1">
      <c r="A36" s="32"/>
      <c r="B36" s="72" t="s">
        <v>90</v>
      </c>
      <c r="C36" s="26">
        <f>SUM(C30:C35)</f>
        <v>12300000</v>
      </c>
      <c r="D36" s="26">
        <f>SUM(D30:D35)</f>
        <v>13300000</v>
      </c>
      <c r="E36" s="26">
        <f>SUM(E30:E35)</f>
        <v>13300000</v>
      </c>
      <c r="F36" s="26">
        <f>SUM(F30:F35)</f>
        <v>15644117</v>
      </c>
    </row>
    <row r="37" spans="1:6" ht="19.5" customHeight="1">
      <c r="A37" s="32" t="s">
        <v>5</v>
      </c>
      <c r="B37" s="72" t="s">
        <v>302</v>
      </c>
      <c r="C37" s="26">
        <v>2913000</v>
      </c>
      <c r="D37" s="26">
        <v>3301600</v>
      </c>
      <c r="E37" s="26">
        <v>3301600</v>
      </c>
      <c r="F37" s="26">
        <v>8743601</v>
      </c>
    </row>
    <row r="38" spans="1:6" ht="19.5" customHeight="1">
      <c r="A38" s="32" t="s">
        <v>6</v>
      </c>
      <c r="B38" s="72" t="s">
        <v>416</v>
      </c>
      <c r="C38" s="26">
        <v>0</v>
      </c>
      <c r="D38" s="26">
        <v>0</v>
      </c>
      <c r="E38" s="26">
        <v>0</v>
      </c>
      <c r="F38" s="26">
        <v>10005000</v>
      </c>
    </row>
    <row r="39" spans="1:6" ht="19.5" customHeight="1">
      <c r="A39" s="32" t="s">
        <v>303</v>
      </c>
      <c r="B39" s="72" t="s">
        <v>310</v>
      </c>
      <c r="C39" s="26"/>
      <c r="D39" s="26"/>
      <c r="E39" s="26"/>
      <c r="F39" s="26"/>
    </row>
    <row r="40" spans="1:6" ht="19.5" customHeight="1">
      <c r="A40" s="25"/>
      <c r="B40" s="245" t="s">
        <v>312</v>
      </c>
      <c r="C40" s="243"/>
      <c r="D40" s="243"/>
      <c r="E40" s="243"/>
      <c r="F40" s="243"/>
    </row>
    <row r="41" spans="1:6" ht="19.5" customHeight="1">
      <c r="A41" s="32"/>
      <c r="B41" s="72" t="s">
        <v>311</v>
      </c>
      <c r="C41" s="26">
        <f>SUM(C40:C40)</f>
        <v>0</v>
      </c>
      <c r="D41" s="26">
        <f>SUM(D40:D40)</f>
        <v>0</v>
      </c>
      <c r="E41" s="26">
        <f>SUM(E40:E40)</f>
        <v>0</v>
      </c>
      <c r="F41" s="26">
        <f>SUM(F40:F40)</f>
        <v>0</v>
      </c>
    </row>
    <row r="42" spans="1:6" ht="19.5" customHeight="1">
      <c r="A42" s="177" t="s">
        <v>12</v>
      </c>
      <c r="B42" s="248" t="s">
        <v>313</v>
      </c>
      <c r="C42" s="243">
        <v>0</v>
      </c>
      <c r="D42" s="243">
        <v>0</v>
      </c>
      <c r="E42" s="243">
        <v>0</v>
      </c>
      <c r="F42" s="243">
        <v>0</v>
      </c>
    </row>
    <row r="43" spans="1:6" ht="19.5" customHeight="1">
      <c r="A43" s="30" t="s">
        <v>16</v>
      </c>
      <c r="B43" s="72" t="s">
        <v>441</v>
      </c>
      <c r="C43" s="27"/>
      <c r="D43" s="27"/>
      <c r="E43" s="27"/>
      <c r="F43" s="27"/>
    </row>
    <row r="44" spans="1:6" ht="19.5" customHeight="1">
      <c r="A44" s="30"/>
      <c r="B44" s="72" t="s">
        <v>228</v>
      </c>
      <c r="C44" s="26">
        <f>C22+C28+C36+C37+C38+C41</f>
        <v>61864680</v>
      </c>
      <c r="D44" s="26">
        <f>D22+D28+D36+D37+D38+D41</f>
        <v>103299320</v>
      </c>
      <c r="E44" s="26">
        <f>E22+E28+E36+E37+E38+E41</f>
        <v>109188057</v>
      </c>
      <c r="F44" s="26">
        <f>F22+F28+F36+F37+F38+F41</f>
        <v>137489983</v>
      </c>
    </row>
    <row r="45" spans="1:6" ht="19.5" customHeight="1">
      <c r="A45" s="30" t="s">
        <v>114</v>
      </c>
      <c r="B45" s="72" t="s">
        <v>315</v>
      </c>
      <c r="C45" s="26"/>
      <c r="D45" s="26"/>
      <c r="E45" s="26"/>
      <c r="F45" s="26"/>
    </row>
    <row r="46" spans="1:6" ht="19.5" customHeight="1">
      <c r="A46" s="30"/>
      <c r="B46" s="72" t="s">
        <v>314</v>
      </c>
      <c r="C46" s="26">
        <v>8696901</v>
      </c>
      <c r="D46" s="26">
        <v>60413118</v>
      </c>
      <c r="E46" s="26">
        <v>60413118</v>
      </c>
      <c r="F46" s="26">
        <v>60413118</v>
      </c>
    </row>
    <row r="47" spans="1:6" ht="19.5" customHeight="1">
      <c r="A47" s="185"/>
      <c r="B47" s="186" t="s">
        <v>80</v>
      </c>
      <c r="C47" s="187">
        <f>C22+C28+C36+C37+C38+C41+C46</f>
        <v>70561581</v>
      </c>
      <c r="D47" s="187">
        <f>D22+D28+D36+D37+D38+D41+D46</f>
        <v>163712438</v>
      </c>
      <c r="E47" s="187">
        <f>E22+E28+E36+E37+E38+E41+E46</f>
        <v>169601175</v>
      </c>
      <c r="F47" s="187">
        <f>F22+F28+F36+F37+F38+F41+F46</f>
        <v>197903101</v>
      </c>
    </row>
    <row r="48" spans="1:6" ht="19.5" customHeight="1">
      <c r="A48" s="30" t="s">
        <v>84</v>
      </c>
      <c r="B48" s="513" t="s">
        <v>493</v>
      </c>
      <c r="C48" s="187"/>
      <c r="D48" s="187"/>
      <c r="E48" s="187"/>
      <c r="F48" s="187"/>
    </row>
    <row r="49" spans="1:6" ht="19.5" customHeight="1">
      <c r="A49" s="30" t="s">
        <v>29</v>
      </c>
      <c r="B49" s="72" t="s">
        <v>47</v>
      </c>
      <c r="C49" s="243">
        <v>19716750</v>
      </c>
      <c r="D49" s="243">
        <v>19716750</v>
      </c>
      <c r="E49" s="243">
        <v>19716750</v>
      </c>
      <c r="F49" s="243">
        <v>19716750</v>
      </c>
    </row>
    <row r="50" spans="1:6" ht="19.5" customHeight="1">
      <c r="A50" s="30" t="s">
        <v>2</v>
      </c>
      <c r="B50" s="244" t="s">
        <v>596</v>
      </c>
      <c r="C50" s="26">
        <f>C49</f>
        <v>19716750</v>
      </c>
      <c r="D50" s="26">
        <f>D49</f>
        <v>19716750</v>
      </c>
      <c r="E50" s="26">
        <f>E49</f>
        <v>19716750</v>
      </c>
      <c r="F50" s="26">
        <f>F49</f>
        <v>19716750</v>
      </c>
    </row>
    <row r="51" spans="1:6" ht="19.5" customHeight="1">
      <c r="A51" s="30"/>
      <c r="B51" s="72" t="s">
        <v>597</v>
      </c>
      <c r="E51" s="187"/>
      <c r="F51" s="187"/>
    </row>
    <row r="52" spans="1:6" ht="19.5" customHeight="1">
      <c r="A52" s="30" t="s">
        <v>114</v>
      </c>
      <c r="B52" s="72" t="s">
        <v>314</v>
      </c>
      <c r="C52" s="243">
        <v>0</v>
      </c>
      <c r="D52" s="243"/>
      <c r="E52" s="187">
        <v>2037736</v>
      </c>
      <c r="F52" s="187">
        <v>2037736</v>
      </c>
    </row>
    <row r="53" spans="1:6" ht="19.5" customHeight="1">
      <c r="A53" s="191"/>
      <c r="B53" s="186" t="s">
        <v>598</v>
      </c>
      <c r="C53" s="514">
        <f>C52+C50</f>
        <v>19716750</v>
      </c>
      <c r="D53" s="514">
        <f>D52+D50</f>
        <v>19716750</v>
      </c>
      <c r="E53" s="514">
        <f>E52+E50</f>
        <v>21754486</v>
      </c>
      <c r="F53" s="514">
        <f>F52+F50</f>
        <v>21754486</v>
      </c>
    </row>
    <row r="54" spans="1:6" ht="19.5" customHeight="1">
      <c r="A54" s="185"/>
      <c r="B54" s="186"/>
      <c r="C54" s="514"/>
      <c r="D54" s="187"/>
      <c r="E54" s="187"/>
      <c r="F54" s="187"/>
    </row>
    <row r="55" spans="1:6" ht="19.5" customHeight="1">
      <c r="A55" s="185"/>
      <c r="B55" s="186" t="s">
        <v>81</v>
      </c>
      <c r="C55" s="187">
        <f>C47+C53</f>
        <v>90278331</v>
      </c>
      <c r="D55" s="187">
        <f>D47+D53</f>
        <v>183429188</v>
      </c>
      <c r="E55" s="187">
        <f>E47+E53</f>
        <v>191355661</v>
      </c>
      <c r="F55" s="187">
        <f>F47+F53</f>
        <v>219657587</v>
      </c>
    </row>
    <row r="56" spans="1:4" ht="14.25">
      <c r="A56" s="29"/>
      <c r="B56" s="29"/>
      <c r="C56" s="29"/>
      <c r="D56" s="29"/>
    </row>
    <row r="57" spans="1:4" ht="14.25">
      <c r="A57" s="29"/>
      <c r="B57" s="29"/>
      <c r="C57" s="29"/>
      <c r="D57" s="29"/>
    </row>
    <row r="58" spans="1:4" ht="14.25">
      <c r="A58" s="29"/>
      <c r="B58" s="29"/>
      <c r="C58" s="29"/>
      <c r="D58" s="29"/>
    </row>
    <row r="59" spans="1:4" ht="14.25">
      <c r="A59" s="29"/>
      <c r="B59" s="29"/>
      <c r="C59" s="29"/>
      <c r="D59" s="29"/>
    </row>
    <row r="60" spans="1:4" ht="14.25">
      <c r="A60" s="29"/>
      <c r="B60" s="29"/>
      <c r="C60" s="29"/>
      <c r="D60" s="29"/>
    </row>
    <row r="61" spans="1:4" ht="18" customHeight="1">
      <c r="A61" s="29"/>
      <c r="B61" s="29"/>
      <c r="C61" s="29"/>
      <c r="D61" s="29"/>
    </row>
    <row r="62" spans="1:4" ht="14.25">
      <c r="A62" s="29"/>
      <c r="B62" s="29"/>
      <c r="C62" s="29"/>
      <c r="D62" s="29"/>
    </row>
    <row r="63" spans="1:4" ht="14.25">
      <c r="A63" s="29"/>
      <c r="B63" s="29"/>
      <c r="C63" s="29"/>
      <c r="D63" s="29"/>
    </row>
    <row r="64" spans="1:4" ht="13.5" customHeight="1">
      <c r="A64" s="29"/>
      <c r="B64" s="29"/>
      <c r="C64" s="29"/>
      <c r="D64" s="29"/>
    </row>
    <row r="65" spans="1:4" ht="14.25">
      <c r="A65" s="29"/>
      <c r="B65" s="29"/>
      <c r="C65" s="29"/>
      <c r="D65" s="29"/>
    </row>
    <row r="66" spans="1:4" ht="14.25">
      <c r="A66" s="29"/>
      <c r="B66" s="29"/>
      <c r="C66" s="29"/>
      <c r="D66" s="29"/>
    </row>
    <row r="67" spans="1:4" ht="14.25">
      <c r="A67" s="29"/>
      <c r="B67" s="29"/>
      <c r="C67" s="29"/>
      <c r="D67" s="29"/>
    </row>
    <row r="68" spans="1:4" ht="14.25">
      <c r="A68" s="29"/>
      <c r="B68" s="29"/>
      <c r="C68" s="29"/>
      <c r="D68" s="29"/>
    </row>
    <row r="69" spans="1:4" ht="14.25">
      <c r="A69" s="29"/>
      <c r="B69" s="29"/>
      <c r="C69" s="29"/>
      <c r="D69" s="29"/>
    </row>
    <row r="70" spans="1:4" ht="14.25">
      <c r="A70" s="29"/>
      <c r="B70" s="29"/>
      <c r="C70" s="29"/>
      <c r="D70" s="29"/>
    </row>
    <row r="71" spans="1:4" ht="14.25">
      <c r="A71" s="29"/>
      <c r="B71" s="29"/>
      <c r="C71" s="29"/>
      <c r="D71" s="29"/>
    </row>
    <row r="72" spans="1:4" ht="14.25">
      <c r="A72" s="29"/>
      <c r="B72" s="29"/>
      <c r="C72" s="29"/>
      <c r="D72" s="29"/>
    </row>
    <row r="73" spans="1:4" ht="14.25">
      <c r="A73" s="29"/>
      <c r="B73" s="29"/>
      <c r="C73" s="29"/>
      <c r="D73" s="29"/>
    </row>
    <row r="74" spans="1:4" ht="14.25">
      <c r="A74" s="29"/>
      <c r="B74" s="29"/>
      <c r="C74" s="29"/>
      <c r="D74" s="29"/>
    </row>
    <row r="75" spans="1:4" ht="14.25">
      <c r="A75" s="29"/>
      <c r="B75" s="29"/>
      <c r="C75" s="29"/>
      <c r="D75" s="29"/>
    </row>
    <row r="76" spans="1:4" ht="18" customHeight="1">
      <c r="A76" s="29"/>
      <c r="B76" s="29"/>
      <c r="C76" s="29"/>
      <c r="D76" s="29"/>
    </row>
    <row r="77" spans="1:4" ht="12.75" customHeight="1">
      <c r="A77" s="29"/>
      <c r="B77" s="29"/>
      <c r="C77" s="29"/>
      <c r="D77" s="29"/>
    </row>
    <row r="78" spans="1:4" ht="14.25">
      <c r="A78" s="29"/>
      <c r="B78" s="29"/>
      <c r="C78" s="29"/>
      <c r="D78" s="29"/>
    </row>
    <row r="79" spans="1:4" ht="14.25">
      <c r="A79" s="29"/>
      <c r="B79" s="29"/>
      <c r="C79" s="29"/>
      <c r="D79" s="29"/>
    </row>
    <row r="80" spans="1:4" ht="15" customHeight="1">
      <c r="A80" s="29"/>
      <c r="B80" s="29"/>
      <c r="C80" s="29"/>
      <c r="D80" s="29"/>
    </row>
    <row r="81" spans="1:4" ht="14.25">
      <c r="A81" s="29"/>
      <c r="B81" s="29"/>
      <c r="C81" s="29"/>
      <c r="D81" s="29"/>
    </row>
    <row r="82" spans="1:4" ht="14.25">
      <c r="A82" s="29"/>
      <c r="B82" s="29"/>
      <c r="C82" s="29"/>
      <c r="D82" s="29"/>
    </row>
    <row r="83" spans="1:4" ht="14.25">
      <c r="A83" s="29"/>
      <c r="B83" s="29"/>
      <c r="C83" s="29"/>
      <c r="D83" s="29"/>
    </row>
    <row r="84" spans="1:4" ht="14.25">
      <c r="A84" s="29"/>
      <c r="B84" s="29"/>
      <c r="C84" s="29"/>
      <c r="D84" s="29"/>
    </row>
    <row r="85" spans="1:4" ht="14.25">
      <c r="A85" s="29"/>
      <c r="B85" s="29"/>
      <c r="C85" s="29"/>
      <c r="D85" s="29"/>
    </row>
    <row r="86" spans="1:4" ht="14.25">
      <c r="A86" s="29"/>
      <c r="B86" s="29"/>
      <c r="C86" s="29"/>
      <c r="D86" s="29"/>
    </row>
    <row r="87" spans="1:4" ht="14.25">
      <c r="A87" s="29"/>
      <c r="B87" s="29"/>
      <c r="C87" s="29"/>
      <c r="D87" s="29"/>
    </row>
    <row r="88" spans="1:4" ht="14.25">
      <c r="A88" s="29"/>
      <c r="B88" s="29"/>
      <c r="C88" s="29"/>
      <c r="D88" s="29"/>
    </row>
    <row r="89" spans="1:4" ht="14.25">
      <c r="A89" s="29"/>
      <c r="B89" s="29"/>
      <c r="C89" s="29"/>
      <c r="D89" s="29"/>
    </row>
    <row r="90" spans="1:4" ht="14.25">
      <c r="A90" s="29"/>
      <c r="B90" s="29"/>
      <c r="C90" s="29"/>
      <c r="D90" s="29"/>
    </row>
    <row r="91" spans="1:4" ht="14.25">
      <c r="A91" s="29"/>
      <c r="B91" s="29"/>
      <c r="C91" s="29"/>
      <c r="D91" s="29"/>
    </row>
    <row r="92" spans="1:4" ht="14.25">
      <c r="A92" s="29"/>
      <c r="B92" s="29"/>
      <c r="C92" s="29"/>
      <c r="D92" s="29"/>
    </row>
    <row r="93" spans="1:4" ht="14.25">
      <c r="A93" s="29"/>
      <c r="B93" s="29"/>
      <c r="C93" s="29"/>
      <c r="D93" s="29"/>
    </row>
    <row r="94" spans="1:4" ht="14.25">
      <c r="A94" s="29"/>
      <c r="B94" s="29"/>
      <c r="C94" s="29"/>
      <c r="D94" s="29"/>
    </row>
    <row r="95" spans="1:4" ht="14.25">
      <c r="A95" s="29"/>
      <c r="B95" s="29"/>
      <c r="C95" s="29"/>
      <c r="D95" s="29"/>
    </row>
    <row r="96" spans="1:4" ht="14.25">
      <c r="A96" s="29"/>
      <c r="B96" s="29"/>
      <c r="C96" s="29"/>
      <c r="D96" s="29"/>
    </row>
    <row r="97" spans="1:4" ht="14.25">
      <c r="A97" s="29"/>
      <c r="B97" s="29"/>
      <c r="C97" s="29"/>
      <c r="D97" s="29"/>
    </row>
    <row r="98" spans="1:4" ht="14.25">
      <c r="A98" s="29"/>
      <c r="B98" s="29"/>
      <c r="C98" s="29"/>
      <c r="D98" s="29"/>
    </row>
    <row r="99" spans="1:4" ht="14.25">
      <c r="A99" s="29"/>
      <c r="B99" s="29"/>
      <c r="C99" s="29"/>
      <c r="D99" s="29"/>
    </row>
    <row r="100" spans="1:4" ht="14.25">
      <c r="A100" s="29"/>
      <c r="B100" s="29"/>
      <c r="C100" s="29"/>
      <c r="D100" s="29"/>
    </row>
    <row r="101" spans="1:4" ht="14.25">
      <c r="A101" s="29"/>
      <c r="B101" s="29"/>
      <c r="C101" s="29"/>
      <c r="D101" s="29"/>
    </row>
    <row r="102" spans="1:4" ht="14.25">
      <c r="A102" s="29"/>
      <c r="B102" s="29"/>
      <c r="C102" s="29"/>
      <c r="D102" s="29"/>
    </row>
    <row r="103" spans="1:4" ht="14.25">
      <c r="A103" s="29"/>
      <c r="B103" s="29"/>
      <c r="C103" s="29"/>
      <c r="D103" s="29"/>
    </row>
    <row r="104" spans="1:4" ht="14.25">
      <c r="A104" s="29"/>
      <c r="B104" s="29"/>
      <c r="C104" s="29"/>
      <c r="D104" s="29"/>
    </row>
    <row r="105" spans="1:4" ht="14.25">
      <c r="A105" s="29"/>
      <c r="B105" s="29"/>
      <c r="C105" s="29"/>
      <c r="D105" s="29"/>
    </row>
    <row r="106" spans="1:4" ht="14.25">
      <c r="A106" s="29"/>
      <c r="B106" s="29"/>
      <c r="C106" s="29"/>
      <c r="D106" s="29"/>
    </row>
    <row r="107" spans="1:4" ht="14.25">
      <c r="A107" s="29"/>
      <c r="B107" s="29"/>
      <c r="C107" s="29"/>
      <c r="D107" s="29"/>
    </row>
    <row r="108" spans="1:4" ht="14.25">
      <c r="A108" s="29"/>
      <c r="B108" s="29"/>
      <c r="C108" s="29"/>
      <c r="D108" s="29"/>
    </row>
    <row r="109" spans="1:4" ht="14.25">
      <c r="A109" s="29"/>
      <c r="B109" s="29"/>
      <c r="C109" s="29"/>
      <c r="D109" s="29"/>
    </row>
    <row r="110" spans="1:4" ht="14.25">
      <c r="A110" s="29"/>
      <c r="B110" s="29"/>
      <c r="C110" s="29"/>
      <c r="D110" s="29"/>
    </row>
    <row r="111" spans="1:4" ht="14.25">
      <c r="A111" s="29"/>
      <c r="B111" s="29"/>
      <c r="C111" s="29"/>
      <c r="D111" s="29"/>
    </row>
    <row r="112" spans="1:4" ht="14.25">
      <c r="A112" s="29"/>
      <c r="B112" s="29"/>
      <c r="C112" s="29"/>
      <c r="D112" s="29"/>
    </row>
    <row r="113" spans="1:4" ht="14.25">
      <c r="A113" s="29"/>
      <c r="B113" s="29"/>
      <c r="C113" s="29"/>
      <c r="D113" s="29"/>
    </row>
    <row r="114" spans="1:4" ht="14.25">
      <c r="A114" s="29"/>
      <c r="B114" s="29"/>
      <c r="C114" s="29"/>
      <c r="D114" s="29"/>
    </row>
    <row r="115" spans="1:4" ht="14.25">
      <c r="A115" s="29"/>
      <c r="B115" s="29"/>
      <c r="C115" s="29"/>
      <c r="D115" s="29"/>
    </row>
    <row r="116" spans="1:4" ht="14.25">
      <c r="A116" s="29"/>
      <c r="B116" s="29"/>
      <c r="C116" s="29"/>
      <c r="D116" s="29"/>
    </row>
    <row r="117" spans="1:4" ht="14.25">
      <c r="A117" s="29"/>
      <c r="B117" s="29"/>
      <c r="C117" s="29"/>
      <c r="D117" s="29"/>
    </row>
    <row r="118" spans="1:4" ht="14.25">
      <c r="A118" s="29"/>
      <c r="B118" s="29"/>
      <c r="C118" s="29"/>
      <c r="D118" s="29"/>
    </row>
    <row r="119" spans="1:4" ht="14.25">
      <c r="A119" s="29"/>
      <c r="B119" s="29"/>
      <c r="C119" s="29"/>
      <c r="D119" s="29"/>
    </row>
    <row r="120" spans="1:4" ht="14.25">
      <c r="A120" s="29"/>
      <c r="B120" s="29"/>
      <c r="C120" s="29"/>
      <c r="D120" s="29"/>
    </row>
    <row r="121" spans="1:4" ht="14.25">
      <c r="A121" s="29"/>
      <c r="B121" s="29"/>
      <c r="C121" s="29"/>
      <c r="D121" s="29"/>
    </row>
    <row r="122" spans="1:4" ht="14.25">
      <c r="A122" s="29"/>
      <c r="B122" s="29"/>
      <c r="C122" s="29"/>
      <c r="D122" s="29"/>
    </row>
    <row r="123" spans="1:4" ht="14.25">
      <c r="A123" s="29"/>
      <c r="B123" s="29"/>
      <c r="C123" s="29"/>
      <c r="D123" s="29"/>
    </row>
    <row r="124" spans="1:4" ht="14.25">
      <c r="A124" s="29"/>
      <c r="B124" s="29"/>
      <c r="C124" s="29"/>
      <c r="D124" s="29"/>
    </row>
    <row r="125" spans="1:4" ht="14.25">
      <c r="A125" s="29"/>
      <c r="B125" s="29"/>
      <c r="C125" s="29"/>
      <c r="D125" s="29"/>
    </row>
    <row r="126" spans="1:4" ht="14.25">
      <c r="A126" s="29"/>
      <c r="B126" s="29"/>
      <c r="C126" s="29"/>
      <c r="D126" s="29"/>
    </row>
    <row r="127" spans="1:4" ht="14.25">
      <c r="A127" s="29"/>
      <c r="B127" s="29"/>
      <c r="C127" s="29"/>
      <c r="D127" s="29"/>
    </row>
    <row r="128" spans="1:4" ht="14.25">
      <c r="A128" s="29"/>
      <c r="B128" s="29"/>
      <c r="C128" s="29"/>
      <c r="D128" s="29"/>
    </row>
    <row r="129" spans="1:4" ht="14.25">
      <c r="A129" s="29"/>
      <c r="B129" s="29"/>
      <c r="C129" s="29"/>
      <c r="D129" s="29"/>
    </row>
    <row r="130" spans="1:4" ht="14.25">
      <c r="A130" s="29"/>
      <c r="B130" s="29"/>
      <c r="C130" s="29"/>
      <c r="D130" s="29"/>
    </row>
    <row r="131" spans="1:4" ht="14.25">
      <c r="A131" s="29"/>
      <c r="B131" s="29"/>
      <c r="C131" s="29"/>
      <c r="D131" s="29"/>
    </row>
    <row r="132" spans="1:4" ht="14.25">
      <c r="A132" s="29"/>
      <c r="B132" s="29"/>
      <c r="C132" s="29"/>
      <c r="D132" s="29"/>
    </row>
    <row r="133" spans="1:4" ht="14.25">
      <c r="A133" s="29"/>
      <c r="B133" s="29"/>
      <c r="C133" s="29"/>
      <c r="D133" s="29"/>
    </row>
    <row r="134" spans="1:4" ht="14.25">
      <c r="A134" s="29"/>
      <c r="B134" s="29"/>
      <c r="C134" s="29"/>
      <c r="D134" s="29"/>
    </row>
    <row r="135" spans="1:4" ht="14.25">
      <c r="A135" s="29"/>
      <c r="B135" s="29"/>
      <c r="C135" s="29"/>
      <c r="D135" s="29"/>
    </row>
    <row r="136" spans="1:4" ht="14.25">
      <c r="A136" s="29"/>
      <c r="B136" s="29"/>
      <c r="C136" s="29"/>
      <c r="D136" s="29"/>
    </row>
    <row r="137" spans="1:4" ht="14.25">
      <c r="A137" s="29"/>
      <c r="B137" s="29"/>
      <c r="C137" s="29"/>
      <c r="D137" s="29"/>
    </row>
    <row r="138" spans="1:4" ht="14.25">
      <c r="A138" s="29"/>
      <c r="B138" s="29"/>
      <c r="C138" s="29"/>
      <c r="D138" s="29"/>
    </row>
    <row r="139" spans="1:4" ht="14.25">
      <c r="A139" s="29"/>
      <c r="B139" s="29"/>
      <c r="C139" s="29"/>
      <c r="D139" s="29"/>
    </row>
    <row r="140" spans="1:4" ht="14.25">
      <c r="A140" s="29"/>
      <c r="B140" s="29"/>
      <c r="C140" s="29"/>
      <c r="D140" s="29"/>
    </row>
    <row r="141" spans="1:4" ht="14.25">
      <c r="A141" s="29"/>
      <c r="B141" s="29"/>
      <c r="C141" s="29"/>
      <c r="D141" s="29"/>
    </row>
    <row r="142" spans="1:4" ht="14.25">
      <c r="A142" s="29"/>
      <c r="B142" s="29"/>
      <c r="C142" s="29"/>
      <c r="D142" s="29"/>
    </row>
    <row r="143" spans="1:4" ht="14.25">
      <c r="A143" s="29"/>
      <c r="B143" s="29"/>
      <c r="C143" s="29"/>
      <c r="D143" s="29"/>
    </row>
    <row r="144" spans="1:4" ht="14.25">
      <c r="A144" s="29"/>
      <c r="B144" s="29"/>
      <c r="C144" s="29"/>
      <c r="D144" s="29"/>
    </row>
    <row r="145" spans="1:4" ht="14.25">
      <c r="A145" s="29"/>
      <c r="B145" s="29"/>
      <c r="C145" s="29"/>
      <c r="D145" s="29"/>
    </row>
    <row r="146" spans="1:4" ht="14.25">
      <c r="A146" s="29"/>
      <c r="B146" s="29"/>
      <c r="C146" s="29"/>
      <c r="D146" s="29"/>
    </row>
    <row r="147" spans="1:4" ht="14.25">
      <c r="A147" s="29"/>
      <c r="B147" s="29"/>
      <c r="C147" s="29"/>
      <c r="D147" s="29"/>
    </row>
    <row r="148" spans="1:4" ht="14.25">
      <c r="A148" s="29"/>
      <c r="B148" s="29"/>
      <c r="C148" s="29"/>
      <c r="D148" s="29"/>
    </row>
    <row r="149" spans="1:4" ht="14.25">
      <c r="A149" s="29"/>
      <c r="B149" s="29"/>
      <c r="C149" s="29"/>
      <c r="D149" s="29"/>
    </row>
    <row r="150" spans="1:4" ht="14.25">
      <c r="A150" s="29"/>
      <c r="B150" s="29"/>
      <c r="C150" s="29"/>
      <c r="D150" s="29"/>
    </row>
    <row r="151" spans="1:4" ht="14.25">
      <c r="A151" s="29"/>
      <c r="B151" s="29"/>
      <c r="C151" s="29"/>
      <c r="D151" s="29"/>
    </row>
    <row r="152" spans="1:4" ht="14.25">
      <c r="A152" s="29"/>
      <c r="B152" s="29"/>
      <c r="C152" s="29"/>
      <c r="D152" s="29"/>
    </row>
    <row r="153" spans="1:4" ht="14.25">
      <c r="A153" s="29"/>
      <c r="B153" s="29"/>
      <c r="C153" s="29"/>
      <c r="D153" s="29"/>
    </row>
    <row r="154" spans="1:4" ht="14.25">
      <c r="A154" s="29"/>
      <c r="B154" s="29"/>
      <c r="C154" s="29"/>
      <c r="D154" s="29"/>
    </row>
    <row r="155" spans="1:4" ht="14.25">
      <c r="A155" s="29"/>
      <c r="B155" s="29"/>
      <c r="C155" s="29"/>
      <c r="D155" s="29"/>
    </row>
    <row r="156" spans="1:4" ht="14.25">
      <c r="A156" s="29"/>
      <c r="B156" s="29"/>
      <c r="C156" s="29"/>
      <c r="D156" s="29"/>
    </row>
    <row r="157" spans="1:4" ht="14.25">
      <c r="A157" s="29"/>
      <c r="B157" s="29"/>
      <c r="C157" s="29"/>
      <c r="D157" s="29"/>
    </row>
    <row r="158" spans="1:4" ht="14.25">
      <c r="A158" s="29"/>
      <c r="B158" s="29"/>
      <c r="C158" s="29"/>
      <c r="D158" s="29"/>
    </row>
    <row r="159" spans="1:4" ht="14.25">
      <c r="A159" s="29"/>
      <c r="B159" s="29"/>
      <c r="C159" s="29"/>
      <c r="D159" s="29"/>
    </row>
    <row r="160" spans="1:4" ht="14.25">
      <c r="A160" s="29"/>
      <c r="B160" s="29"/>
      <c r="C160" s="29"/>
      <c r="D160" s="29"/>
    </row>
    <row r="161" spans="1:4" ht="14.25">
      <c r="A161" s="29"/>
      <c r="B161" s="29"/>
      <c r="C161" s="29"/>
      <c r="D161" s="29"/>
    </row>
    <row r="162" spans="1:4" ht="14.25">
      <c r="A162" s="29"/>
      <c r="B162" s="29"/>
      <c r="C162" s="29"/>
      <c r="D162" s="29"/>
    </row>
    <row r="163" spans="1:4" ht="14.25">
      <c r="A163" s="29"/>
      <c r="B163" s="29"/>
      <c r="C163" s="29"/>
      <c r="D163" s="29"/>
    </row>
    <row r="164" spans="1:4" ht="14.25">
      <c r="A164" s="29"/>
      <c r="B164" s="29"/>
      <c r="C164" s="29"/>
      <c r="D164" s="29"/>
    </row>
    <row r="165" spans="1:4" ht="14.25">
      <c r="A165" s="29"/>
      <c r="B165" s="29"/>
      <c r="C165" s="29"/>
      <c r="D165" s="29"/>
    </row>
    <row r="166" spans="1:4" ht="14.25">
      <c r="A166" s="29"/>
      <c r="B166" s="29"/>
      <c r="C166" s="29"/>
      <c r="D166" s="29"/>
    </row>
    <row r="167" spans="1:4" ht="14.25">
      <c r="A167" s="29"/>
      <c r="B167" s="29"/>
      <c r="C167" s="29"/>
      <c r="D167" s="29"/>
    </row>
    <row r="168" spans="1:4" ht="14.25">
      <c r="A168" s="29"/>
      <c r="B168" s="29"/>
      <c r="C168" s="29"/>
      <c r="D168" s="29"/>
    </row>
    <row r="169" spans="1:4" ht="14.25">
      <c r="A169" s="29"/>
      <c r="B169" s="29"/>
      <c r="C169" s="29"/>
      <c r="D169" s="29"/>
    </row>
    <row r="170" spans="1:4" ht="14.25">
      <c r="A170" s="29"/>
      <c r="B170" s="29"/>
      <c r="C170" s="29"/>
      <c r="D170" s="29"/>
    </row>
    <row r="171" spans="1:4" ht="14.25">
      <c r="A171" s="29"/>
      <c r="B171" s="29"/>
      <c r="C171" s="29"/>
      <c r="D171" s="29"/>
    </row>
    <row r="172" spans="1:4" ht="14.25">
      <c r="A172" s="29"/>
      <c r="B172" s="29"/>
      <c r="C172" s="29"/>
      <c r="D172" s="29"/>
    </row>
    <row r="173" spans="1:4" ht="14.25">
      <c r="A173" s="29"/>
      <c r="B173" s="29"/>
      <c r="C173" s="29"/>
      <c r="D173" s="29"/>
    </row>
    <row r="174" spans="1:4" ht="14.25">
      <c r="A174" s="29"/>
      <c r="B174" s="29"/>
      <c r="C174" s="29"/>
      <c r="D174" s="29"/>
    </row>
    <row r="175" spans="1:4" ht="14.25">
      <c r="A175" s="29"/>
      <c r="B175" s="29"/>
      <c r="C175" s="29"/>
      <c r="D175" s="29"/>
    </row>
    <row r="176" spans="1:4" ht="14.25">
      <c r="A176" s="29"/>
      <c r="B176" s="29"/>
      <c r="C176" s="29"/>
      <c r="D176" s="29"/>
    </row>
    <row r="177" spans="1:4" ht="14.25">
      <c r="A177" s="29"/>
      <c r="B177" s="29"/>
      <c r="C177" s="29"/>
      <c r="D177" s="29"/>
    </row>
    <row r="178" spans="1:4" ht="14.25">
      <c r="A178" s="29"/>
      <c r="B178" s="29"/>
      <c r="C178" s="29"/>
      <c r="D178" s="29"/>
    </row>
    <row r="179" spans="1:4" ht="14.25">
      <c r="A179" s="29"/>
      <c r="B179" s="29"/>
      <c r="C179" s="29"/>
      <c r="D179" s="29"/>
    </row>
    <row r="180" spans="1:4" ht="14.25">
      <c r="A180" s="29"/>
      <c r="B180" s="29"/>
      <c r="C180" s="29"/>
      <c r="D180" s="29"/>
    </row>
    <row r="181" spans="1:4" ht="14.25">
      <c r="A181" s="29"/>
      <c r="B181" s="29"/>
      <c r="C181" s="29"/>
      <c r="D181" s="29"/>
    </row>
    <row r="182" spans="1:4" ht="14.25">
      <c r="A182" s="29"/>
      <c r="B182" s="29"/>
      <c r="C182" s="29"/>
      <c r="D182" s="29"/>
    </row>
    <row r="183" spans="1:4" ht="14.25">
      <c r="A183" s="29"/>
      <c r="B183" s="29"/>
      <c r="C183" s="29"/>
      <c r="D183" s="29"/>
    </row>
    <row r="184" spans="1:4" ht="14.25">
      <c r="A184" s="29"/>
      <c r="B184" s="29"/>
      <c r="C184" s="29"/>
      <c r="D184" s="29"/>
    </row>
    <row r="185" spans="1:4" ht="14.25">
      <c r="A185" s="29"/>
      <c r="B185" s="29"/>
      <c r="C185" s="29"/>
      <c r="D185" s="29"/>
    </row>
    <row r="186" spans="1:4" ht="14.25">
      <c r="A186" s="29"/>
      <c r="B186" s="29"/>
      <c r="C186" s="29"/>
      <c r="D186" s="29"/>
    </row>
    <row r="187" spans="1:4" ht="14.25">
      <c r="A187" s="29"/>
      <c r="B187" s="29"/>
      <c r="C187" s="29"/>
      <c r="D187" s="29"/>
    </row>
    <row r="188" spans="1:4" ht="14.25">
      <c r="A188" s="29"/>
      <c r="B188" s="29"/>
      <c r="C188" s="29"/>
      <c r="D188" s="29"/>
    </row>
    <row r="189" spans="1:4" ht="14.25">
      <c r="A189" s="29"/>
      <c r="B189" s="29"/>
      <c r="C189" s="29"/>
      <c r="D189" s="29"/>
    </row>
    <row r="190" spans="1:4" ht="14.25">
      <c r="A190" s="29"/>
      <c r="B190" s="29"/>
      <c r="C190" s="29"/>
      <c r="D190" s="29"/>
    </row>
    <row r="191" spans="1:4" ht="14.25">
      <c r="A191" s="29"/>
      <c r="B191" s="29"/>
      <c r="C191" s="29"/>
      <c r="D191" s="29"/>
    </row>
    <row r="192" spans="1:4" ht="14.25">
      <c r="A192" s="29"/>
      <c r="B192" s="29"/>
      <c r="C192" s="29"/>
      <c r="D192" s="29"/>
    </row>
    <row r="193" spans="1:4" ht="14.25">
      <c r="A193" s="29"/>
      <c r="B193" s="29"/>
      <c r="C193" s="29"/>
      <c r="D193" s="29"/>
    </row>
    <row r="194" spans="1:4" ht="14.25">
      <c r="A194" s="29"/>
      <c r="B194" s="29"/>
      <c r="C194" s="29"/>
      <c r="D194" s="29"/>
    </row>
    <row r="195" spans="1:4" ht="14.25">
      <c r="A195" s="29"/>
      <c r="B195" s="29"/>
      <c r="C195" s="29"/>
      <c r="D195" s="29"/>
    </row>
    <row r="196" spans="1:4" ht="14.25">
      <c r="A196" s="29"/>
      <c r="B196" s="29"/>
      <c r="C196" s="29"/>
      <c r="D196" s="29"/>
    </row>
    <row r="197" spans="1:4" ht="14.25">
      <c r="A197" s="29"/>
      <c r="B197" s="29"/>
      <c r="C197" s="29"/>
      <c r="D197" s="29"/>
    </row>
    <row r="198" spans="1:4" ht="14.25">
      <c r="A198" s="29"/>
      <c r="B198" s="29"/>
      <c r="C198" s="29"/>
      <c r="D198" s="29"/>
    </row>
    <row r="199" spans="1:4" ht="14.25">
      <c r="A199" s="29"/>
      <c r="B199" s="29"/>
      <c r="C199" s="29"/>
      <c r="D199" s="29"/>
    </row>
    <row r="200" spans="1:4" ht="14.25">
      <c r="A200" s="29"/>
      <c r="B200" s="29"/>
      <c r="C200" s="29"/>
      <c r="D200" s="29"/>
    </row>
    <row r="201" spans="1:4" ht="14.25">
      <c r="A201" s="29"/>
      <c r="B201" s="29"/>
      <c r="C201" s="29"/>
      <c r="D201" s="29"/>
    </row>
    <row r="202" spans="1:4" ht="14.25">
      <c r="A202" s="29"/>
      <c r="B202" s="29"/>
      <c r="C202" s="29"/>
      <c r="D202" s="29"/>
    </row>
    <row r="203" spans="1:4" ht="14.25">
      <c r="A203" s="29"/>
      <c r="B203" s="29"/>
      <c r="C203" s="29"/>
      <c r="D203" s="29"/>
    </row>
    <row r="204" spans="1:4" ht="14.25">
      <c r="A204" s="29"/>
      <c r="B204" s="29"/>
      <c r="C204" s="29"/>
      <c r="D204" s="29"/>
    </row>
    <row r="205" spans="1:4" ht="14.25">
      <c r="A205" s="29"/>
      <c r="B205" s="29"/>
      <c r="C205" s="29"/>
      <c r="D205" s="29"/>
    </row>
    <row r="206" spans="1:4" ht="14.25">
      <c r="A206" s="29"/>
      <c r="B206" s="29"/>
      <c r="C206" s="29"/>
      <c r="D206" s="29"/>
    </row>
    <row r="207" spans="1:4" ht="14.25">
      <c r="A207" s="29"/>
      <c r="B207" s="29"/>
      <c r="C207" s="29"/>
      <c r="D207" s="29"/>
    </row>
    <row r="208" spans="1:4" ht="14.25">
      <c r="A208" s="29"/>
      <c r="B208" s="29"/>
      <c r="C208" s="29"/>
      <c r="D208" s="29"/>
    </row>
    <row r="209" spans="1:4" ht="14.25">
      <c r="A209" s="29"/>
      <c r="B209" s="29"/>
      <c r="C209" s="29"/>
      <c r="D209" s="29"/>
    </row>
  </sheetData>
  <sheetProtection/>
  <mergeCells count="6"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.2362204724409449" top="0.88" bottom="0.19" header="0.2" footer="0.19"/>
  <pageSetup fitToHeight="1" fitToWidth="1" horizontalDpi="600" verticalDpi="600" orientation="portrait" paperSize="9" scale="66" r:id="rId1"/>
  <headerFooter alignWithMargins="0">
    <oddHeader>&amp;C&amp;"Garamond,Félkövér"&amp;12 .2../2019. (V.31) számú költségvetési rendelethez
ZALASZABAR KÖZSÉG ÖNKORMÁNYZATA 2018. ÉVI BEVÉTELEI FORRÁSONKÉNT
 &amp;R3.számú melléklet
Forintban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Y66"/>
  <sheetViews>
    <sheetView view="pageLayout" zoomScale="70" zoomScaleNormal="70" zoomScaleSheetLayoutView="71" zoomScalePageLayoutView="70" workbookViewId="0" topLeftCell="A1">
      <selection activeCell="D25" sqref="D25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10" width="16.375" style="0" customWidth="1"/>
    <col min="11" max="13" width="13.375" style="0" customWidth="1"/>
    <col min="14" max="16" width="16.00390625" style="0" customWidth="1"/>
    <col min="17" max="19" width="15.125" style="0" customWidth="1"/>
    <col min="20" max="20" width="16.375" style="0" bestFit="1" customWidth="1"/>
    <col min="21" max="22" width="16.375" style="0" customWidth="1"/>
    <col min="23" max="24" width="12.625" style="0" customWidth="1"/>
    <col min="25" max="25" width="14.75390625" style="0" customWidth="1"/>
    <col min="26" max="28" width="13.00390625" style="0" customWidth="1"/>
    <col min="29" max="37" width="12.875" style="0" customWidth="1"/>
    <col min="38" max="43" width="14.75390625" style="0" customWidth="1"/>
    <col min="44" max="45" width="18.00390625" style="0" customWidth="1"/>
    <col min="46" max="46" width="14.875" style="0" bestFit="1" customWidth="1"/>
  </cols>
  <sheetData>
    <row r="1" spans="1:46" ht="45" customHeight="1">
      <c r="A1" s="584" t="s">
        <v>288</v>
      </c>
      <c r="B1" s="588" t="s">
        <v>117</v>
      </c>
      <c r="C1" s="588" t="s">
        <v>289</v>
      </c>
      <c r="D1" s="590" t="s">
        <v>10</v>
      </c>
      <c r="E1" s="579" t="s">
        <v>348</v>
      </c>
      <c r="F1" s="580"/>
      <c r="G1" s="580"/>
      <c r="H1" s="580"/>
      <c r="I1" s="580"/>
      <c r="J1" s="580"/>
      <c r="K1" s="580"/>
      <c r="L1" s="580"/>
      <c r="M1" s="581"/>
      <c r="N1" s="582" t="s">
        <v>400</v>
      </c>
      <c r="O1" s="583"/>
      <c r="P1" s="584"/>
      <c r="Q1" s="582" t="s">
        <v>118</v>
      </c>
      <c r="R1" s="583"/>
      <c r="S1" s="584"/>
      <c r="T1" s="582" t="s">
        <v>396</v>
      </c>
      <c r="U1" s="583"/>
      <c r="V1" s="584"/>
      <c r="W1" s="582" t="s">
        <v>397</v>
      </c>
      <c r="X1" s="583"/>
      <c r="Y1" s="584"/>
      <c r="Z1" s="579" t="s">
        <v>349</v>
      </c>
      <c r="AA1" s="580"/>
      <c r="AB1" s="580"/>
      <c r="AC1" s="580"/>
      <c r="AD1" s="580"/>
      <c r="AE1" s="581"/>
      <c r="AF1" s="582" t="s">
        <v>350</v>
      </c>
      <c r="AG1" s="583"/>
      <c r="AH1" s="583"/>
      <c r="AI1" s="583"/>
      <c r="AJ1" s="583"/>
      <c r="AK1" s="584"/>
      <c r="AL1" s="582" t="s">
        <v>119</v>
      </c>
      <c r="AM1" s="583"/>
      <c r="AN1" s="584"/>
      <c r="AO1" s="582" t="s">
        <v>120</v>
      </c>
      <c r="AP1" s="583"/>
      <c r="AQ1" s="584"/>
      <c r="AR1" s="575" t="s">
        <v>8</v>
      </c>
      <c r="AS1" s="575"/>
      <c r="AT1" s="575"/>
    </row>
    <row r="2" spans="1:46" ht="63.75" customHeight="1">
      <c r="A2" s="587"/>
      <c r="B2" s="589"/>
      <c r="C2" s="589"/>
      <c r="D2" s="591"/>
      <c r="E2" s="585" t="s">
        <v>351</v>
      </c>
      <c r="F2" s="586"/>
      <c r="G2" s="587"/>
      <c r="H2" s="585" t="s">
        <v>627</v>
      </c>
      <c r="I2" s="586"/>
      <c r="J2" s="587"/>
      <c r="K2" s="585" t="s">
        <v>352</v>
      </c>
      <c r="L2" s="586"/>
      <c r="M2" s="587"/>
      <c r="N2" s="585"/>
      <c r="O2" s="586"/>
      <c r="P2" s="587"/>
      <c r="Q2" s="585"/>
      <c r="R2" s="586"/>
      <c r="S2" s="587"/>
      <c r="T2" s="585"/>
      <c r="U2" s="586"/>
      <c r="V2" s="587"/>
      <c r="W2" s="585"/>
      <c r="X2" s="586"/>
      <c r="Y2" s="587"/>
      <c r="Z2" s="576" t="s">
        <v>446</v>
      </c>
      <c r="AA2" s="577"/>
      <c r="AB2" s="578"/>
      <c r="AC2" s="576" t="s">
        <v>353</v>
      </c>
      <c r="AD2" s="577"/>
      <c r="AE2" s="578"/>
      <c r="AF2" s="585" t="s">
        <v>354</v>
      </c>
      <c r="AG2" s="586"/>
      <c r="AH2" s="587"/>
      <c r="AI2" s="585" t="s">
        <v>355</v>
      </c>
      <c r="AJ2" s="586"/>
      <c r="AK2" s="587"/>
      <c r="AL2" s="585"/>
      <c r="AM2" s="586"/>
      <c r="AN2" s="587"/>
      <c r="AO2" s="585"/>
      <c r="AP2" s="586"/>
      <c r="AQ2" s="587"/>
      <c r="AR2" s="575"/>
      <c r="AS2" s="575"/>
      <c r="AT2" s="575"/>
    </row>
    <row r="3" spans="1:46" ht="25.5">
      <c r="A3" s="481"/>
      <c r="B3" s="481"/>
      <c r="C3" s="481"/>
      <c r="D3" s="482"/>
      <c r="E3" s="483" t="s">
        <v>599</v>
      </c>
      <c r="F3" s="483" t="s">
        <v>600</v>
      </c>
      <c r="G3" s="483" t="s">
        <v>638</v>
      </c>
      <c r="H3" s="483" t="s">
        <v>599</v>
      </c>
      <c r="I3" s="483" t="s">
        <v>600</v>
      </c>
      <c r="J3" s="483" t="s">
        <v>638</v>
      </c>
      <c r="K3" s="483" t="s">
        <v>599</v>
      </c>
      <c r="L3" s="483" t="s">
        <v>600</v>
      </c>
      <c r="M3" s="483" t="s">
        <v>638</v>
      </c>
      <c r="N3" s="483" t="s">
        <v>599</v>
      </c>
      <c r="O3" s="483" t="s">
        <v>600</v>
      </c>
      <c r="P3" s="483" t="s">
        <v>638</v>
      </c>
      <c r="Q3" s="483" t="s">
        <v>599</v>
      </c>
      <c r="R3" s="483" t="s">
        <v>600</v>
      </c>
      <c r="S3" s="483" t="s">
        <v>638</v>
      </c>
      <c r="T3" s="483" t="s">
        <v>599</v>
      </c>
      <c r="U3" s="483" t="s">
        <v>600</v>
      </c>
      <c r="V3" s="483" t="s">
        <v>638</v>
      </c>
      <c r="W3" s="483" t="s">
        <v>599</v>
      </c>
      <c r="X3" s="483" t="s">
        <v>600</v>
      </c>
      <c r="Y3" s="483" t="s">
        <v>638</v>
      </c>
      <c r="Z3" s="483" t="s">
        <v>599</v>
      </c>
      <c r="AA3" s="483" t="s">
        <v>600</v>
      </c>
      <c r="AB3" s="483" t="s">
        <v>638</v>
      </c>
      <c r="AC3" s="483" t="s">
        <v>599</v>
      </c>
      <c r="AD3" s="483" t="s">
        <v>600</v>
      </c>
      <c r="AE3" s="483" t="s">
        <v>638</v>
      </c>
      <c r="AF3" s="483" t="s">
        <v>599</v>
      </c>
      <c r="AG3" s="483" t="s">
        <v>600</v>
      </c>
      <c r="AH3" s="483" t="s">
        <v>638</v>
      </c>
      <c r="AI3" s="483" t="s">
        <v>599</v>
      </c>
      <c r="AJ3" s="483" t="s">
        <v>600</v>
      </c>
      <c r="AK3" s="483" t="s">
        <v>638</v>
      </c>
      <c r="AL3" s="483" t="s">
        <v>599</v>
      </c>
      <c r="AM3" s="483" t="s">
        <v>600</v>
      </c>
      <c r="AN3" s="483" t="s">
        <v>638</v>
      </c>
      <c r="AO3" s="483" t="s">
        <v>599</v>
      </c>
      <c r="AP3" s="483" t="s">
        <v>600</v>
      </c>
      <c r="AQ3" s="483" t="s">
        <v>638</v>
      </c>
      <c r="AR3" s="515" t="s">
        <v>599</v>
      </c>
      <c r="AS3" s="515" t="s">
        <v>600</v>
      </c>
      <c r="AT3" s="515" t="s">
        <v>638</v>
      </c>
    </row>
    <row r="4" spans="1:46" ht="24.75" customHeight="1">
      <c r="A4" s="96"/>
      <c r="B4" s="137"/>
      <c r="C4" s="97"/>
      <c r="D4" s="138" t="s">
        <v>112</v>
      </c>
      <c r="E4" s="227"/>
      <c r="F4" s="227"/>
      <c r="G4" s="227"/>
      <c r="H4" s="227"/>
      <c r="I4" s="227"/>
      <c r="J4" s="227"/>
      <c r="K4" s="98"/>
      <c r="L4" s="98"/>
      <c r="M4" s="98"/>
      <c r="N4" s="98"/>
      <c r="O4" s="98"/>
      <c r="P4" s="98"/>
      <c r="Q4" s="99"/>
      <c r="R4" s="99"/>
      <c r="S4" s="99"/>
      <c r="T4" s="99"/>
      <c r="U4" s="99"/>
      <c r="V4" s="99"/>
      <c r="W4" s="98"/>
      <c r="X4" s="98"/>
      <c r="Y4" s="98"/>
      <c r="Z4" s="99"/>
      <c r="AA4" s="99"/>
      <c r="AB4" s="99"/>
      <c r="AC4" s="99"/>
      <c r="AD4" s="99"/>
      <c r="AE4" s="99"/>
      <c r="AF4" s="99"/>
      <c r="AG4" s="99"/>
      <c r="AH4" s="99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</row>
    <row r="5" spans="1:46" ht="21.75" customHeight="1">
      <c r="A5" s="114" t="s">
        <v>121</v>
      </c>
      <c r="B5" s="139"/>
      <c r="C5" s="94"/>
      <c r="D5" s="140" t="s">
        <v>122</v>
      </c>
      <c r="E5" s="228"/>
      <c r="F5" s="228"/>
      <c r="G5" s="228"/>
      <c r="H5" s="228"/>
      <c r="I5" s="228"/>
      <c r="J5" s="22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3"/>
      <c r="AM5" s="3"/>
      <c r="AN5" s="3"/>
      <c r="AO5" s="3"/>
      <c r="AP5" s="3"/>
      <c r="AQ5" s="3"/>
      <c r="AR5" s="230"/>
      <c r="AS5" s="230"/>
      <c r="AT5" s="230"/>
    </row>
    <row r="6" spans="1:46" ht="21.75" customHeight="1">
      <c r="A6" s="114"/>
      <c r="B6" s="321" t="s">
        <v>123</v>
      </c>
      <c r="C6" s="290"/>
      <c r="D6" s="290" t="s">
        <v>124</v>
      </c>
      <c r="E6" s="305"/>
      <c r="F6" s="305"/>
      <c r="G6" s="305"/>
      <c r="H6" s="305"/>
      <c r="I6" s="305"/>
      <c r="J6" s="305"/>
      <c r="K6" s="305">
        <v>1900000</v>
      </c>
      <c r="L6" s="305">
        <v>1900000</v>
      </c>
      <c r="M6" s="305">
        <f>1200000+535923</f>
        <v>1735923</v>
      </c>
      <c r="N6" s="305"/>
      <c r="O6" s="305"/>
      <c r="P6" s="305"/>
      <c r="Q6" s="305"/>
      <c r="R6" s="305"/>
      <c r="S6" s="305"/>
      <c r="T6" s="305">
        <v>25000</v>
      </c>
      <c r="U6" s="305">
        <v>25000</v>
      </c>
      <c r="V6" s="305">
        <v>25000</v>
      </c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22">
        <f aca="true" t="shared" si="0" ref="AR6:AS9">SUM(E6,K6,N6,Q6,T6,W6,Z6,AC6,AF6,AI6,AL6,AO6)</f>
        <v>1925000</v>
      </c>
      <c r="AS6" s="322">
        <f t="shared" si="0"/>
        <v>1925000</v>
      </c>
      <c r="AT6" s="322">
        <f>SUM(G6,M6,P6,S6,V6,Y6,AB6,AE6,AH6,AK6,AN6,AQ6,J6)</f>
        <v>1760923</v>
      </c>
    </row>
    <row r="7" spans="1:46" ht="21.75" customHeight="1">
      <c r="A7" s="114"/>
      <c r="B7" s="323" t="s">
        <v>125</v>
      </c>
      <c r="C7" s="117">
        <v>960302</v>
      </c>
      <c r="D7" s="292" t="s">
        <v>66</v>
      </c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229"/>
      <c r="AP7" s="229"/>
      <c r="AQ7" s="229"/>
      <c r="AR7" s="322">
        <f t="shared" si="0"/>
        <v>0</v>
      </c>
      <c r="AS7" s="322">
        <f t="shared" si="0"/>
        <v>0</v>
      </c>
      <c r="AT7" s="322">
        <f>SUM(G7,M7,P7,S7,V7,Y7,AB7,AE7,AH7,AK7,AN7,AQ7,J7)</f>
        <v>0</v>
      </c>
    </row>
    <row r="8" spans="1:46" ht="21.75" customHeight="1">
      <c r="A8" s="114"/>
      <c r="B8" s="324" t="s">
        <v>126</v>
      </c>
      <c r="C8" s="295"/>
      <c r="D8" s="295" t="s">
        <v>127</v>
      </c>
      <c r="E8" s="305"/>
      <c r="F8" s="305"/>
      <c r="G8" s="305"/>
      <c r="H8" s="305"/>
      <c r="I8" s="305"/>
      <c r="J8" s="305"/>
      <c r="K8" s="305"/>
      <c r="L8" s="305"/>
      <c r="M8" s="305"/>
      <c r="N8" s="305">
        <v>2057300</v>
      </c>
      <c r="O8" s="305">
        <v>2057300</v>
      </c>
      <c r="P8" s="305">
        <v>9499993</v>
      </c>
      <c r="Q8" s="305"/>
      <c r="R8" s="305"/>
      <c r="S8" s="305"/>
      <c r="T8" s="305">
        <v>736600</v>
      </c>
      <c r="U8" s="305">
        <v>736600</v>
      </c>
      <c r="V8" s="305">
        <f>736600+5442001</f>
        <v>6178601</v>
      </c>
      <c r="W8" s="305"/>
      <c r="X8" s="305"/>
      <c r="Y8" s="305">
        <v>10005000</v>
      </c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22">
        <f t="shared" si="0"/>
        <v>2793900</v>
      </c>
      <c r="AS8" s="322">
        <f t="shared" si="0"/>
        <v>2793900</v>
      </c>
      <c r="AT8" s="322">
        <f>SUM(G8,M8,P8,S8,V8,Y8,AB8,AE8,AH8,AK8,AN8,AQ8,J8)</f>
        <v>25683594</v>
      </c>
    </row>
    <row r="9" spans="1:46" ht="21.75" customHeight="1">
      <c r="A9" s="121"/>
      <c r="B9" s="321" t="s">
        <v>128</v>
      </c>
      <c r="C9" s="290"/>
      <c r="D9" s="290" t="s">
        <v>356</v>
      </c>
      <c r="E9" s="307">
        <v>40123348</v>
      </c>
      <c r="F9" s="307">
        <v>40578513</v>
      </c>
      <c r="G9" s="307">
        <v>42914466</v>
      </c>
      <c r="H9" s="307"/>
      <c r="I9" s="307"/>
      <c r="J9" s="307"/>
      <c r="K9" s="307"/>
      <c r="L9" s="307"/>
      <c r="M9" s="307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22">
        <f t="shared" si="0"/>
        <v>40123348</v>
      </c>
      <c r="AS9" s="322">
        <f t="shared" si="0"/>
        <v>40578513</v>
      </c>
      <c r="AT9" s="322">
        <f>SUM(G9,M9,P9,S9,V9,Y9,AB9,AE9,AH9,AK9,AN9,AQ9,J9)</f>
        <v>42914466</v>
      </c>
    </row>
    <row r="10" spans="1:46" ht="21.75" customHeight="1">
      <c r="A10" s="121"/>
      <c r="B10" s="325" t="s">
        <v>172</v>
      </c>
      <c r="C10" s="290"/>
      <c r="D10" s="290" t="s">
        <v>184</v>
      </c>
      <c r="E10" s="307"/>
      <c r="F10" s="307"/>
      <c r="G10" s="307"/>
      <c r="H10" s="307">
        <v>0</v>
      </c>
      <c r="I10" s="307">
        <v>1529736</v>
      </c>
      <c r="J10" s="307">
        <v>1529736</v>
      </c>
      <c r="K10" s="307"/>
      <c r="L10" s="307"/>
      <c r="M10" s="307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07">
        <v>60413118</v>
      </c>
      <c r="AM10" s="307">
        <v>60413118</v>
      </c>
      <c r="AN10" s="307">
        <v>60413118</v>
      </c>
      <c r="AO10" s="312"/>
      <c r="AP10" s="312"/>
      <c r="AQ10" s="312"/>
      <c r="AR10" s="322">
        <f>SUM(E10,K10,N10,Q10,T10,W10,Z10,AC10,AF10,AI10,AL10,AO10,H10)</f>
        <v>60413118</v>
      </c>
      <c r="AS10" s="322">
        <f>SUM(F10,L10,O10,R10,U10,X10,AA10,AD10,AG10,AJ10,AM10,AP10,J10)</f>
        <v>61942854</v>
      </c>
      <c r="AT10" s="322">
        <f>SUM(G10,M10,P10,S10,V10,Y10,AB10,AE10,AH10,AK10,AN10,AQ10,J10)</f>
        <v>61942854</v>
      </c>
    </row>
    <row r="11" spans="1:46" ht="21.75" customHeight="1">
      <c r="A11" s="121"/>
      <c r="B11" s="326"/>
      <c r="C11" s="290"/>
      <c r="D11" s="294" t="s">
        <v>129</v>
      </c>
      <c r="E11" s="327">
        <f aca="true" t="shared" si="1" ref="E11:AT11">SUM(E6:E10)</f>
        <v>40123348</v>
      </c>
      <c r="F11" s="327">
        <f t="shared" si="1"/>
        <v>40578513</v>
      </c>
      <c r="G11" s="327">
        <f t="shared" si="1"/>
        <v>42914466</v>
      </c>
      <c r="H11" s="327">
        <f t="shared" si="1"/>
        <v>0</v>
      </c>
      <c r="I11" s="327">
        <f t="shared" si="1"/>
        <v>1529736</v>
      </c>
      <c r="J11" s="327">
        <f t="shared" si="1"/>
        <v>1529736</v>
      </c>
      <c r="K11" s="327">
        <f t="shared" si="1"/>
        <v>1900000</v>
      </c>
      <c r="L11" s="327">
        <f t="shared" si="1"/>
        <v>1900000</v>
      </c>
      <c r="M11" s="327">
        <f t="shared" si="1"/>
        <v>1735923</v>
      </c>
      <c r="N11" s="327">
        <f t="shared" si="1"/>
        <v>2057300</v>
      </c>
      <c r="O11" s="327">
        <f t="shared" si="1"/>
        <v>2057300</v>
      </c>
      <c r="P11" s="327">
        <f t="shared" si="1"/>
        <v>9499993</v>
      </c>
      <c r="Q11" s="327">
        <f t="shared" si="1"/>
        <v>0</v>
      </c>
      <c r="R11" s="327">
        <f t="shared" si="1"/>
        <v>0</v>
      </c>
      <c r="S11" s="327">
        <f t="shared" si="1"/>
        <v>0</v>
      </c>
      <c r="T11" s="327">
        <f t="shared" si="1"/>
        <v>761600</v>
      </c>
      <c r="U11" s="327">
        <f t="shared" si="1"/>
        <v>761600</v>
      </c>
      <c r="V11" s="327">
        <f t="shared" si="1"/>
        <v>6203601</v>
      </c>
      <c r="W11" s="327">
        <f t="shared" si="1"/>
        <v>0</v>
      </c>
      <c r="X11" s="327">
        <f t="shared" si="1"/>
        <v>0</v>
      </c>
      <c r="Y11" s="327">
        <f t="shared" si="1"/>
        <v>10005000</v>
      </c>
      <c r="Z11" s="327">
        <f t="shared" si="1"/>
        <v>0</v>
      </c>
      <c r="AA11" s="327">
        <f t="shared" si="1"/>
        <v>0</v>
      </c>
      <c r="AB11" s="327">
        <f t="shared" si="1"/>
        <v>0</v>
      </c>
      <c r="AC11" s="327">
        <f t="shared" si="1"/>
        <v>0</v>
      </c>
      <c r="AD11" s="327">
        <f t="shared" si="1"/>
        <v>0</v>
      </c>
      <c r="AE11" s="327">
        <f t="shared" si="1"/>
        <v>0</v>
      </c>
      <c r="AF11" s="327">
        <f t="shared" si="1"/>
        <v>0</v>
      </c>
      <c r="AG11" s="327">
        <f t="shared" si="1"/>
        <v>0</v>
      </c>
      <c r="AH11" s="327">
        <f t="shared" si="1"/>
        <v>0</v>
      </c>
      <c r="AI11" s="327">
        <f t="shared" si="1"/>
        <v>0</v>
      </c>
      <c r="AJ11" s="327">
        <f t="shared" si="1"/>
        <v>0</v>
      </c>
      <c r="AK11" s="327">
        <f t="shared" si="1"/>
        <v>0</v>
      </c>
      <c r="AL11" s="327">
        <f t="shared" si="1"/>
        <v>60413118</v>
      </c>
      <c r="AM11" s="327">
        <f t="shared" si="1"/>
        <v>60413118</v>
      </c>
      <c r="AN11" s="327">
        <f t="shared" si="1"/>
        <v>60413118</v>
      </c>
      <c r="AO11" s="327">
        <f t="shared" si="1"/>
        <v>0</v>
      </c>
      <c r="AP11" s="327">
        <f t="shared" si="1"/>
        <v>0</v>
      </c>
      <c r="AQ11" s="327">
        <f t="shared" si="1"/>
        <v>0</v>
      </c>
      <c r="AR11" s="327">
        <f t="shared" si="1"/>
        <v>105255366</v>
      </c>
      <c r="AS11" s="327">
        <f t="shared" si="1"/>
        <v>107240267</v>
      </c>
      <c r="AT11" s="327">
        <f t="shared" si="1"/>
        <v>132301837</v>
      </c>
    </row>
    <row r="12" spans="1:46" ht="21.75" customHeight="1">
      <c r="A12" s="119" t="s">
        <v>130</v>
      </c>
      <c r="B12" s="117"/>
      <c r="C12" s="328"/>
      <c r="D12" s="296" t="s">
        <v>131</v>
      </c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22"/>
      <c r="AS12" s="322"/>
      <c r="AT12" s="322"/>
    </row>
    <row r="13" spans="1:46" ht="21.75" customHeight="1">
      <c r="A13" s="74"/>
      <c r="B13" s="321" t="s">
        <v>132</v>
      </c>
      <c r="C13" s="290"/>
      <c r="D13" s="292" t="s">
        <v>133</v>
      </c>
      <c r="E13" s="305"/>
      <c r="F13" s="305"/>
      <c r="G13" s="305"/>
      <c r="H13" s="305"/>
      <c r="I13" s="305"/>
      <c r="J13" s="305"/>
      <c r="K13" s="305">
        <v>1389879</v>
      </c>
      <c r="L13" s="305">
        <f>1389879+3903836</f>
        <v>5293715</v>
      </c>
      <c r="M13" s="305">
        <v>6167094</v>
      </c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22">
        <f aca="true" t="shared" si="2" ref="AR13:AS16">SUM(E13,K13,N13,Q13,T13,W13,Z13,AC13,AF13,AI13,AL13,AO13)</f>
        <v>1389879</v>
      </c>
      <c r="AS13" s="322">
        <f t="shared" si="2"/>
        <v>5293715</v>
      </c>
      <c r="AT13" s="322">
        <f>SUM(G13,M13,P13,S13,V13,Y13,AB13,AE13,AH13,AK13,AN13,AQ13,J13)</f>
        <v>6167094</v>
      </c>
    </row>
    <row r="14" spans="1:46" ht="21.75" customHeight="1">
      <c r="A14" s="74"/>
      <c r="B14" s="321" t="s">
        <v>357</v>
      </c>
      <c r="C14" s="290"/>
      <c r="D14" s="292" t="s">
        <v>358</v>
      </c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22">
        <f t="shared" si="2"/>
        <v>0</v>
      </c>
      <c r="AS14" s="322">
        <f t="shared" si="2"/>
        <v>0</v>
      </c>
      <c r="AT14" s="322">
        <f>SUM(G14,M14,P14,S14,V14,Y14,AB14,AE14,AH14,AK14,AN14,AQ14,J14)</f>
        <v>0</v>
      </c>
    </row>
    <row r="15" spans="1:46" ht="21.75" customHeight="1">
      <c r="A15" s="74"/>
      <c r="B15" s="321" t="s">
        <v>134</v>
      </c>
      <c r="C15" s="290"/>
      <c r="D15" s="292" t="s">
        <v>135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>
        <v>41227193</v>
      </c>
      <c r="O15" s="305">
        <v>41227193</v>
      </c>
      <c r="P15" s="305">
        <f>33521040+7729013</f>
        <v>41250053</v>
      </c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22">
        <f t="shared" si="2"/>
        <v>41227193</v>
      </c>
      <c r="AS15" s="322">
        <f t="shared" si="2"/>
        <v>41227193</v>
      </c>
      <c r="AT15" s="322">
        <f>SUM(G15,M15,P15,S15,V15,Y15,AB15,AE15,AH15,AK15,AN15,AQ15,J15)</f>
        <v>41250053</v>
      </c>
    </row>
    <row r="16" spans="1:46" ht="21.75" customHeight="1">
      <c r="A16" s="74"/>
      <c r="B16" s="321" t="s">
        <v>136</v>
      </c>
      <c r="C16" s="290"/>
      <c r="D16" s="292" t="s">
        <v>64</v>
      </c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22">
        <f t="shared" si="2"/>
        <v>0</v>
      </c>
      <c r="AS16" s="322">
        <f t="shared" si="2"/>
        <v>0</v>
      </c>
      <c r="AT16" s="322">
        <f>SUM(G16,M16,P16,S16,V16,Y16,AB16,AE16,AH16,AK16,AN16,AQ16,J16)</f>
        <v>0</v>
      </c>
    </row>
    <row r="17" spans="1:46" ht="21.75" customHeight="1">
      <c r="A17" s="74"/>
      <c r="B17" s="329"/>
      <c r="C17" s="290"/>
      <c r="D17" s="294" t="s">
        <v>137</v>
      </c>
      <c r="E17" s="311">
        <f>SUM(E13:E16)</f>
        <v>0</v>
      </c>
      <c r="F17" s="311">
        <f>SUM(F13:F16)</f>
        <v>0</v>
      </c>
      <c r="G17" s="311">
        <f>SUM(G13:G16)</f>
        <v>0</v>
      </c>
      <c r="H17" s="311"/>
      <c r="I17" s="311"/>
      <c r="J17" s="311"/>
      <c r="K17" s="311">
        <f aca="true" t="shared" si="3" ref="K17:AH17">SUM(K13:K16)</f>
        <v>1389879</v>
      </c>
      <c r="L17" s="311">
        <f t="shared" si="3"/>
        <v>5293715</v>
      </c>
      <c r="M17" s="311">
        <f t="shared" si="3"/>
        <v>6167094</v>
      </c>
      <c r="N17" s="311">
        <f t="shared" si="3"/>
        <v>41227193</v>
      </c>
      <c r="O17" s="311">
        <f t="shared" si="3"/>
        <v>41227193</v>
      </c>
      <c r="P17" s="311">
        <f t="shared" si="3"/>
        <v>41250053</v>
      </c>
      <c r="Q17" s="311">
        <f t="shared" si="3"/>
        <v>0</v>
      </c>
      <c r="R17" s="311">
        <f t="shared" si="3"/>
        <v>0</v>
      </c>
      <c r="S17" s="311">
        <f t="shared" si="3"/>
        <v>0</v>
      </c>
      <c r="T17" s="311">
        <f t="shared" si="3"/>
        <v>0</v>
      </c>
      <c r="U17" s="311">
        <f t="shared" si="3"/>
        <v>0</v>
      </c>
      <c r="V17" s="311">
        <f t="shared" si="3"/>
        <v>0</v>
      </c>
      <c r="W17" s="311">
        <f t="shared" si="3"/>
        <v>0</v>
      </c>
      <c r="X17" s="311">
        <f t="shared" si="3"/>
        <v>0</v>
      </c>
      <c r="Y17" s="311">
        <f t="shared" si="3"/>
        <v>0</v>
      </c>
      <c r="Z17" s="311">
        <f t="shared" si="3"/>
        <v>0</v>
      </c>
      <c r="AA17" s="311">
        <f t="shared" si="3"/>
        <v>0</v>
      </c>
      <c r="AB17" s="311">
        <f t="shared" si="3"/>
        <v>0</v>
      </c>
      <c r="AC17" s="311">
        <f t="shared" si="3"/>
        <v>0</v>
      </c>
      <c r="AD17" s="311">
        <f t="shared" si="3"/>
        <v>0</v>
      </c>
      <c r="AE17" s="311">
        <f t="shared" si="3"/>
        <v>0</v>
      </c>
      <c r="AF17" s="311">
        <f t="shared" si="3"/>
        <v>0</v>
      </c>
      <c r="AG17" s="311">
        <f t="shared" si="3"/>
        <v>0</v>
      </c>
      <c r="AH17" s="311">
        <f t="shared" si="3"/>
        <v>0</v>
      </c>
      <c r="AI17" s="311">
        <v>0</v>
      </c>
      <c r="AJ17" s="311">
        <v>0</v>
      </c>
      <c r="AK17" s="311">
        <v>0</v>
      </c>
      <c r="AL17" s="311">
        <f aca="true" t="shared" si="4" ref="AL17:AS17">SUM(AL13:AL16)</f>
        <v>0</v>
      </c>
      <c r="AM17" s="311">
        <f t="shared" si="4"/>
        <v>0</v>
      </c>
      <c r="AN17" s="311">
        <f>SUM(AN13:AN16)</f>
        <v>0</v>
      </c>
      <c r="AO17" s="311">
        <f t="shared" si="4"/>
        <v>0</v>
      </c>
      <c r="AP17" s="311">
        <f t="shared" si="4"/>
        <v>0</v>
      </c>
      <c r="AQ17" s="311">
        <f>SUM(AQ13:AQ16)</f>
        <v>0</v>
      </c>
      <c r="AR17" s="311">
        <f t="shared" si="4"/>
        <v>42617072</v>
      </c>
      <c r="AS17" s="311">
        <f t="shared" si="4"/>
        <v>46520908</v>
      </c>
      <c r="AT17" s="311">
        <f>SUM(AT13:AT16)</f>
        <v>47417147</v>
      </c>
    </row>
    <row r="18" spans="1:46" ht="21.75" customHeight="1">
      <c r="A18" s="119" t="s">
        <v>138</v>
      </c>
      <c r="B18" s="290"/>
      <c r="C18" s="330"/>
      <c r="D18" s="119" t="s">
        <v>139</v>
      </c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22"/>
      <c r="AS18" s="322"/>
      <c r="AT18" s="322"/>
    </row>
    <row r="19" spans="1:46" ht="21.75" customHeight="1">
      <c r="A19" s="74"/>
      <c r="B19" s="321" t="s">
        <v>140</v>
      </c>
      <c r="C19" s="290"/>
      <c r="D19" s="292" t="s">
        <v>141</v>
      </c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22">
        <f aca="true" t="shared" si="5" ref="AR19:AT20">SUM(E19:AO19)</f>
        <v>0</v>
      </c>
      <c r="AS19" s="322">
        <f t="shared" si="5"/>
        <v>0</v>
      </c>
      <c r="AT19" s="322">
        <f t="shared" si="5"/>
        <v>0</v>
      </c>
    </row>
    <row r="20" spans="1:46" ht="21.75" customHeight="1">
      <c r="A20" s="74"/>
      <c r="B20" s="321" t="s">
        <v>142</v>
      </c>
      <c r="C20" s="290"/>
      <c r="D20" s="292" t="s">
        <v>143</v>
      </c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22">
        <f t="shared" si="5"/>
        <v>0</v>
      </c>
      <c r="AS20" s="322">
        <f t="shared" si="5"/>
        <v>0</v>
      </c>
      <c r="AT20" s="322">
        <f t="shared" si="5"/>
        <v>0</v>
      </c>
    </row>
    <row r="21" spans="1:46" ht="21.75" customHeight="1">
      <c r="A21" s="74"/>
      <c r="B21" s="329"/>
      <c r="C21" s="290"/>
      <c r="D21" s="294" t="s">
        <v>144</v>
      </c>
      <c r="E21" s="315">
        <f>SUM(E19:E20)</f>
        <v>0</v>
      </c>
      <c r="F21" s="315">
        <f>SUM(F19:F20)</f>
        <v>0</v>
      </c>
      <c r="G21" s="315">
        <f>SUM(G19:G20)</f>
        <v>0</v>
      </c>
      <c r="H21" s="315"/>
      <c r="I21" s="315"/>
      <c r="J21" s="315"/>
      <c r="K21" s="315"/>
      <c r="L21" s="315"/>
      <c r="M21" s="315"/>
      <c r="N21" s="315">
        <f aca="true" t="shared" si="6" ref="N21:AS21">SUM(N19:N20)</f>
        <v>0</v>
      </c>
      <c r="O21" s="315">
        <f t="shared" si="6"/>
        <v>0</v>
      </c>
      <c r="P21" s="315">
        <f>SUM(P19:P20)</f>
        <v>0</v>
      </c>
      <c r="Q21" s="315">
        <f t="shared" si="6"/>
        <v>0</v>
      </c>
      <c r="R21" s="315">
        <f t="shared" si="6"/>
        <v>0</v>
      </c>
      <c r="S21" s="315">
        <f>SUM(S19:S20)</f>
        <v>0</v>
      </c>
      <c r="T21" s="315">
        <f t="shared" si="6"/>
        <v>0</v>
      </c>
      <c r="U21" s="315">
        <f t="shared" si="6"/>
        <v>0</v>
      </c>
      <c r="V21" s="315">
        <f>SUM(V19:V20)</f>
        <v>0</v>
      </c>
      <c r="W21" s="315">
        <f t="shared" si="6"/>
        <v>0</v>
      </c>
      <c r="X21" s="315">
        <f t="shared" si="6"/>
        <v>0</v>
      </c>
      <c r="Y21" s="315">
        <f>SUM(Y19:Y20)</f>
        <v>0</v>
      </c>
      <c r="Z21" s="315">
        <f t="shared" si="6"/>
        <v>0</v>
      </c>
      <c r="AA21" s="315">
        <f t="shared" si="6"/>
        <v>0</v>
      </c>
      <c r="AB21" s="315">
        <f>SUM(AB19:AB20)</f>
        <v>0</v>
      </c>
      <c r="AC21" s="315">
        <f t="shared" si="6"/>
        <v>0</v>
      </c>
      <c r="AD21" s="315">
        <f t="shared" si="6"/>
        <v>0</v>
      </c>
      <c r="AE21" s="315">
        <f>SUM(AE19:AE20)</f>
        <v>0</v>
      </c>
      <c r="AF21" s="315">
        <f t="shared" si="6"/>
        <v>0</v>
      </c>
      <c r="AG21" s="315">
        <f t="shared" si="6"/>
        <v>0</v>
      </c>
      <c r="AH21" s="315">
        <f>SUM(AH19:AH20)</f>
        <v>0</v>
      </c>
      <c r="AI21" s="315">
        <f t="shared" si="6"/>
        <v>0</v>
      </c>
      <c r="AJ21" s="315">
        <f t="shared" si="6"/>
        <v>0</v>
      </c>
      <c r="AK21" s="315">
        <f>SUM(AK19:AK20)</f>
        <v>0</v>
      </c>
      <c r="AL21" s="315">
        <f t="shared" si="6"/>
        <v>0</v>
      </c>
      <c r="AM21" s="315">
        <f t="shared" si="6"/>
        <v>0</v>
      </c>
      <c r="AN21" s="315">
        <f>SUM(AN19:AN20)</f>
        <v>0</v>
      </c>
      <c r="AO21" s="315">
        <f t="shared" si="6"/>
        <v>0</v>
      </c>
      <c r="AP21" s="315">
        <f t="shared" si="6"/>
        <v>0</v>
      </c>
      <c r="AQ21" s="315">
        <f>SUM(AQ19:AQ20)</f>
        <v>0</v>
      </c>
      <c r="AR21" s="315">
        <f t="shared" si="6"/>
        <v>0</v>
      </c>
      <c r="AS21" s="315">
        <f t="shared" si="6"/>
        <v>0</v>
      </c>
      <c r="AT21" s="315">
        <f>SUM(AT19:AT20)</f>
        <v>0</v>
      </c>
    </row>
    <row r="22" spans="1:46" ht="21.75" customHeight="1">
      <c r="A22" s="145" t="s">
        <v>145</v>
      </c>
      <c r="B22" s="117"/>
      <c r="C22" s="328"/>
      <c r="D22" s="119" t="s">
        <v>146</v>
      </c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22"/>
      <c r="AS22" s="322"/>
      <c r="AT22" s="322"/>
    </row>
    <row r="23" spans="1:46" ht="21.75" customHeight="1">
      <c r="A23" s="121"/>
      <c r="B23" s="321" t="s">
        <v>147</v>
      </c>
      <c r="C23" s="290"/>
      <c r="D23" s="290" t="s">
        <v>148</v>
      </c>
      <c r="E23" s="307"/>
      <c r="F23" s="307"/>
      <c r="G23" s="307"/>
      <c r="H23" s="307"/>
      <c r="I23" s="307"/>
      <c r="J23" s="307"/>
      <c r="K23" s="307"/>
      <c r="L23" s="307"/>
      <c r="M23" s="307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07"/>
      <c r="AG23" s="307"/>
      <c r="AH23" s="307"/>
      <c r="AI23" s="307"/>
      <c r="AJ23" s="307"/>
      <c r="AK23" s="307"/>
      <c r="AL23" s="307"/>
      <c r="AM23" s="307"/>
      <c r="AN23" s="307"/>
      <c r="AO23" s="312"/>
      <c r="AP23" s="312"/>
      <c r="AQ23" s="312"/>
      <c r="AR23" s="322">
        <f aca="true" t="shared" si="7" ref="AR23:AT27">SUM(E23:AO23)</f>
        <v>0</v>
      </c>
      <c r="AS23" s="322">
        <f t="shared" si="7"/>
        <v>0</v>
      </c>
      <c r="AT23" s="322">
        <f t="shared" si="7"/>
        <v>0</v>
      </c>
    </row>
    <row r="24" spans="1:46" ht="21.75" customHeight="1">
      <c r="A24" s="74"/>
      <c r="B24" s="321" t="s">
        <v>149</v>
      </c>
      <c r="C24" s="290"/>
      <c r="D24" s="292" t="s">
        <v>150</v>
      </c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22">
        <f t="shared" si="7"/>
        <v>0</v>
      </c>
      <c r="AS24" s="322">
        <f t="shared" si="7"/>
        <v>0</v>
      </c>
      <c r="AT24" s="322">
        <f t="shared" si="7"/>
        <v>0</v>
      </c>
    </row>
    <row r="25" spans="1:46" ht="21.75" customHeight="1">
      <c r="A25" s="74"/>
      <c r="B25" s="321" t="s">
        <v>151</v>
      </c>
      <c r="C25" s="290"/>
      <c r="D25" s="292" t="s">
        <v>60</v>
      </c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22">
        <f t="shared" si="7"/>
        <v>0</v>
      </c>
      <c r="AS25" s="322">
        <f t="shared" si="7"/>
        <v>0</v>
      </c>
      <c r="AT25" s="322">
        <f t="shared" si="7"/>
        <v>0</v>
      </c>
    </row>
    <row r="26" spans="1:46" ht="21.75" customHeight="1">
      <c r="A26" s="74"/>
      <c r="B26" s="321" t="s">
        <v>152</v>
      </c>
      <c r="C26" s="290">
        <v>813000</v>
      </c>
      <c r="D26" s="292" t="s">
        <v>61</v>
      </c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22">
        <f t="shared" si="7"/>
        <v>0</v>
      </c>
      <c r="AS26" s="322">
        <f t="shared" si="7"/>
        <v>0</v>
      </c>
      <c r="AT26" s="322">
        <f t="shared" si="7"/>
        <v>0</v>
      </c>
    </row>
    <row r="27" spans="1:46" ht="21.75" customHeight="1">
      <c r="A27" s="74"/>
      <c r="B27" s="321" t="s">
        <v>153</v>
      </c>
      <c r="C27" s="290"/>
      <c r="D27" s="292" t="s">
        <v>154</v>
      </c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22">
        <f t="shared" si="7"/>
        <v>0</v>
      </c>
      <c r="AS27" s="322">
        <f t="shared" si="7"/>
        <v>0</v>
      </c>
      <c r="AT27" s="322">
        <f t="shared" si="7"/>
        <v>0</v>
      </c>
    </row>
    <row r="28" spans="1:46" ht="21.75" customHeight="1">
      <c r="A28" s="74"/>
      <c r="B28" s="329"/>
      <c r="C28" s="290"/>
      <c r="D28" s="331" t="s">
        <v>155</v>
      </c>
      <c r="E28" s="315">
        <f>SUM(E23:E27)</f>
        <v>0</v>
      </c>
      <c r="F28" s="315">
        <f>SUM(F23:F27)</f>
        <v>0</v>
      </c>
      <c r="G28" s="315">
        <f>SUM(G23:G27)</f>
        <v>0</v>
      </c>
      <c r="H28" s="315"/>
      <c r="I28" s="315"/>
      <c r="J28" s="315"/>
      <c r="K28" s="315"/>
      <c r="L28" s="315"/>
      <c r="M28" s="315"/>
      <c r="N28" s="315">
        <f aca="true" t="shared" si="8" ref="N28:AS28">SUM(N23:N27)</f>
        <v>0</v>
      </c>
      <c r="O28" s="315">
        <f t="shared" si="8"/>
        <v>0</v>
      </c>
      <c r="P28" s="315">
        <f>SUM(P23:P27)</f>
        <v>0</v>
      </c>
      <c r="Q28" s="315">
        <f t="shared" si="8"/>
        <v>0</v>
      </c>
      <c r="R28" s="315">
        <f t="shared" si="8"/>
        <v>0</v>
      </c>
      <c r="S28" s="315">
        <f>SUM(S23:S27)</f>
        <v>0</v>
      </c>
      <c r="T28" s="315">
        <f t="shared" si="8"/>
        <v>0</v>
      </c>
      <c r="U28" s="315">
        <f t="shared" si="8"/>
        <v>0</v>
      </c>
      <c r="V28" s="315">
        <f>SUM(V23:V27)</f>
        <v>0</v>
      </c>
      <c r="W28" s="315">
        <f t="shared" si="8"/>
        <v>0</v>
      </c>
      <c r="X28" s="315">
        <f t="shared" si="8"/>
        <v>0</v>
      </c>
      <c r="Y28" s="315">
        <f>SUM(Y23:Y27)</f>
        <v>0</v>
      </c>
      <c r="Z28" s="315">
        <f t="shared" si="8"/>
        <v>0</v>
      </c>
      <c r="AA28" s="315">
        <f t="shared" si="8"/>
        <v>0</v>
      </c>
      <c r="AB28" s="315">
        <f>SUM(AB23:AB27)</f>
        <v>0</v>
      </c>
      <c r="AC28" s="315">
        <f t="shared" si="8"/>
        <v>0</v>
      </c>
      <c r="AD28" s="315">
        <f t="shared" si="8"/>
        <v>0</v>
      </c>
      <c r="AE28" s="315">
        <f>SUM(AE23:AE27)</f>
        <v>0</v>
      </c>
      <c r="AF28" s="315">
        <f t="shared" si="8"/>
        <v>0</v>
      </c>
      <c r="AG28" s="315">
        <f t="shared" si="8"/>
        <v>0</v>
      </c>
      <c r="AH28" s="315">
        <f>SUM(AH23:AH27)</f>
        <v>0</v>
      </c>
      <c r="AI28" s="315">
        <f t="shared" si="8"/>
        <v>0</v>
      </c>
      <c r="AJ28" s="315">
        <f t="shared" si="8"/>
        <v>0</v>
      </c>
      <c r="AK28" s="315">
        <f>SUM(AK23:AK27)</f>
        <v>0</v>
      </c>
      <c r="AL28" s="315">
        <f t="shared" si="8"/>
        <v>0</v>
      </c>
      <c r="AM28" s="315">
        <f t="shared" si="8"/>
        <v>0</v>
      </c>
      <c r="AN28" s="315">
        <f>SUM(AN23:AN27)</f>
        <v>0</v>
      </c>
      <c r="AO28" s="315">
        <f t="shared" si="8"/>
        <v>0</v>
      </c>
      <c r="AP28" s="315">
        <f t="shared" si="8"/>
        <v>0</v>
      </c>
      <c r="AQ28" s="315">
        <f>SUM(AQ23:AQ27)</f>
        <v>0</v>
      </c>
      <c r="AR28" s="315">
        <f t="shared" si="8"/>
        <v>0</v>
      </c>
      <c r="AS28" s="315">
        <f t="shared" si="8"/>
        <v>0</v>
      </c>
      <c r="AT28" s="315">
        <f>SUM(AT23:AT27)</f>
        <v>0</v>
      </c>
    </row>
    <row r="29" spans="1:46" ht="21.75" customHeight="1">
      <c r="A29" s="145" t="s">
        <v>156</v>
      </c>
      <c r="B29" s="117"/>
      <c r="C29" s="328"/>
      <c r="D29" s="119" t="s">
        <v>157</v>
      </c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22"/>
      <c r="AS29" s="322"/>
      <c r="AT29" s="322"/>
    </row>
    <row r="30" spans="1:46" ht="21.75" customHeight="1">
      <c r="A30" s="145"/>
      <c r="B30" s="321" t="s">
        <v>398</v>
      </c>
      <c r="C30" s="328"/>
      <c r="D30" s="290" t="s">
        <v>359</v>
      </c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22">
        <f aca="true" t="shared" si="9" ref="AR30:AT34">SUM(E30:AO30)</f>
        <v>0</v>
      </c>
      <c r="AS30" s="322">
        <f t="shared" si="9"/>
        <v>0</v>
      </c>
      <c r="AT30" s="322">
        <f t="shared" si="9"/>
        <v>0</v>
      </c>
    </row>
    <row r="31" spans="1:103" ht="21.75" customHeight="1">
      <c r="A31" s="74"/>
      <c r="B31" s="321" t="s">
        <v>158</v>
      </c>
      <c r="C31" s="290"/>
      <c r="D31" s="292" t="s">
        <v>62</v>
      </c>
      <c r="E31" s="305"/>
      <c r="F31" s="305"/>
      <c r="G31" s="305"/>
      <c r="H31" s="305"/>
      <c r="I31" s="305"/>
      <c r="J31" s="305"/>
      <c r="K31" s="307"/>
      <c r="L31" s="307"/>
      <c r="M31" s="307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22">
        <f t="shared" si="9"/>
        <v>0</v>
      </c>
      <c r="AS31" s="322">
        <f t="shared" si="9"/>
        <v>0</v>
      </c>
      <c r="AT31" s="322">
        <f t="shared" si="9"/>
        <v>0</v>
      </c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21.75" customHeight="1">
      <c r="A32" s="74"/>
      <c r="B32" s="321" t="s">
        <v>360</v>
      </c>
      <c r="C32" s="290"/>
      <c r="D32" s="292" t="s">
        <v>361</v>
      </c>
      <c r="E32" s="305"/>
      <c r="F32" s="305"/>
      <c r="G32" s="305"/>
      <c r="H32" s="305"/>
      <c r="I32" s="305"/>
      <c r="J32" s="305"/>
      <c r="K32" s="307"/>
      <c r="L32" s="307"/>
      <c r="M32" s="307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22">
        <f t="shared" si="9"/>
        <v>0</v>
      </c>
      <c r="AS32" s="322">
        <f t="shared" si="9"/>
        <v>0</v>
      </c>
      <c r="AT32" s="322">
        <f t="shared" si="9"/>
        <v>0</v>
      </c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46" ht="21.75" customHeight="1">
      <c r="A33" s="74"/>
      <c r="B33" s="321" t="s">
        <v>159</v>
      </c>
      <c r="C33" s="290"/>
      <c r="D33" s="292" t="s">
        <v>65</v>
      </c>
      <c r="E33" s="305"/>
      <c r="F33" s="305"/>
      <c r="G33" s="305"/>
      <c r="H33" s="305"/>
      <c r="I33" s="305"/>
      <c r="J33" s="305"/>
      <c r="K33" s="307"/>
      <c r="L33" s="307"/>
      <c r="M33" s="307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22">
        <f t="shared" si="9"/>
        <v>0</v>
      </c>
      <c r="AS33" s="322">
        <f t="shared" si="9"/>
        <v>0</v>
      </c>
      <c r="AT33" s="322">
        <f t="shared" si="9"/>
        <v>0</v>
      </c>
    </row>
    <row r="34" spans="1:46" ht="21.75" customHeight="1">
      <c r="A34" s="74"/>
      <c r="B34" s="321" t="s">
        <v>160</v>
      </c>
      <c r="C34" s="290"/>
      <c r="D34" s="292" t="s">
        <v>161</v>
      </c>
      <c r="E34" s="305"/>
      <c r="F34" s="305"/>
      <c r="G34" s="305"/>
      <c r="H34" s="305"/>
      <c r="I34" s="305"/>
      <c r="J34" s="305"/>
      <c r="K34" s="307"/>
      <c r="L34" s="307"/>
      <c r="M34" s="307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22">
        <f t="shared" si="9"/>
        <v>0</v>
      </c>
      <c r="AS34" s="322">
        <f t="shared" si="9"/>
        <v>0</v>
      </c>
      <c r="AT34" s="322">
        <f t="shared" si="9"/>
        <v>0</v>
      </c>
    </row>
    <row r="35" spans="1:46" ht="21.75" customHeight="1">
      <c r="A35" s="74"/>
      <c r="B35" s="329"/>
      <c r="C35" s="290"/>
      <c r="D35" s="331" t="s">
        <v>162</v>
      </c>
      <c r="E35" s="315">
        <f>SUM(E30:E34)</f>
        <v>0</v>
      </c>
      <c r="F35" s="315">
        <f>SUM(F30:F34)</f>
        <v>0</v>
      </c>
      <c r="G35" s="315">
        <f>SUM(G30:G34)</f>
        <v>0</v>
      </c>
      <c r="H35" s="315"/>
      <c r="I35" s="315"/>
      <c r="J35" s="315"/>
      <c r="K35" s="315">
        <f>SUM(K30:K34)</f>
        <v>0</v>
      </c>
      <c r="L35" s="315"/>
      <c r="M35" s="315"/>
      <c r="N35" s="315">
        <f aca="true" t="shared" si="10" ref="N35:AT35">SUM(N30:N34)</f>
        <v>0</v>
      </c>
      <c r="O35" s="315">
        <f t="shared" si="10"/>
        <v>0</v>
      </c>
      <c r="P35" s="315">
        <f t="shared" si="10"/>
        <v>0</v>
      </c>
      <c r="Q35" s="315">
        <f t="shared" si="10"/>
        <v>0</v>
      </c>
      <c r="R35" s="315">
        <f t="shared" si="10"/>
        <v>0</v>
      </c>
      <c r="S35" s="315">
        <f t="shared" si="10"/>
        <v>0</v>
      </c>
      <c r="T35" s="315">
        <f t="shared" si="10"/>
        <v>0</v>
      </c>
      <c r="U35" s="315">
        <f t="shared" si="10"/>
        <v>0</v>
      </c>
      <c r="V35" s="315">
        <f t="shared" si="10"/>
        <v>0</v>
      </c>
      <c r="W35" s="315">
        <f t="shared" si="10"/>
        <v>0</v>
      </c>
      <c r="X35" s="315">
        <f t="shared" si="10"/>
        <v>0</v>
      </c>
      <c r="Y35" s="315">
        <f t="shared" si="10"/>
        <v>0</v>
      </c>
      <c r="Z35" s="315">
        <f t="shared" si="10"/>
        <v>0</v>
      </c>
      <c r="AA35" s="315">
        <f t="shared" si="10"/>
        <v>0</v>
      </c>
      <c r="AB35" s="315">
        <f t="shared" si="10"/>
        <v>0</v>
      </c>
      <c r="AC35" s="315">
        <f t="shared" si="10"/>
        <v>0</v>
      </c>
      <c r="AD35" s="315">
        <f t="shared" si="10"/>
        <v>0</v>
      </c>
      <c r="AE35" s="315">
        <f t="shared" si="10"/>
        <v>0</v>
      </c>
      <c r="AF35" s="315">
        <f t="shared" si="10"/>
        <v>0</v>
      </c>
      <c r="AG35" s="315">
        <f t="shared" si="10"/>
        <v>0</v>
      </c>
      <c r="AH35" s="315">
        <f t="shared" si="10"/>
        <v>0</v>
      </c>
      <c r="AI35" s="315">
        <f t="shared" si="10"/>
        <v>0</v>
      </c>
      <c r="AJ35" s="315">
        <f t="shared" si="10"/>
        <v>0</v>
      </c>
      <c r="AK35" s="315">
        <f t="shared" si="10"/>
        <v>0</v>
      </c>
      <c r="AL35" s="315">
        <f t="shared" si="10"/>
        <v>0</v>
      </c>
      <c r="AM35" s="315">
        <f t="shared" si="10"/>
        <v>0</v>
      </c>
      <c r="AN35" s="315">
        <f t="shared" si="10"/>
        <v>0</v>
      </c>
      <c r="AO35" s="315">
        <f t="shared" si="10"/>
        <v>0</v>
      </c>
      <c r="AP35" s="315">
        <f t="shared" si="10"/>
        <v>0</v>
      </c>
      <c r="AQ35" s="315">
        <f t="shared" si="10"/>
        <v>0</v>
      </c>
      <c r="AR35" s="315">
        <f t="shared" si="10"/>
        <v>0</v>
      </c>
      <c r="AS35" s="315">
        <f t="shared" si="10"/>
        <v>0</v>
      </c>
      <c r="AT35" s="315">
        <f t="shared" si="10"/>
        <v>0</v>
      </c>
    </row>
    <row r="36" spans="1:46" ht="21.75" customHeight="1">
      <c r="A36" s="145" t="s">
        <v>163</v>
      </c>
      <c r="B36" s="117"/>
      <c r="C36" s="328"/>
      <c r="D36" s="119" t="s">
        <v>164</v>
      </c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22"/>
      <c r="AS36" s="322"/>
      <c r="AT36" s="322"/>
    </row>
    <row r="37" spans="1:46" ht="21.75" customHeight="1">
      <c r="A37" s="74"/>
      <c r="B37" s="321" t="s">
        <v>165</v>
      </c>
      <c r="C37" s="290">
        <v>931102</v>
      </c>
      <c r="D37" s="292" t="s">
        <v>166</v>
      </c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22">
        <f aca="true" t="shared" si="11" ref="AR37:AT39">SUM(E37:AO37)</f>
        <v>0</v>
      </c>
      <c r="AS37" s="322">
        <f t="shared" si="11"/>
        <v>0</v>
      </c>
      <c r="AT37" s="322">
        <f t="shared" si="11"/>
        <v>0</v>
      </c>
    </row>
    <row r="38" spans="1:46" ht="21.75" customHeight="1">
      <c r="A38" s="74"/>
      <c r="B38" s="321" t="s">
        <v>370</v>
      </c>
      <c r="C38" s="290">
        <v>910110</v>
      </c>
      <c r="D38" s="292" t="s">
        <v>442</v>
      </c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22">
        <f t="shared" si="11"/>
        <v>0</v>
      </c>
      <c r="AS38" s="322">
        <f t="shared" si="11"/>
        <v>0</v>
      </c>
      <c r="AT38" s="322">
        <f t="shared" si="11"/>
        <v>0</v>
      </c>
    </row>
    <row r="39" spans="1:46" ht="21.75" customHeight="1">
      <c r="A39" s="121"/>
      <c r="B39" s="321" t="s">
        <v>167</v>
      </c>
      <c r="C39" s="290">
        <v>932918</v>
      </c>
      <c r="D39" s="290" t="s">
        <v>78</v>
      </c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12"/>
      <c r="R39" s="312"/>
      <c r="S39" s="312"/>
      <c r="T39" s="312"/>
      <c r="U39" s="312"/>
      <c r="V39" s="312"/>
      <c r="W39" s="312"/>
      <c r="X39" s="312"/>
      <c r="Y39" s="312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12"/>
      <c r="AM39" s="312"/>
      <c r="AN39" s="312"/>
      <c r="AO39" s="312"/>
      <c r="AP39" s="312"/>
      <c r="AQ39" s="312"/>
      <c r="AR39" s="322">
        <f t="shared" si="11"/>
        <v>0</v>
      </c>
      <c r="AS39" s="322">
        <f t="shared" si="11"/>
        <v>0</v>
      </c>
      <c r="AT39" s="322">
        <f t="shared" si="11"/>
        <v>0</v>
      </c>
    </row>
    <row r="40" spans="1:46" ht="21.75" customHeight="1">
      <c r="A40" s="121"/>
      <c r="B40" s="329"/>
      <c r="C40" s="332"/>
      <c r="D40" s="294" t="s">
        <v>168</v>
      </c>
      <c r="E40" s="315">
        <f>SUM(E37:E39)</f>
        <v>0</v>
      </c>
      <c r="F40" s="315">
        <f>SUM(F37:F39)</f>
        <v>0</v>
      </c>
      <c r="G40" s="315">
        <f>SUM(G37:G39)</f>
        <v>0</v>
      </c>
      <c r="H40" s="315"/>
      <c r="I40" s="315"/>
      <c r="J40" s="315"/>
      <c r="K40" s="315">
        <f>SUM(K37:K39)</f>
        <v>0</v>
      </c>
      <c r="L40" s="315"/>
      <c r="M40" s="315"/>
      <c r="N40" s="315">
        <f aca="true" t="shared" si="12" ref="N40:AH40">SUM(N37:N39)</f>
        <v>0</v>
      </c>
      <c r="O40" s="315">
        <f t="shared" si="12"/>
        <v>0</v>
      </c>
      <c r="P40" s="315">
        <f t="shared" si="12"/>
        <v>0</v>
      </c>
      <c r="Q40" s="315">
        <f t="shared" si="12"/>
        <v>0</v>
      </c>
      <c r="R40" s="315">
        <f t="shared" si="12"/>
        <v>0</v>
      </c>
      <c r="S40" s="315">
        <f t="shared" si="12"/>
        <v>0</v>
      </c>
      <c r="T40" s="315">
        <f t="shared" si="12"/>
        <v>0</v>
      </c>
      <c r="U40" s="315">
        <f t="shared" si="12"/>
        <v>0</v>
      </c>
      <c r="V40" s="315">
        <f t="shared" si="12"/>
        <v>0</v>
      </c>
      <c r="W40" s="315">
        <f t="shared" si="12"/>
        <v>0</v>
      </c>
      <c r="X40" s="315">
        <f t="shared" si="12"/>
        <v>0</v>
      </c>
      <c r="Y40" s="315">
        <f t="shared" si="12"/>
        <v>0</v>
      </c>
      <c r="Z40" s="315">
        <f t="shared" si="12"/>
        <v>0</v>
      </c>
      <c r="AA40" s="315">
        <f t="shared" si="12"/>
        <v>0</v>
      </c>
      <c r="AB40" s="315">
        <f t="shared" si="12"/>
        <v>0</v>
      </c>
      <c r="AC40" s="315">
        <f t="shared" si="12"/>
        <v>0</v>
      </c>
      <c r="AD40" s="315">
        <f t="shared" si="12"/>
        <v>0</v>
      </c>
      <c r="AE40" s="315">
        <f t="shared" si="12"/>
        <v>0</v>
      </c>
      <c r="AF40" s="315">
        <f t="shared" si="12"/>
        <v>0</v>
      </c>
      <c r="AG40" s="315">
        <f t="shared" si="12"/>
        <v>0</v>
      </c>
      <c r="AH40" s="315">
        <f t="shared" si="12"/>
        <v>0</v>
      </c>
      <c r="AI40" s="315">
        <v>0</v>
      </c>
      <c r="AJ40" s="315">
        <v>0</v>
      </c>
      <c r="AK40" s="315">
        <v>0</v>
      </c>
      <c r="AL40" s="315">
        <f aca="true" t="shared" si="13" ref="AL40:AS40">SUM(AL37:AL39)</f>
        <v>0</v>
      </c>
      <c r="AM40" s="315">
        <f t="shared" si="13"/>
        <v>0</v>
      </c>
      <c r="AN40" s="315">
        <f>SUM(AN37:AN39)</f>
        <v>0</v>
      </c>
      <c r="AO40" s="315">
        <f t="shared" si="13"/>
        <v>0</v>
      </c>
      <c r="AP40" s="315">
        <f t="shared" si="13"/>
        <v>0</v>
      </c>
      <c r="AQ40" s="315">
        <f>SUM(AQ37:AQ39)</f>
        <v>0</v>
      </c>
      <c r="AR40" s="315">
        <f t="shared" si="13"/>
        <v>0</v>
      </c>
      <c r="AS40" s="315">
        <f t="shared" si="13"/>
        <v>0</v>
      </c>
      <c r="AT40" s="315">
        <f>SUM(AT37:AT39)</f>
        <v>0</v>
      </c>
    </row>
    <row r="41" spans="1:46" ht="21.75" customHeight="1">
      <c r="A41" s="145" t="s">
        <v>362</v>
      </c>
      <c r="B41" s="321"/>
      <c r="C41" s="333"/>
      <c r="D41" s="334" t="s">
        <v>363</v>
      </c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</row>
    <row r="42" spans="1:46" ht="21.75" customHeight="1">
      <c r="A42" s="121"/>
      <c r="B42" s="321" t="s">
        <v>173</v>
      </c>
      <c r="C42" s="333"/>
      <c r="D42" s="295" t="s">
        <v>175</v>
      </c>
      <c r="E42" s="307"/>
      <c r="F42" s="307"/>
      <c r="G42" s="307"/>
      <c r="H42" s="307"/>
      <c r="I42" s="307"/>
      <c r="J42" s="307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22">
        <f aca="true" t="shared" si="14" ref="AR42:AT45">SUM(E42:AO42)</f>
        <v>0</v>
      </c>
      <c r="AS42" s="322">
        <f t="shared" si="14"/>
        <v>0</v>
      </c>
      <c r="AT42" s="322">
        <f t="shared" si="14"/>
        <v>0</v>
      </c>
    </row>
    <row r="43" spans="1:46" ht="21.75" customHeight="1">
      <c r="A43" s="121"/>
      <c r="B43" s="321" t="s">
        <v>174</v>
      </c>
      <c r="C43" s="333"/>
      <c r="D43" s="295" t="s">
        <v>175</v>
      </c>
      <c r="E43" s="307"/>
      <c r="F43" s="307" t="s">
        <v>601</v>
      </c>
      <c r="G43" s="307" t="s">
        <v>601</v>
      </c>
      <c r="H43" s="307"/>
      <c r="I43" s="307"/>
      <c r="J43" s="307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22">
        <f t="shared" si="14"/>
        <v>0</v>
      </c>
      <c r="AS43" s="322">
        <f t="shared" si="14"/>
        <v>0</v>
      </c>
      <c r="AT43" s="322">
        <f t="shared" si="14"/>
        <v>0</v>
      </c>
    </row>
    <row r="44" spans="1:46" ht="21.75" customHeight="1">
      <c r="A44" s="121"/>
      <c r="B44" s="321" t="s">
        <v>176</v>
      </c>
      <c r="C44" s="333" t="s">
        <v>366</v>
      </c>
      <c r="D44" s="295" t="s">
        <v>177</v>
      </c>
      <c r="E44" s="307"/>
      <c r="F44" s="307"/>
      <c r="G44" s="307"/>
      <c r="H44" s="307"/>
      <c r="I44" s="307"/>
      <c r="J44" s="307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22">
        <f t="shared" si="14"/>
        <v>0</v>
      </c>
      <c r="AS44" s="322">
        <f t="shared" si="14"/>
        <v>0</v>
      </c>
      <c r="AT44" s="322">
        <f t="shared" si="14"/>
        <v>0</v>
      </c>
    </row>
    <row r="45" spans="1:46" ht="21.75" customHeight="1">
      <c r="A45" s="121"/>
      <c r="B45" s="321" t="s">
        <v>178</v>
      </c>
      <c r="C45" s="333"/>
      <c r="D45" s="295" t="s">
        <v>179</v>
      </c>
      <c r="E45" s="307"/>
      <c r="F45" s="307"/>
      <c r="G45" s="307"/>
      <c r="H45" s="307"/>
      <c r="I45" s="307"/>
      <c r="J45" s="307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22">
        <f t="shared" si="14"/>
        <v>0</v>
      </c>
      <c r="AS45" s="322">
        <f t="shared" si="14"/>
        <v>0</v>
      </c>
      <c r="AT45" s="322">
        <f t="shared" si="14"/>
        <v>0</v>
      </c>
    </row>
    <row r="46" spans="1:46" ht="21.75" customHeight="1">
      <c r="A46" s="145"/>
      <c r="B46" s="294"/>
      <c r="C46" s="335"/>
      <c r="D46" s="294" t="s">
        <v>364</v>
      </c>
      <c r="E46" s="315">
        <f>SUM(E42:E45)</f>
        <v>0</v>
      </c>
      <c r="F46" s="315">
        <f>SUM(F42:F45)</f>
        <v>0</v>
      </c>
      <c r="G46" s="315">
        <f>SUM(G42:G45)</f>
        <v>0</v>
      </c>
      <c r="H46" s="315"/>
      <c r="I46" s="315"/>
      <c r="J46" s="315"/>
      <c r="K46" s="315">
        <f>SUM(K42:K45)</f>
        <v>0</v>
      </c>
      <c r="L46" s="315"/>
      <c r="M46" s="315"/>
      <c r="N46" s="315">
        <f aca="true" t="shared" si="15" ref="N46:AT46">SUM(N42:N45)</f>
        <v>0</v>
      </c>
      <c r="O46" s="315">
        <f t="shared" si="15"/>
        <v>0</v>
      </c>
      <c r="P46" s="315">
        <f t="shared" si="15"/>
        <v>0</v>
      </c>
      <c r="Q46" s="315">
        <f t="shared" si="15"/>
        <v>0</v>
      </c>
      <c r="R46" s="315">
        <f t="shared" si="15"/>
        <v>0</v>
      </c>
      <c r="S46" s="315">
        <f t="shared" si="15"/>
        <v>0</v>
      </c>
      <c r="T46" s="315">
        <f t="shared" si="15"/>
        <v>0</v>
      </c>
      <c r="U46" s="315">
        <f t="shared" si="15"/>
        <v>0</v>
      </c>
      <c r="V46" s="315">
        <f t="shared" si="15"/>
        <v>0</v>
      </c>
      <c r="W46" s="315">
        <f t="shared" si="15"/>
        <v>0</v>
      </c>
      <c r="X46" s="315">
        <f t="shared" si="15"/>
        <v>0</v>
      </c>
      <c r="Y46" s="315">
        <f t="shared" si="15"/>
        <v>0</v>
      </c>
      <c r="Z46" s="315">
        <f t="shared" si="15"/>
        <v>0</v>
      </c>
      <c r="AA46" s="315">
        <f t="shared" si="15"/>
        <v>0</v>
      </c>
      <c r="AB46" s="315">
        <f t="shared" si="15"/>
        <v>0</v>
      </c>
      <c r="AC46" s="315">
        <f t="shared" si="15"/>
        <v>0</v>
      </c>
      <c r="AD46" s="315">
        <f t="shared" si="15"/>
        <v>0</v>
      </c>
      <c r="AE46" s="315">
        <f t="shared" si="15"/>
        <v>0</v>
      </c>
      <c r="AF46" s="315">
        <f t="shared" si="15"/>
        <v>0</v>
      </c>
      <c r="AG46" s="315">
        <f t="shared" si="15"/>
        <v>0</v>
      </c>
      <c r="AH46" s="315">
        <f t="shared" si="15"/>
        <v>0</v>
      </c>
      <c r="AI46" s="315">
        <f t="shared" si="15"/>
        <v>0</v>
      </c>
      <c r="AJ46" s="315">
        <f t="shared" si="15"/>
        <v>0</v>
      </c>
      <c r="AK46" s="315">
        <f t="shared" si="15"/>
        <v>0</v>
      </c>
      <c r="AL46" s="315">
        <f t="shared" si="15"/>
        <v>0</v>
      </c>
      <c r="AM46" s="315">
        <f t="shared" si="15"/>
        <v>0</v>
      </c>
      <c r="AN46" s="315">
        <f t="shared" si="15"/>
        <v>0</v>
      </c>
      <c r="AO46" s="315">
        <f t="shared" si="15"/>
        <v>0</v>
      </c>
      <c r="AP46" s="315">
        <f t="shared" si="15"/>
        <v>0</v>
      </c>
      <c r="AQ46" s="315">
        <f t="shared" si="15"/>
        <v>0</v>
      </c>
      <c r="AR46" s="315">
        <f t="shared" si="15"/>
        <v>0</v>
      </c>
      <c r="AS46" s="315">
        <f t="shared" si="15"/>
        <v>0</v>
      </c>
      <c r="AT46" s="315">
        <f t="shared" si="15"/>
        <v>0</v>
      </c>
    </row>
    <row r="47" spans="1:46" ht="21.75" customHeight="1">
      <c r="A47" s="145" t="s">
        <v>13</v>
      </c>
      <c r="B47" s="117"/>
      <c r="C47" s="328"/>
      <c r="D47" s="119" t="s">
        <v>365</v>
      </c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22">
        <f aca="true" t="shared" si="16" ref="AR47:AR56">SUM(E47,K47,N47,Q47,T47,W47,Z47,AC47,AF47,AI47,AL47,AO47)</f>
        <v>0</v>
      </c>
      <c r="AS47" s="322">
        <f aca="true" t="shared" si="17" ref="AS47:AT56">SUM(F47,L47,O47,R47,U47,X47,AA47,AD47,AG47,AJ47,AM47,AP47)</f>
        <v>0</v>
      </c>
      <c r="AT47" s="322">
        <f t="shared" si="17"/>
        <v>0</v>
      </c>
    </row>
    <row r="48" spans="1:46" ht="21.75" customHeight="1">
      <c r="A48" s="145"/>
      <c r="B48" s="290">
        <v>101150</v>
      </c>
      <c r="C48" s="328"/>
      <c r="D48" s="290" t="s">
        <v>417</v>
      </c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22">
        <f t="shared" si="16"/>
        <v>0</v>
      </c>
      <c r="AS48" s="322">
        <f t="shared" si="17"/>
        <v>0</v>
      </c>
      <c r="AT48" s="322">
        <f t="shared" si="17"/>
        <v>0</v>
      </c>
    </row>
    <row r="49" spans="1:46" ht="21.75" customHeight="1">
      <c r="A49" s="145"/>
      <c r="B49" s="321" t="s">
        <v>180</v>
      </c>
      <c r="C49" s="290">
        <v>889101</v>
      </c>
      <c r="D49" s="290" t="s">
        <v>181</v>
      </c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22">
        <f t="shared" si="16"/>
        <v>0</v>
      </c>
      <c r="AS49" s="322">
        <f t="shared" si="17"/>
        <v>0</v>
      </c>
      <c r="AT49" s="322">
        <f t="shared" si="17"/>
        <v>0</v>
      </c>
    </row>
    <row r="50" spans="1:46" ht="21.75" customHeight="1">
      <c r="A50" s="145"/>
      <c r="B50" s="321" t="s">
        <v>459</v>
      </c>
      <c r="C50" s="333"/>
      <c r="D50" s="290" t="s">
        <v>460</v>
      </c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22">
        <f t="shared" si="16"/>
        <v>0</v>
      </c>
      <c r="AS50" s="322">
        <f t="shared" si="17"/>
        <v>0</v>
      </c>
      <c r="AT50" s="322">
        <f t="shared" si="17"/>
        <v>0</v>
      </c>
    </row>
    <row r="51" spans="1:46" ht="21.75" customHeight="1">
      <c r="A51" s="145"/>
      <c r="B51" s="290">
        <v>104042</v>
      </c>
      <c r="C51" s="328"/>
      <c r="D51" s="290" t="s">
        <v>367</v>
      </c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22">
        <f t="shared" si="16"/>
        <v>0</v>
      </c>
      <c r="AS51" s="322">
        <f t="shared" si="17"/>
        <v>0</v>
      </c>
      <c r="AT51" s="322">
        <f t="shared" si="17"/>
        <v>0</v>
      </c>
    </row>
    <row r="52" spans="1:46" ht="21.75" customHeight="1">
      <c r="A52" s="145"/>
      <c r="B52" s="290">
        <v>105010</v>
      </c>
      <c r="C52" s="328"/>
      <c r="D52" s="290" t="s">
        <v>418</v>
      </c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22">
        <f t="shared" si="16"/>
        <v>0</v>
      </c>
      <c r="AS52" s="322">
        <f t="shared" si="17"/>
        <v>0</v>
      </c>
      <c r="AT52" s="322">
        <f t="shared" si="17"/>
        <v>0</v>
      </c>
    </row>
    <row r="53" spans="1:46" ht="21.75" customHeight="1">
      <c r="A53" s="145"/>
      <c r="B53" s="290">
        <v>106020</v>
      </c>
      <c r="C53" s="328"/>
      <c r="D53" s="290" t="s">
        <v>399</v>
      </c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22">
        <f t="shared" si="16"/>
        <v>0</v>
      </c>
      <c r="AS53" s="322">
        <f t="shared" si="17"/>
        <v>0</v>
      </c>
      <c r="AT53" s="322">
        <f t="shared" si="17"/>
        <v>0</v>
      </c>
    </row>
    <row r="54" spans="1:46" ht="21.75" customHeight="1">
      <c r="A54" s="145"/>
      <c r="B54" s="321" t="s">
        <v>170</v>
      </c>
      <c r="C54" s="290">
        <v>889921</v>
      </c>
      <c r="D54" s="292" t="s">
        <v>63</v>
      </c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>
        <v>2540000</v>
      </c>
      <c r="U54" s="307">
        <v>2540000</v>
      </c>
      <c r="V54" s="307">
        <v>2540000</v>
      </c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22">
        <f t="shared" si="16"/>
        <v>2540000</v>
      </c>
      <c r="AS54" s="322">
        <f t="shared" si="17"/>
        <v>2540000</v>
      </c>
      <c r="AT54" s="322">
        <f>SUM(G54,M54,P54,S54,V54,Y54,AB54,AE54,AH54,AK54,AN54,AQ54)</f>
        <v>2540000</v>
      </c>
    </row>
    <row r="55" spans="1:46" ht="21.75" customHeight="1">
      <c r="A55" s="145"/>
      <c r="B55" s="290">
        <v>107055</v>
      </c>
      <c r="C55" s="328"/>
      <c r="D55" s="290" t="s">
        <v>443</v>
      </c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22">
        <f t="shared" si="16"/>
        <v>0</v>
      </c>
      <c r="AS55" s="322">
        <f t="shared" si="17"/>
        <v>0</v>
      </c>
      <c r="AT55" s="322">
        <f t="shared" si="17"/>
        <v>0</v>
      </c>
    </row>
    <row r="56" spans="1:46" ht="21.75" customHeight="1">
      <c r="A56" s="74"/>
      <c r="B56" s="321" t="s">
        <v>444</v>
      </c>
      <c r="C56" s="290">
        <v>889921</v>
      </c>
      <c r="D56" s="292" t="s">
        <v>445</v>
      </c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22">
        <f t="shared" si="16"/>
        <v>0</v>
      </c>
      <c r="AS56" s="322">
        <f t="shared" si="17"/>
        <v>0</v>
      </c>
      <c r="AT56" s="322">
        <f t="shared" si="17"/>
        <v>0</v>
      </c>
    </row>
    <row r="57" spans="1:46" ht="21.75" customHeight="1">
      <c r="A57" s="121"/>
      <c r="B57" s="329"/>
      <c r="C57" s="332"/>
      <c r="D57" s="332" t="s">
        <v>171</v>
      </c>
      <c r="E57" s="315">
        <f>SUM(E48:E56)</f>
        <v>0</v>
      </c>
      <c r="F57" s="315">
        <f>SUM(F48:F56)</f>
        <v>0</v>
      </c>
      <c r="G57" s="315">
        <f>SUM(G48:G56)</f>
        <v>0</v>
      </c>
      <c r="H57" s="315"/>
      <c r="I57" s="315"/>
      <c r="J57" s="315"/>
      <c r="K57" s="315">
        <f>SUM(K48:K56)</f>
        <v>0</v>
      </c>
      <c r="L57" s="315"/>
      <c r="M57" s="315"/>
      <c r="N57" s="315">
        <f aca="true" t="shared" si="18" ref="N57:AT57">SUM(N48:N56)</f>
        <v>0</v>
      </c>
      <c r="O57" s="315">
        <f t="shared" si="18"/>
        <v>0</v>
      </c>
      <c r="P57" s="315">
        <f t="shared" si="18"/>
        <v>0</v>
      </c>
      <c r="Q57" s="315">
        <f t="shared" si="18"/>
        <v>0</v>
      </c>
      <c r="R57" s="315">
        <f t="shared" si="18"/>
        <v>0</v>
      </c>
      <c r="S57" s="315">
        <f t="shared" si="18"/>
        <v>0</v>
      </c>
      <c r="T57" s="315">
        <f t="shared" si="18"/>
        <v>2540000</v>
      </c>
      <c r="U57" s="315">
        <f t="shared" si="18"/>
        <v>2540000</v>
      </c>
      <c r="V57" s="315">
        <f t="shared" si="18"/>
        <v>2540000</v>
      </c>
      <c r="W57" s="315">
        <f t="shared" si="18"/>
        <v>0</v>
      </c>
      <c r="X57" s="315">
        <f t="shared" si="18"/>
        <v>0</v>
      </c>
      <c r="Y57" s="315">
        <f t="shared" si="18"/>
        <v>0</v>
      </c>
      <c r="Z57" s="315">
        <f t="shared" si="18"/>
        <v>0</v>
      </c>
      <c r="AA57" s="315">
        <f t="shared" si="18"/>
        <v>0</v>
      </c>
      <c r="AB57" s="315">
        <f t="shared" si="18"/>
        <v>0</v>
      </c>
      <c r="AC57" s="315">
        <f t="shared" si="18"/>
        <v>0</v>
      </c>
      <c r="AD57" s="315">
        <f t="shared" si="18"/>
        <v>0</v>
      </c>
      <c r="AE57" s="315">
        <f t="shared" si="18"/>
        <v>0</v>
      </c>
      <c r="AF57" s="315">
        <f t="shared" si="18"/>
        <v>0</v>
      </c>
      <c r="AG57" s="315">
        <f t="shared" si="18"/>
        <v>0</v>
      </c>
      <c r="AH57" s="315">
        <f t="shared" si="18"/>
        <v>0</v>
      </c>
      <c r="AI57" s="315">
        <f t="shared" si="18"/>
        <v>0</v>
      </c>
      <c r="AJ57" s="315">
        <f t="shared" si="18"/>
        <v>0</v>
      </c>
      <c r="AK57" s="315">
        <f t="shared" si="18"/>
        <v>0</v>
      </c>
      <c r="AL57" s="315">
        <f t="shared" si="18"/>
        <v>0</v>
      </c>
      <c r="AM57" s="315">
        <f t="shared" si="18"/>
        <v>0</v>
      </c>
      <c r="AN57" s="315">
        <f t="shared" si="18"/>
        <v>0</v>
      </c>
      <c r="AO57" s="315">
        <f t="shared" si="18"/>
        <v>0</v>
      </c>
      <c r="AP57" s="315">
        <f t="shared" si="18"/>
        <v>0</v>
      </c>
      <c r="AQ57" s="315">
        <f t="shared" si="18"/>
        <v>0</v>
      </c>
      <c r="AR57" s="315">
        <f t="shared" si="18"/>
        <v>2540000</v>
      </c>
      <c r="AS57" s="315">
        <f t="shared" si="18"/>
        <v>2540000</v>
      </c>
      <c r="AT57" s="315">
        <f t="shared" si="18"/>
        <v>2540000</v>
      </c>
    </row>
    <row r="58" spans="1:46" ht="21.75" customHeight="1">
      <c r="A58" s="121"/>
      <c r="B58" s="329" t="s">
        <v>368</v>
      </c>
      <c r="C58" s="332"/>
      <c r="D58" s="332" t="s">
        <v>369</v>
      </c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36">
        <v>13300000</v>
      </c>
      <c r="R58" s="336">
        <v>13300000</v>
      </c>
      <c r="S58" s="336">
        <v>15644117</v>
      </c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>
        <f>SUM(E58,K58,N58,Q58,T58,W58,Z58,AC58,AF58,AI58,AL58,AO58)</f>
        <v>13300000</v>
      </c>
      <c r="AS58" s="315">
        <f>SUM(F58,L58,O58,R58,U58,X58,AA58,AD58,AG58,AJ58,AM58,AP58)</f>
        <v>13300000</v>
      </c>
      <c r="AT58" s="315">
        <f>SUM(G58,M58,P58,S58,V58,Y58,AB58,AE58,AH58,AK58,AN58,AQ58)</f>
        <v>15644117</v>
      </c>
    </row>
    <row r="59" spans="1:46" s="155" customFormat="1" ht="21.75" customHeight="1">
      <c r="A59" s="320"/>
      <c r="B59" s="401"/>
      <c r="C59" s="402"/>
      <c r="D59" s="403" t="s">
        <v>75</v>
      </c>
      <c r="E59" s="404">
        <f aca="true" t="shared" si="19" ref="E59:AT59">SUM(E11,E17,E21,E28,E35,E40,E57,E46,E58)</f>
        <v>40123348</v>
      </c>
      <c r="F59" s="404">
        <f t="shared" si="19"/>
        <v>40578513</v>
      </c>
      <c r="G59" s="404">
        <f t="shared" si="19"/>
        <v>42914466</v>
      </c>
      <c r="H59" s="404">
        <f t="shared" si="19"/>
        <v>0</v>
      </c>
      <c r="I59" s="404">
        <f t="shared" si="19"/>
        <v>1529736</v>
      </c>
      <c r="J59" s="404">
        <f t="shared" si="19"/>
        <v>1529736</v>
      </c>
      <c r="K59" s="404">
        <f t="shared" si="19"/>
        <v>3289879</v>
      </c>
      <c r="L59" s="404">
        <f t="shared" si="19"/>
        <v>7193715</v>
      </c>
      <c r="M59" s="404">
        <f t="shared" si="19"/>
        <v>7903017</v>
      </c>
      <c r="N59" s="404">
        <f t="shared" si="19"/>
        <v>43284493</v>
      </c>
      <c r="O59" s="404">
        <f t="shared" si="19"/>
        <v>43284493</v>
      </c>
      <c r="P59" s="404">
        <f t="shared" si="19"/>
        <v>50750046</v>
      </c>
      <c r="Q59" s="404">
        <f t="shared" si="19"/>
        <v>13300000</v>
      </c>
      <c r="R59" s="404">
        <f t="shared" si="19"/>
        <v>13300000</v>
      </c>
      <c r="S59" s="404">
        <f t="shared" si="19"/>
        <v>15644117</v>
      </c>
      <c r="T59" s="404">
        <f t="shared" si="19"/>
        <v>3301600</v>
      </c>
      <c r="U59" s="404">
        <f t="shared" si="19"/>
        <v>3301600</v>
      </c>
      <c r="V59" s="404">
        <f t="shared" si="19"/>
        <v>8743601</v>
      </c>
      <c r="W59" s="404">
        <f t="shared" si="19"/>
        <v>0</v>
      </c>
      <c r="X59" s="404">
        <f t="shared" si="19"/>
        <v>0</v>
      </c>
      <c r="Y59" s="404">
        <f t="shared" si="19"/>
        <v>10005000</v>
      </c>
      <c r="Z59" s="404">
        <f t="shared" si="19"/>
        <v>0</v>
      </c>
      <c r="AA59" s="404">
        <f t="shared" si="19"/>
        <v>0</v>
      </c>
      <c r="AB59" s="404">
        <f t="shared" si="19"/>
        <v>0</v>
      </c>
      <c r="AC59" s="404">
        <f t="shared" si="19"/>
        <v>0</v>
      </c>
      <c r="AD59" s="404">
        <f t="shared" si="19"/>
        <v>0</v>
      </c>
      <c r="AE59" s="404">
        <f t="shared" si="19"/>
        <v>0</v>
      </c>
      <c r="AF59" s="404">
        <f t="shared" si="19"/>
        <v>0</v>
      </c>
      <c r="AG59" s="404">
        <f t="shared" si="19"/>
        <v>0</v>
      </c>
      <c r="AH59" s="404">
        <f t="shared" si="19"/>
        <v>0</v>
      </c>
      <c r="AI59" s="404">
        <f t="shared" si="19"/>
        <v>0</v>
      </c>
      <c r="AJ59" s="404">
        <f t="shared" si="19"/>
        <v>0</v>
      </c>
      <c r="AK59" s="404">
        <f t="shared" si="19"/>
        <v>0</v>
      </c>
      <c r="AL59" s="404">
        <f t="shared" si="19"/>
        <v>60413118</v>
      </c>
      <c r="AM59" s="404">
        <f t="shared" si="19"/>
        <v>60413118</v>
      </c>
      <c r="AN59" s="404">
        <f t="shared" si="19"/>
        <v>60413118</v>
      </c>
      <c r="AO59" s="404">
        <f t="shared" si="19"/>
        <v>0</v>
      </c>
      <c r="AP59" s="404">
        <f t="shared" si="19"/>
        <v>0</v>
      </c>
      <c r="AQ59" s="404">
        <f t="shared" si="19"/>
        <v>0</v>
      </c>
      <c r="AR59" s="404">
        <f t="shared" si="19"/>
        <v>163712438</v>
      </c>
      <c r="AS59" s="404">
        <f t="shared" si="19"/>
        <v>169601175</v>
      </c>
      <c r="AT59" s="404">
        <f t="shared" si="19"/>
        <v>197903101</v>
      </c>
    </row>
    <row r="60" spans="1:46" s="155" customFormat="1" ht="21.75" customHeight="1">
      <c r="A60" s="320"/>
      <c r="B60" s="401" t="s">
        <v>174</v>
      </c>
      <c r="C60" s="402"/>
      <c r="D60" s="434" t="s">
        <v>517</v>
      </c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  <c r="AN60" s="404"/>
      <c r="AO60" s="404"/>
      <c r="AP60" s="404"/>
      <c r="AQ60" s="404"/>
      <c r="AR60" s="404">
        <f aca="true" t="shared" si="20" ref="AR60:AT64">SUM(E60,K60,N60,Q60,T60,W60,Z60,AC60,AF60,AI60,AL60,AO60)</f>
        <v>0</v>
      </c>
      <c r="AS60" s="404">
        <f t="shared" si="20"/>
        <v>0</v>
      </c>
      <c r="AT60" s="404">
        <f t="shared" si="20"/>
        <v>0</v>
      </c>
    </row>
    <row r="61" spans="1:46" s="155" customFormat="1" ht="21.75" customHeight="1">
      <c r="A61" s="320"/>
      <c r="B61" s="401" t="s">
        <v>521</v>
      </c>
      <c r="C61" s="402"/>
      <c r="D61" s="434" t="s">
        <v>518</v>
      </c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404"/>
      <c r="AQ61" s="404"/>
      <c r="AR61" s="404">
        <f t="shared" si="20"/>
        <v>0</v>
      </c>
      <c r="AS61" s="404">
        <f t="shared" si="20"/>
        <v>0</v>
      </c>
      <c r="AT61" s="404">
        <f t="shared" si="20"/>
        <v>0</v>
      </c>
    </row>
    <row r="62" spans="1:46" s="155" customFormat="1" ht="21.75" customHeight="1">
      <c r="A62" s="320"/>
      <c r="B62" s="401" t="s">
        <v>524</v>
      </c>
      <c r="C62" s="402"/>
      <c r="D62" s="434" t="s">
        <v>519</v>
      </c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  <c r="AN62" s="404"/>
      <c r="AO62" s="404"/>
      <c r="AP62" s="404"/>
      <c r="AQ62" s="404"/>
      <c r="AR62" s="404">
        <f t="shared" si="20"/>
        <v>0</v>
      </c>
      <c r="AS62" s="404">
        <f t="shared" si="20"/>
        <v>0</v>
      </c>
      <c r="AT62" s="404">
        <f t="shared" si="20"/>
        <v>0</v>
      </c>
    </row>
    <row r="63" spans="1:46" s="155" customFormat="1" ht="21.75" customHeight="1">
      <c r="A63" s="320"/>
      <c r="B63" s="401" t="s">
        <v>523</v>
      </c>
      <c r="C63" s="402"/>
      <c r="D63" s="434" t="s">
        <v>522</v>
      </c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>
        <v>19716750</v>
      </c>
      <c r="U63" s="404">
        <v>19716750</v>
      </c>
      <c r="V63" s="404">
        <v>19716750</v>
      </c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  <c r="AN63" s="404"/>
      <c r="AO63" s="404"/>
      <c r="AP63" s="404"/>
      <c r="AQ63" s="404"/>
      <c r="AR63" s="404">
        <f t="shared" si="20"/>
        <v>19716750</v>
      </c>
      <c r="AS63" s="404">
        <f t="shared" si="20"/>
        <v>19716750</v>
      </c>
      <c r="AT63" s="404">
        <f t="shared" si="20"/>
        <v>19716750</v>
      </c>
    </row>
    <row r="64" spans="1:46" s="155" customFormat="1" ht="21.75" customHeight="1">
      <c r="A64" s="320"/>
      <c r="B64" s="325" t="s">
        <v>172</v>
      </c>
      <c r="C64" s="290"/>
      <c r="D64" s="434" t="s">
        <v>184</v>
      </c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  <c r="AK64" s="404"/>
      <c r="AL64" s="404">
        <v>0</v>
      </c>
      <c r="AM64" s="404">
        <v>2037736</v>
      </c>
      <c r="AN64" s="404">
        <v>2037736</v>
      </c>
      <c r="AO64" s="404"/>
      <c r="AP64" s="404"/>
      <c r="AQ64" s="404"/>
      <c r="AR64" s="404"/>
      <c r="AS64" s="404"/>
      <c r="AT64" s="404">
        <f t="shared" si="20"/>
        <v>2037736</v>
      </c>
    </row>
    <row r="65" spans="1:46" s="155" customFormat="1" ht="21.75" customHeight="1">
      <c r="A65" s="320"/>
      <c r="B65" s="401"/>
      <c r="C65" s="402"/>
      <c r="D65" s="403" t="s">
        <v>525</v>
      </c>
      <c r="E65" s="404">
        <f aca="true" t="shared" si="21" ref="E65:AL65">SUM(E60,E61,E62,E63)</f>
        <v>0</v>
      </c>
      <c r="F65" s="404">
        <f t="shared" si="21"/>
        <v>0</v>
      </c>
      <c r="G65" s="404">
        <f t="shared" si="21"/>
        <v>0</v>
      </c>
      <c r="H65" s="404">
        <f t="shared" si="21"/>
        <v>0</v>
      </c>
      <c r="I65" s="404">
        <f t="shared" si="21"/>
        <v>0</v>
      </c>
      <c r="J65" s="404">
        <f t="shared" si="21"/>
        <v>0</v>
      </c>
      <c r="K65" s="404">
        <f t="shared" si="21"/>
        <v>0</v>
      </c>
      <c r="L65" s="404">
        <f t="shared" si="21"/>
        <v>0</v>
      </c>
      <c r="M65" s="404">
        <f t="shared" si="21"/>
        <v>0</v>
      </c>
      <c r="N65" s="404">
        <f t="shared" si="21"/>
        <v>0</v>
      </c>
      <c r="O65" s="404">
        <f t="shared" si="21"/>
        <v>0</v>
      </c>
      <c r="P65" s="404">
        <f t="shared" si="21"/>
        <v>0</v>
      </c>
      <c r="Q65" s="404">
        <f t="shared" si="21"/>
        <v>0</v>
      </c>
      <c r="R65" s="404">
        <f t="shared" si="21"/>
        <v>0</v>
      </c>
      <c r="S65" s="404">
        <f t="shared" si="21"/>
        <v>0</v>
      </c>
      <c r="T65" s="404">
        <f t="shared" si="21"/>
        <v>19716750</v>
      </c>
      <c r="U65" s="404">
        <f t="shared" si="21"/>
        <v>19716750</v>
      </c>
      <c r="V65" s="404">
        <f t="shared" si="21"/>
        <v>19716750</v>
      </c>
      <c r="W65" s="404">
        <f t="shared" si="21"/>
        <v>0</v>
      </c>
      <c r="X65" s="404">
        <f t="shared" si="21"/>
        <v>0</v>
      </c>
      <c r="Y65" s="404">
        <f t="shared" si="21"/>
        <v>0</v>
      </c>
      <c r="Z65" s="404">
        <f t="shared" si="21"/>
        <v>0</v>
      </c>
      <c r="AA65" s="404">
        <f t="shared" si="21"/>
        <v>0</v>
      </c>
      <c r="AB65" s="404">
        <f t="shared" si="21"/>
        <v>0</v>
      </c>
      <c r="AC65" s="404">
        <f t="shared" si="21"/>
        <v>0</v>
      </c>
      <c r="AD65" s="404">
        <f t="shared" si="21"/>
        <v>0</v>
      </c>
      <c r="AE65" s="404">
        <f t="shared" si="21"/>
        <v>0</v>
      </c>
      <c r="AF65" s="404">
        <f t="shared" si="21"/>
        <v>0</v>
      </c>
      <c r="AG65" s="404">
        <f t="shared" si="21"/>
        <v>0</v>
      </c>
      <c r="AH65" s="404">
        <f t="shared" si="21"/>
        <v>0</v>
      </c>
      <c r="AI65" s="404">
        <f t="shared" si="21"/>
        <v>0</v>
      </c>
      <c r="AJ65" s="404">
        <f t="shared" si="21"/>
        <v>0</v>
      </c>
      <c r="AK65" s="404">
        <f t="shared" si="21"/>
        <v>0</v>
      </c>
      <c r="AL65" s="404">
        <f t="shared" si="21"/>
        <v>0</v>
      </c>
      <c r="AM65" s="404">
        <f>SUM(AM60,AM61,AM62,AM63,AM64)</f>
        <v>2037736</v>
      </c>
      <c r="AN65" s="404">
        <f>SUM(AN60,AN61,AN62,AN63,AN64)</f>
        <v>2037736</v>
      </c>
      <c r="AO65" s="404">
        <f>SUM(AO60,AO61,AO62,AO63)</f>
        <v>0</v>
      </c>
      <c r="AP65" s="404">
        <f>SUM(AP60,AP61,AP62,AP63)</f>
        <v>0</v>
      </c>
      <c r="AQ65" s="404">
        <f>SUM(AQ60,AQ61,AQ62,AQ63)</f>
        <v>0</v>
      </c>
      <c r="AR65" s="404">
        <f>SUM(AR60:AR63)</f>
        <v>19716750</v>
      </c>
      <c r="AS65" s="404">
        <f>SUM(AS60:AS63)</f>
        <v>19716750</v>
      </c>
      <c r="AT65" s="404">
        <f>SUM(AT60:AT64)</f>
        <v>21754486</v>
      </c>
    </row>
    <row r="66" spans="1:46" ht="21.75" customHeight="1">
      <c r="A66" s="95"/>
      <c r="B66" s="337"/>
      <c r="C66" s="332"/>
      <c r="D66" s="338" t="s">
        <v>30</v>
      </c>
      <c r="E66" s="339">
        <f aca="true" t="shared" si="22" ref="E66:AQ66">SUM(E59+E65)</f>
        <v>40123348</v>
      </c>
      <c r="F66" s="339">
        <f t="shared" si="22"/>
        <v>40578513</v>
      </c>
      <c r="G66" s="339">
        <f t="shared" si="22"/>
        <v>42914466</v>
      </c>
      <c r="H66" s="339">
        <f t="shared" si="22"/>
        <v>0</v>
      </c>
      <c r="I66" s="339">
        <f t="shared" si="22"/>
        <v>1529736</v>
      </c>
      <c r="J66" s="339">
        <f t="shared" si="22"/>
        <v>1529736</v>
      </c>
      <c r="K66" s="339">
        <f t="shared" si="22"/>
        <v>3289879</v>
      </c>
      <c r="L66" s="339">
        <f t="shared" si="22"/>
        <v>7193715</v>
      </c>
      <c r="M66" s="339">
        <f t="shared" si="22"/>
        <v>7903017</v>
      </c>
      <c r="N66" s="339">
        <f t="shared" si="22"/>
        <v>43284493</v>
      </c>
      <c r="O66" s="339">
        <f t="shared" si="22"/>
        <v>43284493</v>
      </c>
      <c r="P66" s="339">
        <f t="shared" si="22"/>
        <v>50750046</v>
      </c>
      <c r="Q66" s="339">
        <f t="shared" si="22"/>
        <v>13300000</v>
      </c>
      <c r="R66" s="339">
        <f t="shared" si="22"/>
        <v>13300000</v>
      </c>
      <c r="S66" s="339">
        <f t="shared" si="22"/>
        <v>15644117</v>
      </c>
      <c r="T66" s="339">
        <f t="shared" si="22"/>
        <v>23018350</v>
      </c>
      <c r="U66" s="339">
        <f t="shared" si="22"/>
        <v>23018350</v>
      </c>
      <c r="V66" s="339">
        <f t="shared" si="22"/>
        <v>28460351</v>
      </c>
      <c r="W66" s="339">
        <f t="shared" si="22"/>
        <v>0</v>
      </c>
      <c r="X66" s="339">
        <f t="shared" si="22"/>
        <v>0</v>
      </c>
      <c r="Y66" s="339">
        <f t="shared" si="22"/>
        <v>10005000</v>
      </c>
      <c r="Z66" s="339">
        <f t="shared" si="22"/>
        <v>0</v>
      </c>
      <c r="AA66" s="339">
        <f t="shared" si="22"/>
        <v>0</v>
      </c>
      <c r="AB66" s="339">
        <f t="shared" si="22"/>
        <v>0</v>
      </c>
      <c r="AC66" s="339">
        <f t="shared" si="22"/>
        <v>0</v>
      </c>
      <c r="AD66" s="339">
        <f t="shared" si="22"/>
        <v>0</v>
      </c>
      <c r="AE66" s="339">
        <f t="shared" si="22"/>
        <v>0</v>
      </c>
      <c r="AF66" s="339">
        <f t="shared" si="22"/>
        <v>0</v>
      </c>
      <c r="AG66" s="339">
        <f t="shared" si="22"/>
        <v>0</v>
      </c>
      <c r="AH66" s="339">
        <f t="shared" si="22"/>
        <v>0</v>
      </c>
      <c r="AI66" s="339">
        <f t="shared" si="22"/>
        <v>0</v>
      </c>
      <c r="AJ66" s="339">
        <f t="shared" si="22"/>
        <v>0</v>
      </c>
      <c r="AK66" s="339">
        <f t="shared" si="22"/>
        <v>0</v>
      </c>
      <c r="AL66" s="339">
        <f t="shared" si="22"/>
        <v>60413118</v>
      </c>
      <c r="AM66" s="339">
        <f t="shared" si="22"/>
        <v>62450854</v>
      </c>
      <c r="AN66" s="339">
        <f t="shared" si="22"/>
        <v>62450854</v>
      </c>
      <c r="AO66" s="339">
        <f t="shared" si="22"/>
        <v>0</v>
      </c>
      <c r="AP66" s="339">
        <f t="shared" si="22"/>
        <v>0</v>
      </c>
      <c r="AQ66" s="339">
        <f t="shared" si="22"/>
        <v>0</v>
      </c>
      <c r="AR66" s="339">
        <f>SUM(E66,K66,N66,Q66,T66,W66,Z66,AC66,AF66,AI66,AL66,AO66)</f>
        <v>183429188</v>
      </c>
      <c r="AS66" s="339">
        <f>SUM(F66,L66,O66,R66,U66,X66,AA66,AD66,AG66,AJ66,AM66,AP66,I66)</f>
        <v>191355661</v>
      </c>
      <c r="AT66" s="339">
        <f>SUM(G66,M66,P66,S66,V66,Y66,AB66,AE66,AH66,AK66,AN66,AQ66,J66)</f>
        <v>219657587</v>
      </c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21">
    <mergeCell ref="A1:A2"/>
    <mergeCell ref="B1:B2"/>
    <mergeCell ref="C1:C2"/>
    <mergeCell ref="D1:D2"/>
    <mergeCell ref="E2:G2"/>
    <mergeCell ref="AF2:AH2"/>
    <mergeCell ref="N1:P2"/>
    <mergeCell ref="Q1:S2"/>
    <mergeCell ref="T1:V2"/>
    <mergeCell ref="W1:Y2"/>
    <mergeCell ref="AO1:AQ2"/>
    <mergeCell ref="AR1:AT2"/>
    <mergeCell ref="Z2:AB2"/>
    <mergeCell ref="AC2:AE2"/>
    <mergeCell ref="Z1:AE1"/>
    <mergeCell ref="AL1:AN2"/>
    <mergeCell ref="H2:J2"/>
    <mergeCell ref="K2:M2"/>
    <mergeCell ref="AI2:AK2"/>
    <mergeCell ref="AF1:AK1"/>
    <mergeCell ref="E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&amp;C&amp;"Arial CE,Félkövér" 2/2019. (V.31.) számú költségvetési rendelethez
ZALASZABAR KÖZSÉG ÖNKORMÁNYZATA
2018. ÉVI BEVÉTELI ELŐIRÁNYZATAI 
&amp;"Arial CE,Normál" 7&amp;R&amp;A
&amp;P.oldal
Ft-ban
</oddHeader>
  </headerFooter>
  <colBreaks count="1" manualBreakCount="1">
    <brk id="4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O77"/>
  <sheetViews>
    <sheetView view="pageLayout" zoomScaleNormal="70" zoomScaleSheetLayoutView="65" workbookViewId="0" topLeftCell="A1">
      <selection activeCell="BC73" activeCellId="1" sqref="BC65 BC73"/>
    </sheetView>
  </sheetViews>
  <sheetFormatPr defaultColWidth="9.00390625" defaultRowHeight="12.75"/>
  <cols>
    <col min="1" max="1" width="15.125" style="0" customWidth="1"/>
    <col min="2" max="2" width="74.875" style="0" customWidth="1"/>
    <col min="3" max="3" width="6.875" style="278" customWidth="1"/>
    <col min="4" max="4" width="10.625" style="278" bestFit="1" customWidth="1"/>
    <col min="5" max="7" width="16.25390625" style="0" customWidth="1"/>
    <col min="8" max="10" width="15.00390625" style="0" customWidth="1"/>
    <col min="11" max="13" width="17.75390625" style="0" customWidth="1"/>
    <col min="14" max="14" width="16.875" style="0" bestFit="1" customWidth="1"/>
    <col min="15" max="16" width="16.875" style="0" customWidth="1"/>
    <col min="17" max="19" width="12.75390625" style="0" customWidth="1"/>
    <col min="20" max="22" width="15.75390625" style="0" customWidth="1"/>
    <col min="23" max="28" width="16.125" style="0" customWidth="1"/>
    <col min="29" max="31" width="14.00390625" style="0" customWidth="1"/>
    <col min="32" max="34" width="13.25390625" style="0" customWidth="1"/>
    <col min="35" max="35" width="14.75390625" style="0" bestFit="1" customWidth="1"/>
    <col min="36" max="37" width="14.75390625" style="0" customWidth="1"/>
    <col min="38" max="40" width="16.875" style="0" customWidth="1"/>
    <col min="41" max="43" width="16.125" style="0" customWidth="1"/>
    <col min="44" max="46" width="15.375" style="0" customWidth="1"/>
    <col min="47" max="49" width="15.00390625" style="0" customWidth="1"/>
    <col min="50" max="54" width="18.875" style="0" customWidth="1"/>
    <col min="55" max="55" width="18.125" style="0" customWidth="1"/>
    <col min="56" max="56" width="6.125" style="0" customWidth="1"/>
    <col min="57" max="57" width="6.75390625" style="0" customWidth="1"/>
    <col min="58" max="58" width="45.125" style="0" customWidth="1"/>
    <col min="59" max="59" width="10.75390625" style="0" customWidth="1"/>
    <col min="60" max="60" width="12.875" style="0" customWidth="1"/>
    <col min="61" max="64" width="10.75390625" style="0" customWidth="1"/>
    <col min="65" max="67" width="12.625" style="0" customWidth="1"/>
    <col min="68" max="69" width="6.875" style="0" customWidth="1"/>
    <col min="70" max="70" width="8.625" style="0" customWidth="1"/>
  </cols>
  <sheetData>
    <row r="1" spans="1:70" ht="60" customHeight="1">
      <c r="A1" s="605" t="s">
        <v>117</v>
      </c>
      <c r="B1" s="607" t="s">
        <v>10</v>
      </c>
      <c r="C1" s="276" t="s">
        <v>401</v>
      </c>
      <c r="D1" s="605" t="s">
        <v>433</v>
      </c>
      <c r="E1" s="592" t="s">
        <v>371</v>
      </c>
      <c r="F1" s="593"/>
      <c r="G1" s="594"/>
      <c r="H1" s="592" t="s">
        <v>372</v>
      </c>
      <c r="I1" s="593"/>
      <c r="J1" s="594"/>
      <c r="K1" s="592" t="s">
        <v>182</v>
      </c>
      <c r="L1" s="593"/>
      <c r="M1" s="594"/>
      <c r="N1" s="592" t="s">
        <v>183</v>
      </c>
      <c r="O1" s="593"/>
      <c r="P1" s="594"/>
      <c r="Q1" s="592" t="s">
        <v>373</v>
      </c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16"/>
      <c r="AE1" s="516"/>
      <c r="AF1" s="592" t="s">
        <v>378</v>
      </c>
      <c r="AG1" s="593"/>
      <c r="AH1" s="594"/>
      <c r="AI1" s="592" t="s">
        <v>379</v>
      </c>
      <c r="AJ1" s="593"/>
      <c r="AK1" s="594"/>
      <c r="AL1" s="592" t="s">
        <v>384</v>
      </c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4"/>
      <c r="AX1" s="592" t="s">
        <v>526</v>
      </c>
      <c r="AY1" s="593"/>
      <c r="AZ1" s="594"/>
      <c r="BA1" s="610" t="s">
        <v>79</v>
      </c>
      <c r="BB1" s="611"/>
      <c r="BC1" s="612"/>
      <c r="BD1" s="78"/>
      <c r="BE1" s="78"/>
      <c r="BF1" s="78"/>
      <c r="BG1" s="609"/>
      <c r="BH1" s="609"/>
      <c r="BI1" s="609"/>
      <c r="BJ1" s="609"/>
      <c r="BK1" s="609"/>
      <c r="BL1" s="609"/>
      <c r="BM1" s="609"/>
      <c r="BN1" s="609"/>
      <c r="BO1" s="609"/>
      <c r="BP1" s="609"/>
      <c r="BQ1" s="609"/>
      <c r="BR1" s="609"/>
    </row>
    <row r="2" spans="1:70" ht="49.5" customHeight="1">
      <c r="A2" s="606"/>
      <c r="B2" s="608"/>
      <c r="C2" s="276" t="s">
        <v>402</v>
      </c>
      <c r="D2" s="606"/>
      <c r="E2" s="595"/>
      <c r="F2" s="596"/>
      <c r="G2" s="597"/>
      <c r="H2" s="595"/>
      <c r="I2" s="596"/>
      <c r="J2" s="597"/>
      <c r="K2" s="595"/>
      <c r="L2" s="596"/>
      <c r="M2" s="597"/>
      <c r="N2" s="595"/>
      <c r="O2" s="596"/>
      <c r="P2" s="597"/>
      <c r="Q2" s="602" t="s">
        <v>374</v>
      </c>
      <c r="R2" s="603"/>
      <c r="S2" s="604"/>
      <c r="T2" s="598" t="s">
        <v>375</v>
      </c>
      <c r="U2" s="599"/>
      <c r="V2" s="600"/>
      <c r="W2" s="598" t="s">
        <v>376</v>
      </c>
      <c r="X2" s="599"/>
      <c r="Y2" s="600"/>
      <c r="Z2" s="598" t="s">
        <v>377</v>
      </c>
      <c r="AA2" s="599"/>
      <c r="AB2" s="600"/>
      <c r="AC2" s="601" t="s">
        <v>385</v>
      </c>
      <c r="AD2" s="601"/>
      <c r="AE2" s="601"/>
      <c r="AF2" s="595"/>
      <c r="AG2" s="596"/>
      <c r="AH2" s="597"/>
      <c r="AI2" s="595"/>
      <c r="AJ2" s="596"/>
      <c r="AK2" s="597"/>
      <c r="AL2" s="598" t="s">
        <v>380</v>
      </c>
      <c r="AM2" s="599"/>
      <c r="AN2" s="600"/>
      <c r="AO2" s="598" t="s">
        <v>381</v>
      </c>
      <c r="AP2" s="599"/>
      <c r="AQ2" s="600"/>
      <c r="AR2" s="598" t="s">
        <v>382</v>
      </c>
      <c r="AS2" s="599"/>
      <c r="AT2" s="600"/>
      <c r="AU2" s="601" t="s">
        <v>383</v>
      </c>
      <c r="AV2" s="601"/>
      <c r="AW2" s="601"/>
      <c r="AX2" s="595"/>
      <c r="AY2" s="596"/>
      <c r="AZ2" s="597"/>
      <c r="BA2" s="613"/>
      <c r="BB2" s="614"/>
      <c r="BC2" s="615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69" ht="49.5" customHeight="1">
      <c r="A3" s="484"/>
      <c r="B3" s="485"/>
      <c r="C3" s="276"/>
      <c r="D3" s="484"/>
      <c r="E3" s="484" t="s">
        <v>599</v>
      </c>
      <c r="F3" s="484" t="s">
        <v>600</v>
      </c>
      <c r="G3" s="484" t="s">
        <v>638</v>
      </c>
      <c r="H3" s="484" t="s">
        <v>599</v>
      </c>
      <c r="I3" s="484" t="s">
        <v>600</v>
      </c>
      <c r="J3" s="484" t="s">
        <v>638</v>
      </c>
      <c r="K3" s="484" t="s">
        <v>599</v>
      </c>
      <c r="L3" s="484" t="s">
        <v>600</v>
      </c>
      <c r="M3" s="484" t="s">
        <v>638</v>
      </c>
      <c r="N3" s="484" t="s">
        <v>599</v>
      </c>
      <c r="O3" s="484" t="s">
        <v>600</v>
      </c>
      <c r="P3" s="484" t="s">
        <v>638</v>
      </c>
      <c r="Q3" s="484" t="s">
        <v>599</v>
      </c>
      <c r="R3" s="484" t="s">
        <v>600</v>
      </c>
      <c r="S3" s="484" t="s">
        <v>638</v>
      </c>
      <c r="T3" s="484" t="s">
        <v>599</v>
      </c>
      <c r="U3" s="484" t="s">
        <v>600</v>
      </c>
      <c r="V3" s="484" t="s">
        <v>638</v>
      </c>
      <c r="W3" s="484" t="s">
        <v>599</v>
      </c>
      <c r="X3" s="484" t="s">
        <v>600</v>
      </c>
      <c r="Y3" s="484" t="s">
        <v>638</v>
      </c>
      <c r="Z3" s="484" t="s">
        <v>599</v>
      </c>
      <c r="AA3" s="484" t="s">
        <v>600</v>
      </c>
      <c r="AB3" s="484" t="s">
        <v>638</v>
      </c>
      <c r="AC3" s="484" t="s">
        <v>599</v>
      </c>
      <c r="AD3" s="484" t="s">
        <v>600</v>
      </c>
      <c r="AE3" s="484" t="s">
        <v>638</v>
      </c>
      <c r="AF3" s="484" t="s">
        <v>599</v>
      </c>
      <c r="AG3" s="484" t="s">
        <v>600</v>
      </c>
      <c r="AH3" s="484" t="s">
        <v>638</v>
      </c>
      <c r="AI3" s="484" t="s">
        <v>599</v>
      </c>
      <c r="AJ3" s="484" t="s">
        <v>600</v>
      </c>
      <c r="AK3" s="484" t="s">
        <v>638</v>
      </c>
      <c r="AL3" s="484" t="s">
        <v>599</v>
      </c>
      <c r="AM3" s="484" t="s">
        <v>600</v>
      </c>
      <c r="AN3" s="484" t="s">
        <v>638</v>
      </c>
      <c r="AO3" s="484" t="s">
        <v>599</v>
      </c>
      <c r="AP3" s="484" t="s">
        <v>600</v>
      </c>
      <c r="AQ3" s="484" t="s">
        <v>638</v>
      </c>
      <c r="AR3" s="484" t="s">
        <v>599</v>
      </c>
      <c r="AS3" s="484" t="s">
        <v>600</v>
      </c>
      <c r="AT3" s="484" t="s">
        <v>638</v>
      </c>
      <c r="AU3" s="484" t="s">
        <v>599</v>
      </c>
      <c r="AV3" s="484" t="s">
        <v>600</v>
      </c>
      <c r="AW3" s="484" t="s">
        <v>638</v>
      </c>
      <c r="AX3" s="484" t="s">
        <v>599</v>
      </c>
      <c r="AY3" s="484" t="s">
        <v>600</v>
      </c>
      <c r="AZ3" s="484" t="s">
        <v>638</v>
      </c>
      <c r="BA3" s="484" t="s">
        <v>599</v>
      </c>
      <c r="BB3" s="484" t="s">
        <v>600</v>
      </c>
      <c r="BC3" s="484" t="s">
        <v>638</v>
      </c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</row>
    <row r="4" spans="1:69" ht="18" customHeight="1">
      <c r="A4" s="74"/>
      <c r="B4" s="113" t="s">
        <v>77</v>
      </c>
      <c r="C4" s="113"/>
      <c r="D4" s="113"/>
      <c r="E4" s="3"/>
      <c r="F4" s="3"/>
      <c r="G4" s="3"/>
      <c r="H4" s="4"/>
      <c r="I4" s="4"/>
      <c r="J4" s="4"/>
      <c r="K4" s="4"/>
      <c r="L4" s="4"/>
      <c r="M4" s="4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4"/>
      <c r="BB4" s="4"/>
      <c r="BC4" s="4"/>
      <c r="BD4" s="90"/>
      <c r="BE4" s="9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</row>
    <row r="5" spans="1:69" ht="18" customHeight="1">
      <c r="A5" s="114" t="s">
        <v>121</v>
      </c>
      <c r="B5" s="119" t="s">
        <v>122</v>
      </c>
      <c r="C5" s="119"/>
      <c r="D5" s="119"/>
      <c r="E5" s="305"/>
      <c r="F5" s="305"/>
      <c r="G5" s="305"/>
      <c r="H5" s="291"/>
      <c r="I5" s="291"/>
      <c r="J5" s="291"/>
      <c r="K5" s="291"/>
      <c r="L5" s="291"/>
      <c r="M5" s="291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291"/>
      <c r="BB5" s="291"/>
      <c r="BC5" s="291"/>
      <c r="BD5" s="90"/>
      <c r="BE5" s="9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</row>
    <row r="6" spans="1:69" ht="19.5" customHeight="1">
      <c r="A6" s="141" t="s">
        <v>123</v>
      </c>
      <c r="B6" s="290" t="s">
        <v>124</v>
      </c>
      <c r="C6" s="290" t="s">
        <v>268</v>
      </c>
      <c r="D6" s="290">
        <v>1</v>
      </c>
      <c r="E6" s="307">
        <v>2473440</v>
      </c>
      <c r="F6" s="307">
        <f>2473440+240000</f>
        <v>2713440</v>
      </c>
      <c r="G6" s="307">
        <f>2473440+240000+5913</f>
        <v>2719353</v>
      </c>
      <c r="H6" s="307">
        <v>482321</v>
      </c>
      <c r="I6" s="307">
        <v>482321</v>
      </c>
      <c r="J6" s="307">
        <f>482321-5913</f>
        <v>476408</v>
      </c>
      <c r="K6" s="307">
        <v>3711810</v>
      </c>
      <c r="L6" s="307">
        <v>3711810</v>
      </c>
      <c r="M6" s="307">
        <v>3711810</v>
      </c>
      <c r="N6" s="307"/>
      <c r="O6" s="307"/>
      <c r="P6" s="307"/>
      <c r="Q6" s="307"/>
      <c r="R6" s="307"/>
      <c r="S6" s="307"/>
      <c r="T6" s="307">
        <v>1540180</v>
      </c>
      <c r="U6" s="307">
        <v>1540180</v>
      </c>
      <c r="V6" s="307">
        <v>1540180</v>
      </c>
      <c r="W6" s="307"/>
      <c r="X6" s="307"/>
      <c r="Y6" s="307"/>
      <c r="Z6" s="307">
        <v>100000</v>
      </c>
      <c r="AA6" s="307">
        <v>100000</v>
      </c>
      <c r="AB6" s="307">
        <v>100000</v>
      </c>
      <c r="AC6" s="307">
        <v>1000000</v>
      </c>
      <c r="AD6" s="307">
        <f>1000000-240000</f>
        <v>760000</v>
      </c>
      <c r="AE6" s="307">
        <f>1000000-240000</f>
        <v>760000</v>
      </c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>
        <f aca="true" t="shared" si="0" ref="BA6:BC11">SUM(E6,H6,K6,N6,Q6,T6,W6,Z6,AC6,AF6,AI6,AL6,AO6,AR6,AU6,AX6)</f>
        <v>9307751</v>
      </c>
      <c r="BB6" s="307">
        <f t="shared" si="0"/>
        <v>9307751</v>
      </c>
      <c r="BC6" s="307">
        <f t="shared" si="0"/>
        <v>9307751</v>
      </c>
      <c r="BD6" s="79"/>
      <c r="BE6" s="80"/>
      <c r="BF6" s="81"/>
      <c r="BG6" s="81"/>
      <c r="BH6" s="81"/>
      <c r="BI6" s="82"/>
      <c r="BJ6" s="82"/>
      <c r="BK6" s="82"/>
      <c r="BL6" s="82"/>
      <c r="BM6" s="82"/>
      <c r="BN6" s="82"/>
      <c r="BO6" s="82"/>
      <c r="BP6" s="82"/>
      <c r="BQ6" s="82"/>
    </row>
    <row r="7" spans="1:69" ht="19.5" customHeight="1">
      <c r="A7" s="142" t="s">
        <v>403</v>
      </c>
      <c r="B7" s="291" t="s">
        <v>386</v>
      </c>
      <c r="C7" s="291" t="s">
        <v>268</v>
      </c>
      <c r="D7" s="291"/>
      <c r="E7" s="307"/>
      <c r="F7" s="307"/>
      <c r="G7" s="307"/>
      <c r="H7" s="307"/>
      <c r="I7" s="307"/>
      <c r="J7" s="307"/>
      <c r="K7" s="307">
        <v>70000</v>
      </c>
      <c r="L7" s="307">
        <v>70000</v>
      </c>
      <c r="M7" s="307">
        <v>70000</v>
      </c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>
        <f t="shared" si="0"/>
        <v>70000</v>
      </c>
      <c r="BB7" s="307">
        <f t="shared" si="0"/>
        <v>70000</v>
      </c>
      <c r="BC7" s="307">
        <f t="shared" si="0"/>
        <v>70000</v>
      </c>
      <c r="BD7" s="88"/>
      <c r="BE7" s="79"/>
      <c r="BF7" s="81"/>
      <c r="BG7" s="81"/>
      <c r="BH7" s="83"/>
      <c r="BI7" s="82"/>
      <c r="BJ7" s="82"/>
      <c r="BK7" s="83"/>
      <c r="BL7" s="82"/>
      <c r="BM7" s="84"/>
      <c r="BN7" s="83"/>
      <c r="BO7" s="82"/>
      <c r="BP7" s="82"/>
      <c r="BQ7" s="83"/>
    </row>
    <row r="8" spans="1:69" ht="19.5" customHeight="1">
      <c r="A8" s="284" t="s">
        <v>125</v>
      </c>
      <c r="B8" s="295" t="s">
        <v>387</v>
      </c>
      <c r="C8" s="291" t="s">
        <v>268</v>
      </c>
      <c r="D8" s="291"/>
      <c r="E8" s="307"/>
      <c r="F8" s="307"/>
      <c r="G8" s="307"/>
      <c r="H8" s="307"/>
      <c r="I8" s="307"/>
      <c r="J8" s="307"/>
      <c r="K8" s="307">
        <v>647700</v>
      </c>
      <c r="L8" s="307">
        <v>647700</v>
      </c>
      <c r="M8" s="307">
        <v>647700</v>
      </c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>
        <f t="shared" si="0"/>
        <v>647700</v>
      </c>
      <c r="BB8" s="307">
        <f t="shared" si="0"/>
        <v>647700</v>
      </c>
      <c r="BC8" s="307">
        <f t="shared" si="0"/>
        <v>647700</v>
      </c>
      <c r="BD8" s="79"/>
      <c r="BE8" s="77"/>
      <c r="BF8" s="85"/>
      <c r="BG8" s="85"/>
      <c r="BH8" s="83"/>
      <c r="BI8" s="85"/>
      <c r="BJ8" s="85"/>
      <c r="BK8" s="83"/>
      <c r="BL8" s="86"/>
      <c r="BM8" s="86"/>
      <c r="BN8" s="87"/>
      <c r="BO8" s="92"/>
      <c r="BP8" s="92"/>
      <c r="BQ8" s="83"/>
    </row>
    <row r="9" spans="1:69" ht="19.5" customHeight="1">
      <c r="A9" s="144" t="s">
        <v>126</v>
      </c>
      <c r="B9" s="309" t="s">
        <v>388</v>
      </c>
      <c r="C9" s="292" t="s">
        <v>268</v>
      </c>
      <c r="D9" s="292"/>
      <c r="E9" s="307"/>
      <c r="F9" s="307"/>
      <c r="G9" s="307"/>
      <c r="H9" s="307"/>
      <c r="I9" s="307"/>
      <c r="J9" s="307"/>
      <c r="K9" s="307">
        <v>1368100</v>
      </c>
      <c r="L9" s="307">
        <f>1368100+7692752+614350</f>
        <v>9675202</v>
      </c>
      <c r="M9" s="307">
        <f>1368100+7692752+614350</f>
        <v>9675202</v>
      </c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>
        <v>8991004</v>
      </c>
      <c r="AD9" s="307">
        <f>8991004-104790-13436-1057250</f>
        <v>7815528</v>
      </c>
      <c r="AE9" s="307">
        <f>8991004-104790-13436-1057250+10005000-208968-524980-196000</f>
        <v>16890580</v>
      </c>
      <c r="AF9" s="307"/>
      <c r="AG9" s="307">
        <f>13436+1231800+104790+1057250</f>
        <v>2407276</v>
      </c>
      <c r="AH9" s="307">
        <f>13436+1231800+104790+1057250+720980</f>
        <v>3128256</v>
      </c>
      <c r="AI9" s="307">
        <v>41803716</v>
      </c>
      <c r="AJ9" s="307">
        <f>41803716-7692752-1231800-614350</f>
        <v>32264814</v>
      </c>
      <c r="AK9" s="307">
        <f>41803716-7692752-1231800-614350+1740209</f>
        <v>34005023</v>
      </c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>
        <f t="shared" si="0"/>
        <v>52162820</v>
      </c>
      <c r="BB9" s="307">
        <f t="shared" si="0"/>
        <v>52162820</v>
      </c>
      <c r="BC9" s="307">
        <f t="shared" si="0"/>
        <v>63699061</v>
      </c>
      <c r="BD9" s="79"/>
      <c r="BE9" s="77"/>
      <c r="BF9" s="85"/>
      <c r="BG9" s="85"/>
      <c r="BH9" s="83"/>
      <c r="BI9" s="85"/>
      <c r="BJ9" s="85"/>
      <c r="BK9" s="83"/>
      <c r="BL9" s="86"/>
      <c r="BM9" s="86"/>
      <c r="BN9" s="87"/>
      <c r="BO9" s="92"/>
      <c r="BP9" s="92"/>
      <c r="BQ9" s="83"/>
    </row>
    <row r="10" spans="1:69" ht="19.5" customHeight="1">
      <c r="A10" s="144" t="s">
        <v>128</v>
      </c>
      <c r="B10" s="309" t="s">
        <v>465</v>
      </c>
      <c r="C10" s="292" t="s">
        <v>466</v>
      </c>
      <c r="D10" s="292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>
        <v>684900</v>
      </c>
      <c r="R10" s="307">
        <f>684900+12266</f>
        <v>697166</v>
      </c>
      <c r="S10" s="307">
        <f>684900+12266</f>
        <v>697166</v>
      </c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>
        <v>-12266</v>
      </c>
      <c r="AE10" s="307">
        <f>-12266+40000</f>
        <v>27734</v>
      </c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>
        <f t="shared" si="0"/>
        <v>684900</v>
      </c>
      <c r="BB10" s="307">
        <f t="shared" si="0"/>
        <v>684900</v>
      </c>
      <c r="BC10" s="307">
        <f t="shared" si="0"/>
        <v>724900</v>
      </c>
      <c r="BD10" s="79"/>
      <c r="BE10" s="77"/>
      <c r="BF10" s="85"/>
      <c r="BG10" s="85"/>
      <c r="BH10" s="83"/>
      <c r="BI10" s="85"/>
      <c r="BJ10" s="85"/>
      <c r="BK10" s="83"/>
      <c r="BL10" s="86"/>
      <c r="BM10" s="86"/>
      <c r="BN10" s="87"/>
      <c r="BO10" s="92"/>
      <c r="BP10" s="92"/>
      <c r="BQ10" s="83"/>
    </row>
    <row r="11" spans="1:69" s="154" customFormat="1" ht="19.5" customHeight="1">
      <c r="A11" s="221" t="s">
        <v>172</v>
      </c>
      <c r="B11" s="293" t="s">
        <v>184</v>
      </c>
      <c r="C11" s="293" t="s">
        <v>268</v>
      </c>
      <c r="D11" s="293"/>
      <c r="E11" s="310">
        <v>0</v>
      </c>
      <c r="F11" s="310">
        <v>0</v>
      </c>
      <c r="G11" s="310">
        <v>0</v>
      </c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>
        <v>1529736</v>
      </c>
      <c r="AE11" s="310">
        <v>1529736</v>
      </c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520">
        <v>1411250</v>
      </c>
      <c r="AY11" s="520">
        <f>2096150-684900</f>
        <v>1411250</v>
      </c>
      <c r="AZ11" s="520">
        <f>2096150-684900</f>
        <v>1411250</v>
      </c>
      <c r="BA11" s="307">
        <f t="shared" si="0"/>
        <v>1411250</v>
      </c>
      <c r="BB11" s="307">
        <f t="shared" si="0"/>
        <v>2940986</v>
      </c>
      <c r="BC11" s="307">
        <f t="shared" si="0"/>
        <v>2940986</v>
      </c>
      <c r="BD11" s="148"/>
      <c r="BE11" s="222"/>
      <c r="BF11" s="149"/>
      <c r="BG11" s="149"/>
      <c r="BH11" s="149"/>
      <c r="BI11" s="151"/>
      <c r="BJ11" s="151"/>
      <c r="BK11" s="151"/>
      <c r="BL11" s="151"/>
      <c r="BM11" s="151"/>
      <c r="BN11" s="151"/>
      <c r="BO11" s="151"/>
      <c r="BP11" s="151"/>
      <c r="BQ11" s="151"/>
    </row>
    <row r="12" spans="1:69" ht="19.5" customHeight="1">
      <c r="A12" s="286"/>
      <c r="B12" s="294" t="s">
        <v>129</v>
      </c>
      <c r="C12" s="294"/>
      <c r="D12" s="311">
        <f aca="true" t="shared" si="1" ref="D12:AI12">SUM(D6:D11)</f>
        <v>1</v>
      </c>
      <c r="E12" s="311">
        <f t="shared" si="1"/>
        <v>2473440</v>
      </c>
      <c r="F12" s="311">
        <f t="shared" si="1"/>
        <v>2713440</v>
      </c>
      <c r="G12" s="311">
        <f t="shared" si="1"/>
        <v>2719353</v>
      </c>
      <c r="H12" s="311">
        <f t="shared" si="1"/>
        <v>482321</v>
      </c>
      <c r="I12" s="311">
        <f t="shared" si="1"/>
        <v>482321</v>
      </c>
      <c r="J12" s="311">
        <f t="shared" si="1"/>
        <v>476408</v>
      </c>
      <c r="K12" s="311">
        <f t="shared" si="1"/>
        <v>5797610</v>
      </c>
      <c r="L12" s="311">
        <f t="shared" si="1"/>
        <v>14104712</v>
      </c>
      <c r="M12" s="311">
        <f t="shared" si="1"/>
        <v>14104712</v>
      </c>
      <c r="N12" s="311">
        <f t="shared" si="1"/>
        <v>0</v>
      </c>
      <c r="O12" s="311">
        <f t="shared" si="1"/>
        <v>0</v>
      </c>
      <c r="P12" s="311">
        <f t="shared" si="1"/>
        <v>0</v>
      </c>
      <c r="Q12" s="311">
        <f t="shared" si="1"/>
        <v>684900</v>
      </c>
      <c r="R12" s="311">
        <f t="shared" si="1"/>
        <v>697166</v>
      </c>
      <c r="S12" s="311">
        <f t="shared" si="1"/>
        <v>697166</v>
      </c>
      <c r="T12" s="311">
        <f t="shared" si="1"/>
        <v>1540180</v>
      </c>
      <c r="U12" s="311">
        <f t="shared" si="1"/>
        <v>1540180</v>
      </c>
      <c r="V12" s="311">
        <f t="shared" si="1"/>
        <v>1540180</v>
      </c>
      <c r="W12" s="311">
        <f t="shared" si="1"/>
        <v>0</v>
      </c>
      <c r="X12" s="311">
        <f t="shared" si="1"/>
        <v>0</v>
      </c>
      <c r="Y12" s="311">
        <f t="shared" si="1"/>
        <v>0</v>
      </c>
      <c r="Z12" s="311">
        <f t="shared" si="1"/>
        <v>100000</v>
      </c>
      <c r="AA12" s="311">
        <f t="shared" si="1"/>
        <v>100000</v>
      </c>
      <c r="AB12" s="311">
        <f t="shared" si="1"/>
        <v>100000</v>
      </c>
      <c r="AC12" s="311">
        <f t="shared" si="1"/>
        <v>9991004</v>
      </c>
      <c r="AD12" s="311">
        <f t="shared" si="1"/>
        <v>10092998</v>
      </c>
      <c r="AE12" s="311">
        <f t="shared" si="1"/>
        <v>19208050</v>
      </c>
      <c r="AF12" s="311">
        <f t="shared" si="1"/>
        <v>0</v>
      </c>
      <c r="AG12" s="311">
        <f t="shared" si="1"/>
        <v>2407276</v>
      </c>
      <c r="AH12" s="311">
        <f t="shared" si="1"/>
        <v>3128256</v>
      </c>
      <c r="AI12" s="311">
        <f t="shared" si="1"/>
        <v>41803716</v>
      </c>
      <c r="AJ12" s="311">
        <f aca="true" t="shared" si="2" ref="AJ12:BC12">SUM(AJ6:AJ11)</f>
        <v>32264814</v>
      </c>
      <c r="AK12" s="311">
        <f t="shared" si="2"/>
        <v>34005023</v>
      </c>
      <c r="AL12" s="311">
        <f t="shared" si="2"/>
        <v>0</v>
      </c>
      <c r="AM12" s="311">
        <f t="shared" si="2"/>
        <v>0</v>
      </c>
      <c r="AN12" s="311">
        <f t="shared" si="2"/>
        <v>0</v>
      </c>
      <c r="AO12" s="311">
        <f t="shared" si="2"/>
        <v>0</v>
      </c>
      <c r="AP12" s="311">
        <f t="shared" si="2"/>
        <v>0</v>
      </c>
      <c r="AQ12" s="311">
        <f t="shared" si="2"/>
        <v>0</v>
      </c>
      <c r="AR12" s="311">
        <f t="shared" si="2"/>
        <v>0</v>
      </c>
      <c r="AS12" s="311">
        <f t="shared" si="2"/>
        <v>0</v>
      </c>
      <c r="AT12" s="311">
        <f t="shared" si="2"/>
        <v>0</v>
      </c>
      <c r="AU12" s="311">
        <f t="shared" si="2"/>
        <v>0</v>
      </c>
      <c r="AV12" s="311">
        <f t="shared" si="2"/>
        <v>0</v>
      </c>
      <c r="AW12" s="311">
        <f t="shared" si="2"/>
        <v>0</v>
      </c>
      <c r="AX12" s="311">
        <f t="shared" si="2"/>
        <v>1411250</v>
      </c>
      <c r="AY12" s="311">
        <f t="shared" si="2"/>
        <v>1411250</v>
      </c>
      <c r="AZ12" s="311">
        <f t="shared" si="2"/>
        <v>1411250</v>
      </c>
      <c r="BA12" s="311">
        <f t="shared" si="2"/>
        <v>64284421</v>
      </c>
      <c r="BB12" s="311">
        <f t="shared" si="2"/>
        <v>65814157</v>
      </c>
      <c r="BC12" s="311">
        <f t="shared" si="2"/>
        <v>77390398</v>
      </c>
      <c r="BD12" s="79"/>
      <c r="BE12" s="77"/>
      <c r="BF12" s="85"/>
      <c r="BG12" s="85"/>
      <c r="BH12" s="83"/>
      <c r="BI12" s="85"/>
      <c r="BJ12" s="85"/>
      <c r="BK12" s="83"/>
      <c r="BL12" s="86"/>
      <c r="BM12" s="86"/>
      <c r="BN12" s="87"/>
      <c r="BO12" s="92"/>
      <c r="BP12" s="92"/>
      <c r="BQ12" s="83"/>
    </row>
    <row r="13" spans="1:69" ht="19.5" customHeight="1">
      <c r="A13" s="143"/>
      <c r="B13" s="295"/>
      <c r="C13" s="295"/>
      <c r="D13" s="295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>
        <f aca="true" t="shared" si="3" ref="BA13:BC19">SUM(E13,H13,K13,N13,Q13,T13,W13,Z13,AC13,AF13,AI13,AL13,AO13,AR13,AU13,AX13)</f>
        <v>0</v>
      </c>
      <c r="BB13" s="312">
        <f t="shared" si="3"/>
        <v>0</v>
      </c>
      <c r="BC13" s="312">
        <f t="shared" si="3"/>
        <v>0</v>
      </c>
      <c r="BD13" s="79"/>
      <c r="BE13" s="77"/>
      <c r="BF13" s="85"/>
      <c r="BG13" s="85"/>
      <c r="BH13" s="83"/>
      <c r="BI13" s="85"/>
      <c r="BJ13" s="85"/>
      <c r="BK13" s="83"/>
      <c r="BL13" s="86"/>
      <c r="BM13" s="86"/>
      <c r="BN13" s="87"/>
      <c r="BO13" s="92"/>
      <c r="BP13" s="92"/>
      <c r="BQ13" s="83"/>
    </row>
    <row r="14" spans="1:69" ht="19.5" customHeight="1">
      <c r="A14" s="119" t="s">
        <v>130</v>
      </c>
      <c r="B14" s="296" t="s">
        <v>131</v>
      </c>
      <c r="C14" s="296"/>
      <c r="D14" s="296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12">
        <f t="shared" si="3"/>
        <v>0</v>
      </c>
      <c r="BB14" s="312">
        <f t="shared" si="3"/>
        <v>0</v>
      </c>
      <c r="BC14" s="312">
        <f t="shared" si="3"/>
        <v>0</v>
      </c>
      <c r="BD14" s="88"/>
      <c r="BE14" s="79"/>
      <c r="BF14" s="81"/>
      <c r="BG14" s="81"/>
      <c r="BH14" s="83"/>
      <c r="BI14" s="82"/>
      <c r="BJ14" s="82"/>
      <c r="BK14" s="83"/>
      <c r="BL14" s="82"/>
      <c r="BM14" s="84"/>
      <c r="BN14" s="83"/>
      <c r="BO14" s="82"/>
      <c r="BP14" s="82"/>
      <c r="BQ14" s="83"/>
    </row>
    <row r="15" spans="1:93" s="154" customFormat="1" ht="19.5" customHeight="1">
      <c r="A15" s="146" t="s">
        <v>389</v>
      </c>
      <c r="B15" s="297" t="s">
        <v>390</v>
      </c>
      <c r="C15" s="297" t="s">
        <v>268</v>
      </c>
      <c r="D15" s="297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2">
        <f t="shared" si="3"/>
        <v>0</v>
      </c>
      <c r="BB15" s="312">
        <f t="shared" si="3"/>
        <v>0</v>
      </c>
      <c r="BC15" s="312">
        <f t="shared" si="3"/>
        <v>0</v>
      </c>
      <c r="BD15" s="147"/>
      <c r="BE15" s="148"/>
      <c r="BF15" s="149"/>
      <c r="BG15" s="149"/>
      <c r="BH15" s="150"/>
      <c r="BI15" s="151"/>
      <c r="BJ15" s="151"/>
      <c r="BK15" s="150"/>
      <c r="BL15" s="151"/>
      <c r="BM15" s="152"/>
      <c r="BN15" s="150"/>
      <c r="BO15" s="151"/>
      <c r="BP15" s="151"/>
      <c r="BQ15" s="150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</row>
    <row r="16" spans="1:93" ht="19.5" customHeight="1">
      <c r="A16" s="146" t="s">
        <v>132</v>
      </c>
      <c r="B16" s="297" t="s">
        <v>133</v>
      </c>
      <c r="C16" s="291" t="s">
        <v>268</v>
      </c>
      <c r="D16" s="291">
        <v>8</v>
      </c>
      <c r="E16" s="305">
        <v>1222950</v>
      </c>
      <c r="F16" s="305">
        <f>1222950+3267164</f>
        <v>4490114</v>
      </c>
      <c r="G16" s="305">
        <f>1222950+3267164+464752</f>
        <v>4954866</v>
      </c>
      <c r="H16" s="305">
        <v>166929</v>
      </c>
      <c r="I16" s="305">
        <f>166929+636672</f>
        <v>803601</v>
      </c>
      <c r="J16" s="305">
        <f>166929+636672+90627</f>
        <v>894228</v>
      </c>
      <c r="K16" s="305">
        <v>45720</v>
      </c>
      <c r="L16" s="305">
        <v>45720</v>
      </c>
      <c r="M16" s="305">
        <v>45720</v>
      </c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12">
        <f t="shared" si="3"/>
        <v>1435599</v>
      </c>
      <c r="BB16" s="312">
        <f t="shared" si="3"/>
        <v>5339435</v>
      </c>
      <c r="BC16" s="312">
        <f t="shared" si="3"/>
        <v>5894814</v>
      </c>
      <c r="BD16" s="88"/>
      <c r="BE16" s="79"/>
      <c r="BF16" s="81"/>
      <c r="BG16" s="81"/>
      <c r="BH16" s="83"/>
      <c r="BI16" s="82"/>
      <c r="BJ16" s="82"/>
      <c r="BK16" s="83"/>
      <c r="BL16" s="82"/>
      <c r="BM16" s="86"/>
      <c r="BN16" s="83"/>
      <c r="BO16" s="82"/>
      <c r="BP16" s="82"/>
      <c r="BQ16" s="83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69" s="154" customFormat="1" ht="19.5" customHeight="1">
      <c r="A17" s="146" t="s">
        <v>357</v>
      </c>
      <c r="B17" s="297" t="s">
        <v>358</v>
      </c>
      <c r="C17" s="297" t="s">
        <v>268</v>
      </c>
      <c r="D17" s="297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2">
        <f t="shared" si="3"/>
        <v>0</v>
      </c>
      <c r="BB17" s="312">
        <f t="shared" si="3"/>
        <v>0</v>
      </c>
      <c r="BC17" s="312">
        <f t="shared" si="3"/>
        <v>0</v>
      </c>
      <c r="BD17" s="147"/>
      <c r="BE17" s="148"/>
      <c r="BF17" s="149"/>
      <c r="BG17" s="149"/>
      <c r="BH17" s="150"/>
      <c r="BI17" s="151"/>
      <c r="BJ17" s="151"/>
      <c r="BK17" s="150"/>
      <c r="BL17" s="151"/>
      <c r="BM17" s="152"/>
      <c r="BN17" s="150"/>
      <c r="BO17" s="151"/>
      <c r="BP17" s="151"/>
      <c r="BQ17" s="150"/>
    </row>
    <row r="18" spans="1:69" ht="19.5" customHeight="1">
      <c r="A18" s="142" t="s">
        <v>134</v>
      </c>
      <c r="B18" s="291" t="s">
        <v>391</v>
      </c>
      <c r="C18" s="291" t="s">
        <v>268</v>
      </c>
      <c r="D18" s="291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>
        <v>7386927</v>
      </c>
      <c r="AD18" s="305">
        <v>7386927</v>
      </c>
      <c r="AE18" s="305">
        <f>7386927+7442693+4000000-1122886+474678+22860</f>
        <v>18204272</v>
      </c>
      <c r="AF18" s="305"/>
      <c r="AG18" s="305"/>
      <c r="AH18" s="305"/>
      <c r="AI18" s="305">
        <v>47232956</v>
      </c>
      <c r="AJ18" s="305">
        <v>47232956</v>
      </c>
      <c r="AK18" s="305">
        <v>47232956</v>
      </c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12">
        <f t="shared" si="3"/>
        <v>54619883</v>
      </c>
      <c r="BB18" s="312">
        <f t="shared" si="3"/>
        <v>54619883</v>
      </c>
      <c r="BC18" s="312">
        <f t="shared" si="3"/>
        <v>65437228</v>
      </c>
      <c r="BD18" s="88"/>
      <c r="BE18" s="79"/>
      <c r="BF18" s="81"/>
      <c r="BG18" s="81"/>
      <c r="BH18" s="83"/>
      <c r="BI18" s="82"/>
      <c r="BJ18" s="82"/>
      <c r="BK18" s="83"/>
      <c r="BL18" s="82"/>
      <c r="BM18" s="84"/>
      <c r="BN18" s="83"/>
      <c r="BO18" s="82"/>
      <c r="BP18" s="82"/>
      <c r="BQ18" s="83"/>
    </row>
    <row r="19" spans="1:69" ht="19.5" customHeight="1">
      <c r="A19" s="142" t="s">
        <v>136</v>
      </c>
      <c r="B19" s="291" t="s">
        <v>64</v>
      </c>
      <c r="C19" s="291" t="s">
        <v>268</v>
      </c>
      <c r="D19" s="291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12">
        <f t="shared" si="3"/>
        <v>0</v>
      </c>
      <c r="BB19" s="312">
        <f t="shared" si="3"/>
        <v>0</v>
      </c>
      <c r="BC19" s="312">
        <f t="shared" si="3"/>
        <v>0</v>
      </c>
      <c r="BD19" s="88"/>
      <c r="BE19" s="80"/>
      <c r="BF19" s="81"/>
      <c r="BG19" s="81"/>
      <c r="BH19" s="83"/>
      <c r="BI19" s="81"/>
      <c r="BJ19" s="81"/>
      <c r="BK19" s="83"/>
      <c r="BL19" s="82"/>
      <c r="BM19" s="82"/>
      <c r="BN19" s="83"/>
      <c r="BO19" s="81"/>
      <c r="BP19" s="81"/>
      <c r="BQ19" s="83"/>
    </row>
    <row r="20" spans="1:69" ht="19.5" customHeight="1">
      <c r="A20" s="286"/>
      <c r="B20" s="298" t="s">
        <v>137</v>
      </c>
      <c r="C20" s="298"/>
      <c r="D20" s="311">
        <f aca="true" t="shared" si="4" ref="D20:AI20">SUM(D15:D19)</f>
        <v>8</v>
      </c>
      <c r="E20" s="311">
        <f t="shared" si="4"/>
        <v>1222950</v>
      </c>
      <c r="F20" s="311">
        <f t="shared" si="4"/>
        <v>4490114</v>
      </c>
      <c r="G20" s="311">
        <f t="shared" si="4"/>
        <v>4954866</v>
      </c>
      <c r="H20" s="311">
        <f t="shared" si="4"/>
        <v>166929</v>
      </c>
      <c r="I20" s="311">
        <f t="shared" si="4"/>
        <v>803601</v>
      </c>
      <c r="J20" s="311">
        <f t="shared" si="4"/>
        <v>894228</v>
      </c>
      <c r="K20" s="311">
        <f t="shared" si="4"/>
        <v>45720</v>
      </c>
      <c r="L20" s="311">
        <f t="shared" si="4"/>
        <v>45720</v>
      </c>
      <c r="M20" s="311">
        <f t="shared" si="4"/>
        <v>45720</v>
      </c>
      <c r="N20" s="311">
        <f t="shared" si="4"/>
        <v>0</v>
      </c>
      <c r="O20" s="311">
        <f t="shared" si="4"/>
        <v>0</v>
      </c>
      <c r="P20" s="311">
        <f t="shared" si="4"/>
        <v>0</v>
      </c>
      <c r="Q20" s="311">
        <f t="shared" si="4"/>
        <v>0</v>
      </c>
      <c r="R20" s="311">
        <f t="shared" si="4"/>
        <v>0</v>
      </c>
      <c r="S20" s="311">
        <f t="shared" si="4"/>
        <v>0</v>
      </c>
      <c r="T20" s="311">
        <f t="shared" si="4"/>
        <v>0</v>
      </c>
      <c r="U20" s="311">
        <f t="shared" si="4"/>
        <v>0</v>
      </c>
      <c r="V20" s="311">
        <f t="shared" si="4"/>
        <v>0</v>
      </c>
      <c r="W20" s="311">
        <f t="shared" si="4"/>
        <v>0</v>
      </c>
      <c r="X20" s="311">
        <f t="shared" si="4"/>
        <v>0</v>
      </c>
      <c r="Y20" s="311">
        <f t="shared" si="4"/>
        <v>0</v>
      </c>
      <c r="Z20" s="311">
        <f t="shared" si="4"/>
        <v>0</v>
      </c>
      <c r="AA20" s="311">
        <f t="shared" si="4"/>
        <v>0</v>
      </c>
      <c r="AB20" s="311">
        <f t="shared" si="4"/>
        <v>0</v>
      </c>
      <c r="AC20" s="311">
        <f t="shared" si="4"/>
        <v>7386927</v>
      </c>
      <c r="AD20" s="311">
        <f t="shared" si="4"/>
        <v>7386927</v>
      </c>
      <c r="AE20" s="311">
        <f t="shared" si="4"/>
        <v>18204272</v>
      </c>
      <c r="AF20" s="311">
        <f t="shared" si="4"/>
        <v>0</v>
      </c>
      <c r="AG20" s="311">
        <f t="shared" si="4"/>
        <v>0</v>
      </c>
      <c r="AH20" s="311">
        <f t="shared" si="4"/>
        <v>0</v>
      </c>
      <c r="AI20" s="311">
        <f t="shared" si="4"/>
        <v>47232956</v>
      </c>
      <c r="AJ20" s="311">
        <f aca="true" t="shared" si="5" ref="AJ20:AZ20">SUM(AJ15:AJ19)</f>
        <v>47232956</v>
      </c>
      <c r="AK20" s="311">
        <f t="shared" si="5"/>
        <v>47232956</v>
      </c>
      <c r="AL20" s="311">
        <f t="shared" si="5"/>
        <v>0</v>
      </c>
      <c r="AM20" s="311">
        <f t="shared" si="5"/>
        <v>0</v>
      </c>
      <c r="AN20" s="311">
        <f t="shared" si="5"/>
        <v>0</v>
      </c>
      <c r="AO20" s="311">
        <f t="shared" si="5"/>
        <v>0</v>
      </c>
      <c r="AP20" s="311">
        <f t="shared" si="5"/>
        <v>0</v>
      </c>
      <c r="AQ20" s="311">
        <f t="shared" si="5"/>
        <v>0</v>
      </c>
      <c r="AR20" s="311">
        <f t="shared" si="5"/>
        <v>0</v>
      </c>
      <c r="AS20" s="311">
        <f t="shared" si="5"/>
        <v>0</v>
      </c>
      <c r="AT20" s="311">
        <f t="shared" si="5"/>
        <v>0</v>
      </c>
      <c r="AU20" s="311">
        <f t="shared" si="5"/>
        <v>0</v>
      </c>
      <c r="AV20" s="311">
        <f t="shared" si="5"/>
        <v>0</v>
      </c>
      <c r="AW20" s="311">
        <f t="shared" si="5"/>
        <v>0</v>
      </c>
      <c r="AX20" s="311">
        <f t="shared" si="5"/>
        <v>0</v>
      </c>
      <c r="AY20" s="311">
        <f t="shared" si="5"/>
        <v>0</v>
      </c>
      <c r="AZ20" s="311">
        <f t="shared" si="5"/>
        <v>0</v>
      </c>
      <c r="BA20" s="311">
        <f>SUM(BA13:BA19)</f>
        <v>56055482</v>
      </c>
      <c r="BB20" s="311">
        <f>SUM(BB13:BB19)</f>
        <v>59959318</v>
      </c>
      <c r="BC20" s="311">
        <f>SUM(BC13:BC19)</f>
        <v>71332042</v>
      </c>
      <c r="BD20" s="88"/>
      <c r="BE20" s="80"/>
      <c r="BF20" s="81"/>
      <c r="BG20" s="81"/>
      <c r="BH20" s="83"/>
      <c r="BI20" s="81"/>
      <c r="BJ20" s="81"/>
      <c r="BK20" s="83"/>
      <c r="BL20" s="82"/>
      <c r="BM20" s="82"/>
      <c r="BN20" s="83"/>
      <c r="BO20" s="81"/>
      <c r="BP20" s="81"/>
      <c r="BQ20" s="83"/>
    </row>
    <row r="21" spans="1:69" ht="19.5" customHeight="1">
      <c r="A21" s="142"/>
      <c r="B21" s="291"/>
      <c r="C21" s="291"/>
      <c r="D21" s="291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>
        <f aca="true" t="shared" si="6" ref="BA21:BC24">SUM(E21,H21,K21,N21,Q21,T21,W21,Z21,AC21,AF21,AI21,AL21,AO21,AR21,AU21,AX21)</f>
        <v>0</v>
      </c>
      <c r="BB21" s="305">
        <f t="shared" si="6"/>
        <v>0</v>
      </c>
      <c r="BC21" s="305">
        <f t="shared" si="6"/>
        <v>0</v>
      </c>
      <c r="BD21" s="88"/>
      <c r="BE21" s="80"/>
      <c r="BF21" s="81"/>
      <c r="BG21" s="81"/>
      <c r="BH21" s="83"/>
      <c r="BI21" s="81"/>
      <c r="BJ21" s="81"/>
      <c r="BK21" s="83"/>
      <c r="BL21" s="82"/>
      <c r="BM21" s="82"/>
      <c r="BN21" s="83"/>
      <c r="BO21" s="81"/>
      <c r="BP21" s="81"/>
      <c r="BQ21" s="83"/>
    </row>
    <row r="22" spans="1:69" ht="19.5" customHeight="1">
      <c r="A22" s="145" t="s">
        <v>138</v>
      </c>
      <c r="B22" s="119" t="s">
        <v>139</v>
      </c>
      <c r="C22" s="119"/>
      <c r="D22" s="119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>
        <f t="shared" si="6"/>
        <v>0</v>
      </c>
      <c r="BB22" s="305">
        <f t="shared" si="6"/>
        <v>0</v>
      </c>
      <c r="BC22" s="305">
        <f t="shared" si="6"/>
        <v>0</v>
      </c>
      <c r="BD22" s="88"/>
      <c r="BE22" s="80"/>
      <c r="BF22" s="81"/>
      <c r="BG22" s="81"/>
      <c r="BH22" s="83"/>
      <c r="BI22" s="81"/>
      <c r="BJ22" s="81"/>
      <c r="BK22" s="83"/>
      <c r="BL22" s="82"/>
      <c r="BM22" s="82"/>
      <c r="BN22" s="83"/>
      <c r="BO22" s="81"/>
      <c r="BP22" s="81"/>
      <c r="BQ22" s="83"/>
    </row>
    <row r="23" spans="1:69" ht="19.5" customHeight="1">
      <c r="A23" s="142" t="s">
        <v>140</v>
      </c>
      <c r="B23" s="291" t="s">
        <v>141</v>
      </c>
      <c r="C23" s="291" t="s">
        <v>268</v>
      </c>
      <c r="D23" s="291"/>
      <c r="E23" s="312"/>
      <c r="F23" s="312"/>
      <c r="G23" s="312"/>
      <c r="H23" s="312"/>
      <c r="I23" s="312"/>
      <c r="J23" s="312"/>
      <c r="K23" s="307">
        <v>158750</v>
      </c>
      <c r="L23" s="307">
        <v>158750</v>
      </c>
      <c r="M23" s="307">
        <v>158750</v>
      </c>
      <c r="N23" s="305"/>
      <c r="O23" s="305"/>
      <c r="P23" s="305"/>
      <c r="Q23" s="305"/>
      <c r="R23" s="305"/>
      <c r="S23" s="305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5">
        <f t="shared" si="6"/>
        <v>158750</v>
      </c>
      <c r="BB23" s="305">
        <f t="shared" si="6"/>
        <v>158750</v>
      </c>
      <c r="BC23" s="305">
        <f t="shared" si="6"/>
        <v>158750</v>
      </c>
      <c r="BD23" s="77"/>
      <c r="BE23" s="89"/>
      <c r="BF23" s="85"/>
      <c r="BG23" s="85"/>
      <c r="BH23" s="83"/>
      <c r="BI23" s="85"/>
      <c r="BJ23" s="85"/>
      <c r="BK23" s="83"/>
      <c r="BL23" s="86"/>
      <c r="BM23" s="86"/>
      <c r="BN23" s="87"/>
      <c r="BO23" s="85"/>
      <c r="BP23" s="85"/>
      <c r="BQ23" s="83"/>
    </row>
    <row r="24" spans="1:93" s="154" customFormat="1" ht="19.5" customHeight="1">
      <c r="A24" s="146" t="s">
        <v>142</v>
      </c>
      <c r="B24" s="297" t="s">
        <v>143</v>
      </c>
      <c r="C24" s="297" t="s">
        <v>268</v>
      </c>
      <c r="D24" s="297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05">
        <f t="shared" si="6"/>
        <v>0</v>
      </c>
      <c r="BB24" s="305">
        <f t="shared" si="6"/>
        <v>0</v>
      </c>
      <c r="BC24" s="305">
        <f t="shared" si="6"/>
        <v>0</v>
      </c>
      <c r="BD24" s="147"/>
      <c r="BE24" s="148"/>
      <c r="BF24" s="149"/>
      <c r="BG24" s="149"/>
      <c r="BH24" s="150"/>
      <c r="BI24" s="151"/>
      <c r="BJ24" s="151"/>
      <c r="BK24" s="150"/>
      <c r="BL24" s="151"/>
      <c r="BM24" s="152"/>
      <c r="BN24" s="150"/>
      <c r="BO24" s="151"/>
      <c r="BP24" s="151"/>
      <c r="BQ24" s="150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</row>
    <row r="25" spans="1:93" s="154" customFormat="1" ht="19.5" customHeight="1">
      <c r="A25" s="286"/>
      <c r="B25" s="298" t="s">
        <v>144</v>
      </c>
      <c r="C25" s="298"/>
      <c r="D25" s="298"/>
      <c r="E25" s="315">
        <f aca="true" t="shared" si="7" ref="E25:AZ25">SUM(E23:E24)</f>
        <v>0</v>
      </c>
      <c r="F25" s="315">
        <f t="shared" si="7"/>
        <v>0</v>
      </c>
      <c r="G25" s="315">
        <f t="shared" si="7"/>
        <v>0</v>
      </c>
      <c r="H25" s="315">
        <f t="shared" si="7"/>
        <v>0</v>
      </c>
      <c r="I25" s="315">
        <f t="shared" si="7"/>
        <v>0</v>
      </c>
      <c r="J25" s="315">
        <f t="shared" si="7"/>
        <v>0</v>
      </c>
      <c r="K25" s="315">
        <f t="shared" si="7"/>
        <v>158750</v>
      </c>
      <c r="L25" s="315">
        <f t="shared" si="7"/>
        <v>158750</v>
      </c>
      <c r="M25" s="315">
        <f t="shared" si="7"/>
        <v>158750</v>
      </c>
      <c r="N25" s="315">
        <f t="shared" si="7"/>
        <v>0</v>
      </c>
      <c r="O25" s="315">
        <f t="shared" si="7"/>
        <v>0</v>
      </c>
      <c r="P25" s="315">
        <f t="shared" si="7"/>
        <v>0</v>
      </c>
      <c r="Q25" s="315">
        <f t="shared" si="7"/>
        <v>0</v>
      </c>
      <c r="R25" s="315">
        <f t="shared" si="7"/>
        <v>0</v>
      </c>
      <c r="S25" s="315">
        <f t="shared" si="7"/>
        <v>0</v>
      </c>
      <c r="T25" s="315">
        <f t="shared" si="7"/>
        <v>0</v>
      </c>
      <c r="U25" s="315">
        <f t="shared" si="7"/>
        <v>0</v>
      </c>
      <c r="V25" s="315">
        <f t="shared" si="7"/>
        <v>0</v>
      </c>
      <c r="W25" s="315">
        <f t="shared" si="7"/>
        <v>0</v>
      </c>
      <c r="X25" s="315">
        <f t="shared" si="7"/>
        <v>0</v>
      </c>
      <c r="Y25" s="315">
        <f t="shared" si="7"/>
        <v>0</v>
      </c>
      <c r="Z25" s="315">
        <f t="shared" si="7"/>
        <v>0</v>
      </c>
      <c r="AA25" s="315">
        <f t="shared" si="7"/>
        <v>0</v>
      </c>
      <c r="AB25" s="315">
        <f t="shared" si="7"/>
        <v>0</v>
      </c>
      <c r="AC25" s="315">
        <f t="shared" si="7"/>
        <v>0</v>
      </c>
      <c r="AD25" s="315">
        <f t="shared" si="7"/>
        <v>0</v>
      </c>
      <c r="AE25" s="315">
        <f t="shared" si="7"/>
        <v>0</v>
      </c>
      <c r="AF25" s="315">
        <f t="shared" si="7"/>
        <v>0</v>
      </c>
      <c r="AG25" s="315">
        <f t="shared" si="7"/>
        <v>0</v>
      </c>
      <c r="AH25" s="315">
        <f t="shared" si="7"/>
        <v>0</v>
      </c>
      <c r="AI25" s="315">
        <f t="shared" si="7"/>
        <v>0</v>
      </c>
      <c r="AJ25" s="315">
        <f t="shared" si="7"/>
        <v>0</v>
      </c>
      <c r="AK25" s="315">
        <f t="shared" si="7"/>
        <v>0</v>
      </c>
      <c r="AL25" s="315">
        <f t="shared" si="7"/>
        <v>0</v>
      </c>
      <c r="AM25" s="315">
        <f t="shared" si="7"/>
        <v>0</v>
      </c>
      <c r="AN25" s="315">
        <f t="shared" si="7"/>
        <v>0</v>
      </c>
      <c r="AO25" s="315">
        <f t="shared" si="7"/>
        <v>0</v>
      </c>
      <c r="AP25" s="315">
        <f t="shared" si="7"/>
        <v>0</v>
      </c>
      <c r="AQ25" s="315">
        <f t="shared" si="7"/>
        <v>0</v>
      </c>
      <c r="AR25" s="315">
        <f t="shared" si="7"/>
        <v>0</v>
      </c>
      <c r="AS25" s="315">
        <f t="shared" si="7"/>
        <v>0</v>
      </c>
      <c r="AT25" s="315">
        <f t="shared" si="7"/>
        <v>0</v>
      </c>
      <c r="AU25" s="315">
        <f t="shared" si="7"/>
        <v>0</v>
      </c>
      <c r="AV25" s="315">
        <f t="shared" si="7"/>
        <v>0</v>
      </c>
      <c r="AW25" s="315">
        <f t="shared" si="7"/>
        <v>0</v>
      </c>
      <c r="AX25" s="315">
        <f t="shared" si="7"/>
        <v>0</v>
      </c>
      <c r="AY25" s="315">
        <f t="shared" si="7"/>
        <v>0</v>
      </c>
      <c r="AZ25" s="315">
        <f t="shared" si="7"/>
        <v>0</v>
      </c>
      <c r="BA25" s="315">
        <f>SUM(BA21:BA24)</f>
        <v>158750</v>
      </c>
      <c r="BB25" s="315">
        <f>SUM(BB21:BB24)</f>
        <v>158750</v>
      </c>
      <c r="BC25" s="315">
        <f>SUM(BC21:BC24)</f>
        <v>158750</v>
      </c>
      <c r="BD25" s="147"/>
      <c r="BE25" s="148"/>
      <c r="BF25" s="149"/>
      <c r="BG25" s="149"/>
      <c r="BH25" s="150"/>
      <c r="BI25" s="151"/>
      <c r="BJ25" s="151"/>
      <c r="BK25" s="150"/>
      <c r="BL25" s="151"/>
      <c r="BM25" s="152"/>
      <c r="BN25" s="150"/>
      <c r="BO25" s="151"/>
      <c r="BP25" s="151"/>
      <c r="BQ25" s="150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</row>
    <row r="26" spans="1:69" ht="19.5" customHeight="1">
      <c r="A26" s="142"/>
      <c r="B26" s="291"/>
      <c r="C26" s="291"/>
      <c r="D26" s="291"/>
      <c r="E26" s="312"/>
      <c r="F26" s="312"/>
      <c r="G26" s="312"/>
      <c r="H26" s="312"/>
      <c r="I26" s="312"/>
      <c r="J26" s="312"/>
      <c r="K26" s="307"/>
      <c r="L26" s="307"/>
      <c r="M26" s="307"/>
      <c r="N26" s="305"/>
      <c r="O26" s="305"/>
      <c r="P26" s="305"/>
      <c r="Q26" s="305"/>
      <c r="R26" s="305"/>
      <c r="S26" s="305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>
        <f aca="true" t="shared" si="8" ref="BA26:BC32">SUM(E26,H26,K26,N26,Q26,T26,W26,Z26,AC26,AF26,AI26,AL26,AO26,AR26,AU26,AX26)</f>
        <v>0</v>
      </c>
      <c r="BB26" s="308">
        <f t="shared" si="8"/>
        <v>0</v>
      </c>
      <c r="BC26" s="308">
        <f t="shared" si="8"/>
        <v>0</v>
      </c>
      <c r="BD26" s="77"/>
      <c r="BE26" s="89"/>
      <c r="BF26" s="85"/>
      <c r="BG26" s="85"/>
      <c r="BH26" s="83"/>
      <c r="BI26" s="85"/>
      <c r="BJ26" s="85"/>
      <c r="BK26" s="83"/>
      <c r="BL26" s="86"/>
      <c r="BM26" s="86"/>
      <c r="BN26" s="87"/>
      <c r="BO26" s="85"/>
      <c r="BP26" s="85"/>
      <c r="BQ26" s="83"/>
    </row>
    <row r="27" spans="1:69" ht="19.5" customHeight="1">
      <c r="A27" s="145" t="s">
        <v>145</v>
      </c>
      <c r="B27" s="119" t="s">
        <v>146</v>
      </c>
      <c r="C27" s="119"/>
      <c r="D27" s="119"/>
      <c r="E27" s="312"/>
      <c r="F27" s="312"/>
      <c r="G27" s="312"/>
      <c r="H27" s="312"/>
      <c r="I27" s="312"/>
      <c r="J27" s="312"/>
      <c r="K27" s="307"/>
      <c r="L27" s="307"/>
      <c r="M27" s="307"/>
      <c r="N27" s="305"/>
      <c r="O27" s="305"/>
      <c r="P27" s="305"/>
      <c r="Q27" s="305"/>
      <c r="R27" s="305"/>
      <c r="S27" s="305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>
        <f t="shared" si="8"/>
        <v>0</v>
      </c>
      <c r="BB27" s="308">
        <f t="shared" si="8"/>
        <v>0</v>
      </c>
      <c r="BC27" s="308">
        <f t="shared" si="8"/>
        <v>0</v>
      </c>
      <c r="BD27" s="77"/>
      <c r="BE27" s="89"/>
      <c r="BF27" s="85"/>
      <c r="BG27" s="85"/>
      <c r="BH27" s="83"/>
      <c r="BI27" s="85"/>
      <c r="BJ27" s="85"/>
      <c r="BK27" s="83"/>
      <c r="BL27" s="86"/>
      <c r="BM27" s="86"/>
      <c r="BN27" s="87"/>
      <c r="BO27" s="85"/>
      <c r="BP27" s="85"/>
      <c r="BQ27" s="83"/>
    </row>
    <row r="28" spans="1:69" s="154" customFormat="1" ht="19.5" customHeight="1">
      <c r="A28" s="221" t="s">
        <v>147</v>
      </c>
      <c r="B28" s="293" t="s">
        <v>148</v>
      </c>
      <c r="C28" s="293" t="s">
        <v>268</v>
      </c>
      <c r="D28" s="293"/>
      <c r="E28" s="314"/>
      <c r="F28" s="314"/>
      <c r="G28" s="314"/>
      <c r="H28" s="314"/>
      <c r="I28" s="314"/>
      <c r="J28" s="314"/>
      <c r="K28" s="310"/>
      <c r="L28" s="310"/>
      <c r="M28" s="310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0"/>
      <c r="AS28" s="310"/>
      <c r="AT28" s="310"/>
      <c r="AU28" s="310"/>
      <c r="AV28" s="310"/>
      <c r="AW28" s="310"/>
      <c r="AX28" s="314"/>
      <c r="AY28" s="314"/>
      <c r="AZ28" s="314"/>
      <c r="BA28" s="308">
        <f t="shared" si="8"/>
        <v>0</v>
      </c>
      <c r="BB28" s="308">
        <f t="shared" si="8"/>
        <v>0</v>
      </c>
      <c r="BC28" s="308">
        <f t="shared" si="8"/>
        <v>0</v>
      </c>
      <c r="BD28" s="148"/>
      <c r="BE28" s="222"/>
      <c r="BF28" s="149"/>
      <c r="BG28" s="149"/>
      <c r="BH28" s="149"/>
      <c r="BI28" s="151"/>
      <c r="BJ28" s="151"/>
      <c r="BK28" s="151"/>
      <c r="BL28" s="151"/>
      <c r="BM28" s="151"/>
      <c r="BN28" s="151"/>
      <c r="BO28" s="151"/>
      <c r="BP28" s="151"/>
      <c r="BQ28" s="151"/>
    </row>
    <row r="29" spans="1:93" s="154" customFormat="1" ht="19.5" customHeight="1">
      <c r="A29" s="146" t="s">
        <v>447</v>
      </c>
      <c r="B29" s="297" t="s">
        <v>448</v>
      </c>
      <c r="C29" s="297" t="s">
        <v>469</v>
      </c>
      <c r="D29" s="297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08">
        <f t="shared" si="8"/>
        <v>0</v>
      </c>
      <c r="BB29" s="308">
        <f t="shared" si="8"/>
        <v>0</v>
      </c>
      <c r="BC29" s="308">
        <f t="shared" si="8"/>
        <v>0</v>
      </c>
      <c r="BD29" s="147"/>
      <c r="BE29" s="148"/>
      <c r="BF29" s="149"/>
      <c r="BG29" s="149"/>
      <c r="BH29" s="150"/>
      <c r="BI29" s="151"/>
      <c r="BJ29" s="151"/>
      <c r="BK29" s="150"/>
      <c r="BL29" s="151"/>
      <c r="BM29" s="152"/>
      <c r="BN29" s="150"/>
      <c r="BO29" s="151"/>
      <c r="BP29" s="151"/>
      <c r="BQ29" s="150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</row>
    <row r="30" spans="1:69" ht="19.5" customHeight="1">
      <c r="A30" s="142" t="s">
        <v>151</v>
      </c>
      <c r="B30" s="291" t="s">
        <v>60</v>
      </c>
      <c r="C30" s="291" t="s">
        <v>268</v>
      </c>
      <c r="D30" s="291"/>
      <c r="E30" s="305"/>
      <c r="F30" s="305"/>
      <c r="G30" s="305"/>
      <c r="H30" s="305"/>
      <c r="I30" s="305"/>
      <c r="J30" s="305"/>
      <c r="K30" s="305">
        <v>2419350</v>
      </c>
      <c r="L30" s="305">
        <v>2419350</v>
      </c>
      <c r="M30" s="305">
        <v>2419350</v>
      </c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8">
        <f t="shared" si="8"/>
        <v>2419350</v>
      </c>
      <c r="BB30" s="308">
        <f t="shared" si="8"/>
        <v>2419350</v>
      </c>
      <c r="BC30" s="308">
        <f t="shared" si="8"/>
        <v>2419350</v>
      </c>
      <c r="BD30" s="88"/>
      <c r="BE30" s="80"/>
      <c r="BF30" s="81"/>
      <c r="BG30" s="81"/>
      <c r="BH30" s="83"/>
      <c r="BI30" s="82"/>
      <c r="BJ30" s="82"/>
      <c r="BK30" s="83"/>
      <c r="BL30" s="82"/>
      <c r="BM30" s="82"/>
      <c r="BN30" s="83"/>
      <c r="BO30" s="82"/>
      <c r="BP30" s="82"/>
      <c r="BQ30" s="83"/>
    </row>
    <row r="31" spans="1:93" ht="19.5" customHeight="1">
      <c r="A31" s="142" t="s">
        <v>152</v>
      </c>
      <c r="B31" s="291" t="s">
        <v>61</v>
      </c>
      <c r="C31" s="291" t="s">
        <v>268</v>
      </c>
      <c r="D31" s="291"/>
      <c r="E31" s="305"/>
      <c r="F31" s="305"/>
      <c r="G31" s="305"/>
      <c r="H31" s="305"/>
      <c r="I31" s="305"/>
      <c r="J31" s="305"/>
      <c r="K31" s="305">
        <v>2470150</v>
      </c>
      <c r="L31" s="305">
        <v>2470150</v>
      </c>
      <c r="M31" s="305">
        <v>2470150</v>
      </c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8">
        <f t="shared" si="8"/>
        <v>2470150</v>
      </c>
      <c r="BB31" s="308">
        <f t="shared" si="8"/>
        <v>2470150</v>
      </c>
      <c r="BC31" s="308">
        <f t="shared" si="8"/>
        <v>2470150</v>
      </c>
      <c r="BD31" s="88"/>
      <c r="BE31" s="79"/>
      <c r="BF31" s="81"/>
      <c r="BG31" s="81"/>
      <c r="BH31" s="83"/>
      <c r="BI31" s="82"/>
      <c r="BJ31" s="82"/>
      <c r="BK31" s="83"/>
      <c r="BL31" s="82"/>
      <c r="BM31" s="86"/>
      <c r="BN31" s="83"/>
      <c r="BO31" s="82"/>
      <c r="BP31" s="82"/>
      <c r="BQ31" s="83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69" ht="19.5" customHeight="1">
      <c r="A32" s="142" t="s">
        <v>153</v>
      </c>
      <c r="B32" s="291" t="s">
        <v>154</v>
      </c>
      <c r="C32" s="291" t="s">
        <v>268</v>
      </c>
      <c r="D32" s="291"/>
      <c r="E32" s="305"/>
      <c r="F32" s="305"/>
      <c r="G32" s="305"/>
      <c r="H32" s="305"/>
      <c r="I32" s="305"/>
      <c r="J32" s="305"/>
      <c r="K32" s="305">
        <v>2311400</v>
      </c>
      <c r="L32" s="305">
        <v>2311400</v>
      </c>
      <c r="M32" s="305">
        <v>2311400</v>
      </c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>
        <v>152400</v>
      </c>
      <c r="AG32" s="305">
        <v>152400</v>
      </c>
      <c r="AH32" s="305">
        <v>152400</v>
      </c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8">
        <f t="shared" si="8"/>
        <v>2463800</v>
      </c>
      <c r="BB32" s="308">
        <f t="shared" si="8"/>
        <v>2463800</v>
      </c>
      <c r="BC32" s="308">
        <f t="shared" si="8"/>
        <v>2463800</v>
      </c>
      <c r="BD32" s="88"/>
      <c r="BE32" s="79"/>
      <c r="BF32" s="81"/>
      <c r="BG32" s="81"/>
      <c r="BH32" s="83"/>
      <c r="BI32" s="82"/>
      <c r="BJ32" s="82"/>
      <c r="BK32" s="83"/>
      <c r="BL32" s="82"/>
      <c r="BM32" s="84"/>
      <c r="BN32" s="83"/>
      <c r="BO32" s="82"/>
      <c r="BP32" s="82"/>
      <c r="BQ32" s="83"/>
    </row>
    <row r="33" spans="1:69" ht="19.5" customHeight="1">
      <c r="A33" s="286"/>
      <c r="B33" s="298" t="s">
        <v>155</v>
      </c>
      <c r="C33" s="298"/>
      <c r="D33" s="298"/>
      <c r="E33" s="315">
        <f aca="true" t="shared" si="9" ref="E33:AZ33">SUM(E28:E32)</f>
        <v>0</v>
      </c>
      <c r="F33" s="315">
        <f t="shared" si="9"/>
        <v>0</v>
      </c>
      <c r="G33" s="315">
        <f t="shared" si="9"/>
        <v>0</v>
      </c>
      <c r="H33" s="315">
        <f t="shared" si="9"/>
        <v>0</v>
      </c>
      <c r="I33" s="315">
        <f t="shared" si="9"/>
        <v>0</v>
      </c>
      <c r="J33" s="315">
        <f t="shared" si="9"/>
        <v>0</v>
      </c>
      <c r="K33" s="315">
        <f t="shared" si="9"/>
        <v>7200900</v>
      </c>
      <c r="L33" s="315">
        <f t="shared" si="9"/>
        <v>7200900</v>
      </c>
      <c r="M33" s="315">
        <f t="shared" si="9"/>
        <v>7200900</v>
      </c>
      <c r="N33" s="315">
        <f t="shared" si="9"/>
        <v>0</v>
      </c>
      <c r="O33" s="315">
        <f t="shared" si="9"/>
        <v>0</v>
      </c>
      <c r="P33" s="315">
        <f t="shared" si="9"/>
        <v>0</v>
      </c>
      <c r="Q33" s="315">
        <f t="shared" si="9"/>
        <v>0</v>
      </c>
      <c r="R33" s="315">
        <f t="shared" si="9"/>
        <v>0</v>
      </c>
      <c r="S33" s="315">
        <f t="shared" si="9"/>
        <v>0</v>
      </c>
      <c r="T33" s="315">
        <f t="shared" si="9"/>
        <v>0</v>
      </c>
      <c r="U33" s="315">
        <f t="shared" si="9"/>
        <v>0</v>
      </c>
      <c r="V33" s="315">
        <f t="shared" si="9"/>
        <v>0</v>
      </c>
      <c r="W33" s="315">
        <f t="shared" si="9"/>
        <v>0</v>
      </c>
      <c r="X33" s="315">
        <f t="shared" si="9"/>
        <v>0</v>
      </c>
      <c r="Y33" s="315">
        <f t="shared" si="9"/>
        <v>0</v>
      </c>
      <c r="Z33" s="315">
        <f t="shared" si="9"/>
        <v>0</v>
      </c>
      <c r="AA33" s="315">
        <f t="shared" si="9"/>
        <v>0</v>
      </c>
      <c r="AB33" s="315">
        <f t="shared" si="9"/>
        <v>0</v>
      </c>
      <c r="AC33" s="315">
        <f t="shared" si="9"/>
        <v>0</v>
      </c>
      <c r="AD33" s="315">
        <f t="shared" si="9"/>
        <v>0</v>
      </c>
      <c r="AE33" s="315">
        <f t="shared" si="9"/>
        <v>0</v>
      </c>
      <c r="AF33" s="315">
        <f t="shared" si="9"/>
        <v>152400</v>
      </c>
      <c r="AG33" s="315">
        <f t="shared" si="9"/>
        <v>152400</v>
      </c>
      <c r="AH33" s="315">
        <f t="shared" si="9"/>
        <v>152400</v>
      </c>
      <c r="AI33" s="315">
        <f t="shared" si="9"/>
        <v>0</v>
      </c>
      <c r="AJ33" s="315">
        <f t="shared" si="9"/>
        <v>0</v>
      </c>
      <c r="AK33" s="315">
        <f t="shared" si="9"/>
        <v>0</v>
      </c>
      <c r="AL33" s="315">
        <f t="shared" si="9"/>
        <v>0</v>
      </c>
      <c r="AM33" s="315">
        <f t="shared" si="9"/>
        <v>0</v>
      </c>
      <c r="AN33" s="315">
        <f t="shared" si="9"/>
        <v>0</v>
      </c>
      <c r="AO33" s="315">
        <f t="shared" si="9"/>
        <v>0</v>
      </c>
      <c r="AP33" s="315">
        <f t="shared" si="9"/>
        <v>0</v>
      </c>
      <c r="AQ33" s="315">
        <f t="shared" si="9"/>
        <v>0</v>
      </c>
      <c r="AR33" s="315">
        <f t="shared" si="9"/>
        <v>0</v>
      </c>
      <c r="AS33" s="315">
        <f t="shared" si="9"/>
        <v>0</v>
      </c>
      <c r="AT33" s="315">
        <f t="shared" si="9"/>
        <v>0</v>
      </c>
      <c r="AU33" s="315">
        <f t="shared" si="9"/>
        <v>0</v>
      </c>
      <c r="AV33" s="315">
        <f t="shared" si="9"/>
        <v>0</v>
      </c>
      <c r="AW33" s="315">
        <f t="shared" si="9"/>
        <v>0</v>
      </c>
      <c r="AX33" s="315">
        <f t="shared" si="9"/>
        <v>0</v>
      </c>
      <c r="AY33" s="315">
        <f t="shared" si="9"/>
        <v>0</v>
      </c>
      <c r="AZ33" s="315">
        <f t="shared" si="9"/>
        <v>0</v>
      </c>
      <c r="BA33" s="315">
        <f>SUM(BA26:BA32)</f>
        <v>7353300</v>
      </c>
      <c r="BB33" s="315">
        <f>SUM(BB26:BB32)</f>
        <v>7353300</v>
      </c>
      <c r="BC33" s="315">
        <f>SUM(BC26:BC32)</f>
        <v>7353300</v>
      </c>
      <c r="BD33" s="88"/>
      <c r="BE33" s="79"/>
      <c r="BF33" s="81"/>
      <c r="BG33" s="81"/>
      <c r="BH33" s="83"/>
      <c r="BI33" s="82"/>
      <c r="BJ33" s="82"/>
      <c r="BK33" s="83"/>
      <c r="BL33" s="82"/>
      <c r="BM33" s="84"/>
      <c r="BN33" s="83"/>
      <c r="BO33" s="82"/>
      <c r="BP33" s="82"/>
      <c r="BQ33" s="83"/>
    </row>
    <row r="34" spans="1:69" ht="19.5" customHeight="1">
      <c r="A34" s="142"/>
      <c r="B34" s="291"/>
      <c r="C34" s="291"/>
      <c r="D34" s="291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>
        <f aca="true" t="shared" si="10" ref="BA34:BC40">SUM(E34,H34,K34,N34,Q34,T34,W34,Z34,AC34,AF34,AI34,AL34,AO34,AR34,AU34,AX34)</f>
        <v>0</v>
      </c>
      <c r="BB34" s="305">
        <f t="shared" si="10"/>
        <v>0</v>
      </c>
      <c r="BC34" s="305">
        <f t="shared" si="10"/>
        <v>0</v>
      </c>
      <c r="BD34" s="88"/>
      <c r="BE34" s="79"/>
      <c r="BF34" s="81"/>
      <c r="BG34" s="81"/>
      <c r="BH34" s="83"/>
      <c r="BI34" s="82"/>
      <c r="BJ34" s="82"/>
      <c r="BK34" s="83"/>
      <c r="BL34" s="82"/>
      <c r="BM34" s="84"/>
      <c r="BN34" s="83"/>
      <c r="BO34" s="82"/>
      <c r="BP34" s="82"/>
      <c r="BQ34" s="83"/>
    </row>
    <row r="35" spans="1:69" ht="19.5" customHeight="1">
      <c r="A35" s="145" t="s">
        <v>156</v>
      </c>
      <c r="B35" s="119" t="s">
        <v>157</v>
      </c>
      <c r="C35" s="119"/>
      <c r="D35" s="119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>
        <f t="shared" si="10"/>
        <v>0</v>
      </c>
      <c r="BB35" s="305">
        <f t="shared" si="10"/>
        <v>0</v>
      </c>
      <c r="BC35" s="305">
        <f t="shared" si="10"/>
        <v>0</v>
      </c>
      <c r="BD35" s="88"/>
      <c r="BE35" s="79"/>
      <c r="BF35" s="81"/>
      <c r="BG35" s="81"/>
      <c r="BH35" s="83"/>
      <c r="BI35" s="82"/>
      <c r="BJ35" s="82"/>
      <c r="BK35" s="83"/>
      <c r="BL35" s="82"/>
      <c r="BM35" s="84"/>
      <c r="BN35" s="83"/>
      <c r="BO35" s="82"/>
      <c r="BP35" s="82"/>
      <c r="BQ35" s="83"/>
    </row>
    <row r="36" spans="1:69" ht="19.5" customHeight="1">
      <c r="A36" s="141" t="s">
        <v>398</v>
      </c>
      <c r="B36" s="290" t="s">
        <v>359</v>
      </c>
      <c r="C36" s="290" t="s">
        <v>268</v>
      </c>
      <c r="D36" s="290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>
        <f t="shared" si="10"/>
        <v>0</v>
      </c>
      <c r="BB36" s="305">
        <f t="shared" si="10"/>
        <v>0</v>
      </c>
      <c r="BC36" s="305">
        <f t="shared" si="10"/>
        <v>0</v>
      </c>
      <c r="BD36" s="88"/>
      <c r="BE36" s="79"/>
      <c r="BF36" s="82"/>
      <c r="BG36" s="82"/>
      <c r="BH36" s="83"/>
      <c r="BI36" s="82"/>
      <c r="BJ36" s="82"/>
      <c r="BK36" s="83"/>
      <c r="BL36" s="82"/>
      <c r="BM36" s="84"/>
      <c r="BN36" s="83"/>
      <c r="BO36" s="82"/>
      <c r="BP36" s="82"/>
      <c r="BQ36" s="83"/>
    </row>
    <row r="37" spans="1:69" ht="19.5" customHeight="1">
      <c r="A37" s="141" t="s">
        <v>158</v>
      </c>
      <c r="B37" s="292" t="s">
        <v>62</v>
      </c>
      <c r="C37" s="290" t="s">
        <v>268</v>
      </c>
      <c r="D37" s="290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>
        <f t="shared" si="10"/>
        <v>0</v>
      </c>
      <c r="BB37" s="305">
        <f t="shared" si="10"/>
        <v>0</v>
      </c>
      <c r="BC37" s="305">
        <f t="shared" si="10"/>
        <v>0</v>
      </c>
      <c r="BD37" s="88"/>
      <c r="BE37" s="79"/>
      <c r="BF37" s="82"/>
      <c r="BG37" s="82"/>
      <c r="BH37" s="83"/>
      <c r="BI37" s="82"/>
      <c r="BJ37" s="82"/>
      <c r="BK37" s="83"/>
      <c r="BL37" s="82"/>
      <c r="BM37" s="84"/>
      <c r="BN37" s="83"/>
      <c r="BO37" s="82"/>
      <c r="BP37" s="82"/>
      <c r="BQ37" s="83"/>
    </row>
    <row r="38" spans="1:69" ht="19.5" customHeight="1">
      <c r="A38" s="141" t="s">
        <v>360</v>
      </c>
      <c r="B38" s="292" t="s">
        <v>361</v>
      </c>
      <c r="C38" s="290" t="s">
        <v>268</v>
      </c>
      <c r="D38" s="290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>
        <f t="shared" si="10"/>
        <v>0</v>
      </c>
      <c r="BB38" s="305">
        <f t="shared" si="10"/>
        <v>0</v>
      </c>
      <c r="BC38" s="305">
        <f t="shared" si="10"/>
        <v>0</v>
      </c>
      <c r="BD38" s="88"/>
      <c r="BE38" s="79"/>
      <c r="BF38" s="82"/>
      <c r="BG38" s="82"/>
      <c r="BH38" s="83"/>
      <c r="BI38" s="82"/>
      <c r="BJ38" s="82"/>
      <c r="BK38" s="83"/>
      <c r="BL38" s="82"/>
      <c r="BM38" s="84"/>
      <c r="BN38" s="83"/>
      <c r="BO38" s="82"/>
      <c r="BP38" s="82"/>
      <c r="BQ38" s="83"/>
    </row>
    <row r="39" spans="1:69" ht="19.5" customHeight="1">
      <c r="A39" s="141" t="s">
        <v>159</v>
      </c>
      <c r="B39" s="292" t="s">
        <v>65</v>
      </c>
      <c r="C39" s="290" t="s">
        <v>268</v>
      </c>
      <c r="D39" s="290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>
        <f t="shared" si="10"/>
        <v>0</v>
      </c>
      <c r="BB39" s="305">
        <f t="shared" si="10"/>
        <v>0</v>
      </c>
      <c r="BC39" s="305">
        <f t="shared" si="10"/>
        <v>0</v>
      </c>
      <c r="BD39" s="88"/>
      <c r="BE39" s="79"/>
      <c r="BF39" s="82"/>
      <c r="BG39" s="82"/>
      <c r="BH39" s="83"/>
      <c r="BI39" s="82"/>
      <c r="BJ39" s="82"/>
      <c r="BK39" s="83"/>
      <c r="BL39" s="82"/>
      <c r="BM39" s="84"/>
      <c r="BN39" s="83"/>
      <c r="BO39" s="82"/>
      <c r="BP39" s="82"/>
      <c r="BQ39" s="83"/>
    </row>
    <row r="40" spans="1:69" ht="19.5" customHeight="1">
      <c r="A40" s="141" t="s">
        <v>160</v>
      </c>
      <c r="B40" s="292" t="s">
        <v>161</v>
      </c>
      <c r="C40" s="290" t="s">
        <v>268</v>
      </c>
      <c r="D40" s="290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>
        <f t="shared" si="10"/>
        <v>0</v>
      </c>
      <c r="BB40" s="305">
        <f t="shared" si="10"/>
        <v>0</v>
      </c>
      <c r="BC40" s="305">
        <f t="shared" si="10"/>
        <v>0</v>
      </c>
      <c r="BD40" s="79"/>
      <c r="BE40" s="79"/>
      <c r="BF40" s="82"/>
      <c r="BG40" s="82"/>
      <c r="BH40" s="83"/>
      <c r="BI40" s="82"/>
      <c r="BJ40" s="82"/>
      <c r="BK40" s="83"/>
      <c r="BL40" s="82"/>
      <c r="BM40" s="84"/>
      <c r="BN40" s="83"/>
      <c r="BO40" s="82"/>
      <c r="BP40" s="82"/>
      <c r="BQ40" s="83"/>
    </row>
    <row r="41" spans="1:69" ht="19.5" customHeight="1">
      <c r="A41" s="286"/>
      <c r="B41" s="298" t="s">
        <v>162</v>
      </c>
      <c r="C41" s="298"/>
      <c r="D41" s="315">
        <f aca="true" t="shared" si="11" ref="D41:L41">SUM(D36:D40)</f>
        <v>0</v>
      </c>
      <c r="E41" s="315">
        <f t="shared" si="11"/>
        <v>0</v>
      </c>
      <c r="F41" s="315">
        <f t="shared" si="11"/>
        <v>0</v>
      </c>
      <c r="G41" s="315">
        <f>SUM(G36:G40)</f>
        <v>0</v>
      </c>
      <c r="H41" s="315">
        <f t="shared" si="11"/>
        <v>0</v>
      </c>
      <c r="I41" s="315">
        <f t="shared" si="11"/>
        <v>0</v>
      </c>
      <c r="J41" s="315">
        <f>SUM(J36:J40)</f>
        <v>0</v>
      </c>
      <c r="K41" s="315">
        <f t="shared" si="11"/>
        <v>0</v>
      </c>
      <c r="L41" s="315">
        <f t="shared" si="11"/>
        <v>0</v>
      </c>
      <c r="M41" s="315">
        <f aca="true" t="shared" si="12" ref="M41:AZ41">SUM(M36:M40)</f>
        <v>0</v>
      </c>
      <c r="N41" s="315">
        <f t="shared" si="12"/>
        <v>0</v>
      </c>
      <c r="O41" s="315">
        <f t="shared" si="12"/>
        <v>0</v>
      </c>
      <c r="P41" s="315">
        <f t="shared" si="12"/>
        <v>0</v>
      </c>
      <c r="Q41" s="315">
        <f t="shared" si="12"/>
        <v>0</v>
      </c>
      <c r="R41" s="315">
        <f t="shared" si="12"/>
        <v>0</v>
      </c>
      <c r="S41" s="315">
        <f t="shared" si="12"/>
        <v>0</v>
      </c>
      <c r="T41" s="315">
        <f t="shared" si="12"/>
        <v>0</v>
      </c>
      <c r="U41" s="315">
        <f t="shared" si="12"/>
        <v>0</v>
      </c>
      <c r="V41" s="315">
        <f t="shared" si="12"/>
        <v>0</v>
      </c>
      <c r="W41" s="315">
        <f t="shared" si="12"/>
        <v>0</v>
      </c>
      <c r="X41" s="315">
        <f t="shared" si="12"/>
        <v>0</v>
      </c>
      <c r="Y41" s="315">
        <f t="shared" si="12"/>
        <v>0</v>
      </c>
      <c r="Z41" s="315">
        <f t="shared" si="12"/>
        <v>0</v>
      </c>
      <c r="AA41" s="315">
        <f t="shared" si="12"/>
        <v>0</v>
      </c>
      <c r="AB41" s="315">
        <f t="shared" si="12"/>
        <v>0</v>
      </c>
      <c r="AC41" s="315">
        <f t="shared" si="12"/>
        <v>0</v>
      </c>
      <c r="AD41" s="315">
        <f t="shared" si="12"/>
        <v>0</v>
      </c>
      <c r="AE41" s="315">
        <f t="shared" si="12"/>
        <v>0</v>
      </c>
      <c r="AF41" s="315">
        <f t="shared" si="12"/>
        <v>0</v>
      </c>
      <c r="AG41" s="315">
        <f t="shared" si="12"/>
        <v>0</v>
      </c>
      <c r="AH41" s="315">
        <f t="shared" si="12"/>
        <v>0</v>
      </c>
      <c r="AI41" s="315">
        <f t="shared" si="12"/>
        <v>0</v>
      </c>
      <c r="AJ41" s="315">
        <f t="shared" si="12"/>
        <v>0</v>
      </c>
      <c r="AK41" s="315">
        <f t="shared" si="12"/>
        <v>0</v>
      </c>
      <c r="AL41" s="315">
        <f t="shared" si="12"/>
        <v>0</v>
      </c>
      <c r="AM41" s="315">
        <f t="shared" si="12"/>
        <v>0</v>
      </c>
      <c r="AN41" s="315">
        <f t="shared" si="12"/>
        <v>0</v>
      </c>
      <c r="AO41" s="315">
        <f t="shared" si="12"/>
        <v>0</v>
      </c>
      <c r="AP41" s="315">
        <f t="shared" si="12"/>
        <v>0</v>
      </c>
      <c r="AQ41" s="315">
        <f t="shared" si="12"/>
        <v>0</v>
      </c>
      <c r="AR41" s="315">
        <f t="shared" si="12"/>
        <v>0</v>
      </c>
      <c r="AS41" s="315">
        <f t="shared" si="12"/>
        <v>0</v>
      </c>
      <c r="AT41" s="315">
        <f t="shared" si="12"/>
        <v>0</v>
      </c>
      <c r="AU41" s="315">
        <f t="shared" si="12"/>
        <v>0</v>
      </c>
      <c r="AV41" s="315">
        <f t="shared" si="12"/>
        <v>0</v>
      </c>
      <c r="AW41" s="315">
        <f t="shared" si="12"/>
        <v>0</v>
      </c>
      <c r="AX41" s="315">
        <f t="shared" si="12"/>
        <v>0</v>
      </c>
      <c r="AY41" s="315">
        <f t="shared" si="12"/>
        <v>0</v>
      </c>
      <c r="AZ41" s="315">
        <f t="shared" si="12"/>
        <v>0</v>
      </c>
      <c r="BA41" s="315">
        <f>SUM(BA34:BA40)</f>
        <v>0</v>
      </c>
      <c r="BB41" s="315">
        <f>SUM(BB34:BB40)</f>
        <v>0</v>
      </c>
      <c r="BC41" s="315">
        <f>SUM(BC34:BC40)</f>
        <v>0</v>
      </c>
      <c r="BD41" s="79"/>
      <c r="BE41" s="79"/>
      <c r="BF41" s="82"/>
      <c r="BG41" s="82"/>
      <c r="BH41" s="83"/>
      <c r="BI41" s="82"/>
      <c r="BJ41" s="82"/>
      <c r="BK41" s="83"/>
      <c r="BL41" s="82"/>
      <c r="BM41" s="84"/>
      <c r="BN41" s="83"/>
      <c r="BO41" s="82"/>
      <c r="BP41" s="82"/>
      <c r="BQ41" s="83"/>
    </row>
    <row r="42" spans="1:69" ht="19.5" customHeight="1">
      <c r="A42" s="142"/>
      <c r="B42" s="291"/>
      <c r="C42" s="291"/>
      <c r="D42" s="291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>
        <f aca="true" t="shared" si="13" ref="BA42:BC47">SUM(E42,H42,K42,N42,Q42,T42,W42,Z42,AC42,AF42,AI42,AL42,AO42,AR42,AU42,AX42)</f>
        <v>0</v>
      </c>
      <c r="BB42" s="305">
        <f t="shared" si="13"/>
        <v>0</v>
      </c>
      <c r="BC42" s="305">
        <f t="shared" si="13"/>
        <v>0</v>
      </c>
      <c r="BD42" s="79"/>
      <c r="BE42" s="79"/>
      <c r="BF42" s="82"/>
      <c r="BG42" s="82"/>
      <c r="BH42" s="83"/>
      <c r="BI42" s="82"/>
      <c r="BJ42" s="82"/>
      <c r="BK42" s="83"/>
      <c r="BL42" s="82"/>
      <c r="BM42" s="84"/>
      <c r="BN42" s="83"/>
      <c r="BO42" s="82"/>
      <c r="BP42" s="82"/>
      <c r="BQ42" s="83"/>
    </row>
    <row r="43" spans="1:69" ht="19.5" customHeight="1">
      <c r="A43" s="145" t="s">
        <v>163</v>
      </c>
      <c r="B43" s="119" t="s">
        <v>164</v>
      </c>
      <c r="C43" s="119"/>
      <c r="D43" s="119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>
        <f t="shared" si="13"/>
        <v>0</v>
      </c>
      <c r="BB43" s="305">
        <f t="shared" si="13"/>
        <v>0</v>
      </c>
      <c r="BC43" s="305">
        <f t="shared" si="13"/>
        <v>0</v>
      </c>
      <c r="BD43" s="79"/>
      <c r="BE43" s="79"/>
      <c r="BF43" s="82"/>
      <c r="BG43" s="82"/>
      <c r="BH43" s="83"/>
      <c r="BI43" s="82"/>
      <c r="BJ43" s="82"/>
      <c r="BK43" s="83"/>
      <c r="BL43" s="82"/>
      <c r="BM43" s="84"/>
      <c r="BN43" s="83"/>
      <c r="BO43" s="82"/>
      <c r="BP43" s="82"/>
      <c r="BQ43" s="83"/>
    </row>
    <row r="44" spans="1:69" ht="19.5" customHeight="1">
      <c r="A44" s="141" t="s">
        <v>165</v>
      </c>
      <c r="B44" s="292" t="s">
        <v>166</v>
      </c>
      <c r="C44" s="291" t="s">
        <v>268</v>
      </c>
      <c r="D44" s="291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>
        <f t="shared" si="13"/>
        <v>0</v>
      </c>
      <c r="BB44" s="305">
        <f t="shared" si="13"/>
        <v>0</v>
      </c>
      <c r="BC44" s="305">
        <f t="shared" si="13"/>
        <v>0</v>
      </c>
      <c r="BD44" s="88"/>
      <c r="BE44" s="79"/>
      <c r="BF44" s="81"/>
      <c r="BG44" s="81"/>
      <c r="BH44" s="83"/>
      <c r="BI44" s="82"/>
      <c r="BJ44" s="82"/>
      <c r="BK44" s="83"/>
      <c r="BL44" s="82"/>
      <c r="BM44" s="84"/>
      <c r="BN44" s="83"/>
      <c r="BO44" s="82"/>
      <c r="BP44" s="82"/>
      <c r="BQ44" s="83"/>
    </row>
    <row r="45" spans="1:69" ht="19.5" customHeight="1">
      <c r="A45" s="141" t="s">
        <v>370</v>
      </c>
      <c r="B45" s="292" t="s">
        <v>442</v>
      </c>
      <c r="C45" s="291" t="s">
        <v>268</v>
      </c>
      <c r="D45" s="291"/>
      <c r="E45" s="305">
        <v>480000</v>
      </c>
      <c r="F45" s="305">
        <v>480000</v>
      </c>
      <c r="G45" s="305">
        <v>480000</v>
      </c>
      <c r="H45" s="305">
        <v>93600</v>
      </c>
      <c r="I45" s="305">
        <v>93600</v>
      </c>
      <c r="J45" s="305">
        <v>93600</v>
      </c>
      <c r="K45" s="305">
        <v>1974650</v>
      </c>
      <c r="L45" s="305">
        <v>1974650</v>
      </c>
      <c r="M45" s="305">
        <v>1974650</v>
      </c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>
        <f t="shared" si="13"/>
        <v>2548250</v>
      </c>
      <c r="BB45" s="305">
        <f t="shared" si="13"/>
        <v>2548250</v>
      </c>
      <c r="BC45" s="305">
        <f t="shared" si="13"/>
        <v>2548250</v>
      </c>
      <c r="BD45" s="88"/>
      <c r="BE45" s="79"/>
      <c r="BF45" s="81"/>
      <c r="BG45" s="81"/>
      <c r="BH45" s="83"/>
      <c r="BI45" s="82"/>
      <c r="BJ45" s="82"/>
      <c r="BK45" s="83"/>
      <c r="BL45" s="82"/>
      <c r="BM45" s="84"/>
      <c r="BN45" s="83"/>
      <c r="BO45" s="82"/>
      <c r="BP45" s="82"/>
      <c r="BQ45" s="83"/>
    </row>
    <row r="46" spans="1:69" ht="19.5" customHeight="1">
      <c r="A46" s="141" t="s">
        <v>463</v>
      </c>
      <c r="B46" s="292" t="s">
        <v>464</v>
      </c>
      <c r="C46" s="291" t="s">
        <v>268</v>
      </c>
      <c r="D46" s="291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>
        <f t="shared" si="13"/>
        <v>0</v>
      </c>
      <c r="BB46" s="305">
        <f t="shared" si="13"/>
        <v>0</v>
      </c>
      <c r="BC46" s="305">
        <f t="shared" si="13"/>
        <v>0</v>
      </c>
      <c r="BD46" s="88"/>
      <c r="BE46" s="79"/>
      <c r="BF46" s="81"/>
      <c r="BG46" s="81"/>
      <c r="BH46" s="83"/>
      <c r="BI46" s="82"/>
      <c r="BJ46" s="82"/>
      <c r="BK46" s="83"/>
      <c r="BL46" s="82"/>
      <c r="BM46" s="84"/>
      <c r="BN46" s="83"/>
      <c r="BO46" s="82"/>
      <c r="BP46" s="82"/>
      <c r="BQ46" s="83"/>
    </row>
    <row r="47" spans="1:69" s="154" customFormat="1" ht="19.5" customHeight="1">
      <c r="A47" s="141" t="s">
        <v>167</v>
      </c>
      <c r="B47" s="290" t="s">
        <v>78</v>
      </c>
      <c r="C47" s="299" t="s">
        <v>268</v>
      </c>
      <c r="D47" s="299"/>
      <c r="E47" s="310"/>
      <c r="F47" s="310"/>
      <c r="G47" s="310"/>
      <c r="H47" s="310"/>
      <c r="I47" s="310"/>
      <c r="J47" s="310"/>
      <c r="K47" s="310"/>
      <c r="L47" s="310"/>
      <c r="M47" s="310"/>
      <c r="N47" s="313"/>
      <c r="O47" s="313"/>
      <c r="P47" s="313"/>
      <c r="Q47" s="313"/>
      <c r="R47" s="313"/>
      <c r="S47" s="313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05">
        <f t="shared" si="13"/>
        <v>0</v>
      </c>
      <c r="BB47" s="305">
        <f t="shared" si="13"/>
        <v>0</v>
      </c>
      <c r="BC47" s="305">
        <f t="shared" si="13"/>
        <v>0</v>
      </c>
      <c r="BD47" s="147"/>
      <c r="BE47" s="223"/>
      <c r="BF47" s="224"/>
      <c r="BG47" s="224"/>
      <c r="BH47" s="150"/>
      <c r="BI47" s="224"/>
      <c r="BJ47" s="224"/>
      <c r="BK47" s="150"/>
      <c r="BL47" s="152"/>
      <c r="BM47" s="152"/>
      <c r="BN47" s="150"/>
      <c r="BO47" s="225"/>
      <c r="BP47" s="225"/>
      <c r="BQ47" s="150"/>
    </row>
    <row r="48" spans="1:69" s="155" customFormat="1" ht="19.5" customHeight="1">
      <c r="A48" s="286"/>
      <c r="B48" s="294" t="s">
        <v>168</v>
      </c>
      <c r="C48" s="294"/>
      <c r="D48" s="294"/>
      <c r="E48" s="311">
        <f aca="true" t="shared" si="14" ref="E48:AZ48">SUM(E44:E47)</f>
        <v>480000</v>
      </c>
      <c r="F48" s="311">
        <f t="shared" si="14"/>
        <v>480000</v>
      </c>
      <c r="G48" s="311">
        <f t="shared" si="14"/>
        <v>480000</v>
      </c>
      <c r="H48" s="311">
        <f t="shared" si="14"/>
        <v>93600</v>
      </c>
      <c r="I48" s="311">
        <f t="shared" si="14"/>
        <v>93600</v>
      </c>
      <c r="J48" s="311">
        <f t="shared" si="14"/>
        <v>93600</v>
      </c>
      <c r="K48" s="311">
        <f t="shared" si="14"/>
        <v>1974650</v>
      </c>
      <c r="L48" s="311">
        <f t="shared" si="14"/>
        <v>1974650</v>
      </c>
      <c r="M48" s="311">
        <f t="shared" si="14"/>
        <v>1974650</v>
      </c>
      <c r="N48" s="311">
        <f t="shared" si="14"/>
        <v>0</v>
      </c>
      <c r="O48" s="311">
        <f t="shared" si="14"/>
        <v>0</v>
      </c>
      <c r="P48" s="311">
        <f t="shared" si="14"/>
        <v>0</v>
      </c>
      <c r="Q48" s="311">
        <f t="shared" si="14"/>
        <v>0</v>
      </c>
      <c r="R48" s="311">
        <f t="shared" si="14"/>
        <v>0</v>
      </c>
      <c r="S48" s="311">
        <f t="shared" si="14"/>
        <v>0</v>
      </c>
      <c r="T48" s="311">
        <f t="shared" si="14"/>
        <v>0</v>
      </c>
      <c r="U48" s="311">
        <f t="shared" si="14"/>
        <v>0</v>
      </c>
      <c r="V48" s="311">
        <f t="shared" si="14"/>
        <v>0</v>
      </c>
      <c r="W48" s="311">
        <f t="shared" si="14"/>
        <v>0</v>
      </c>
      <c r="X48" s="311">
        <f t="shared" si="14"/>
        <v>0</v>
      </c>
      <c r="Y48" s="311">
        <f t="shared" si="14"/>
        <v>0</v>
      </c>
      <c r="Z48" s="311">
        <f t="shared" si="14"/>
        <v>0</v>
      </c>
      <c r="AA48" s="311">
        <f t="shared" si="14"/>
        <v>0</v>
      </c>
      <c r="AB48" s="311">
        <f t="shared" si="14"/>
        <v>0</v>
      </c>
      <c r="AC48" s="311">
        <f t="shared" si="14"/>
        <v>0</v>
      </c>
      <c r="AD48" s="311">
        <f t="shared" si="14"/>
        <v>0</v>
      </c>
      <c r="AE48" s="311">
        <f t="shared" si="14"/>
        <v>0</v>
      </c>
      <c r="AF48" s="311">
        <f t="shared" si="14"/>
        <v>0</v>
      </c>
      <c r="AG48" s="311">
        <f t="shared" si="14"/>
        <v>0</v>
      </c>
      <c r="AH48" s="311">
        <f t="shared" si="14"/>
        <v>0</v>
      </c>
      <c r="AI48" s="311">
        <f t="shared" si="14"/>
        <v>0</v>
      </c>
      <c r="AJ48" s="311">
        <f t="shared" si="14"/>
        <v>0</v>
      </c>
      <c r="AK48" s="311">
        <f t="shared" si="14"/>
        <v>0</v>
      </c>
      <c r="AL48" s="311">
        <f t="shared" si="14"/>
        <v>0</v>
      </c>
      <c r="AM48" s="311">
        <f t="shared" si="14"/>
        <v>0</v>
      </c>
      <c r="AN48" s="311">
        <f t="shared" si="14"/>
        <v>0</v>
      </c>
      <c r="AO48" s="311">
        <f t="shared" si="14"/>
        <v>0</v>
      </c>
      <c r="AP48" s="311">
        <f t="shared" si="14"/>
        <v>0</v>
      </c>
      <c r="AQ48" s="311">
        <f t="shared" si="14"/>
        <v>0</v>
      </c>
      <c r="AR48" s="311">
        <f t="shared" si="14"/>
        <v>0</v>
      </c>
      <c r="AS48" s="311">
        <f t="shared" si="14"/>
        <v>0</v>
      </c>
      <c r="AT48" s="311">
        <f t="shared" si="14"/>
        <v>0</v>
      </c>
      <c r="AU48" s="311">
        <f t="shared" si="14"/>
        <v>0</v>
      </c>
      <c r="AV48" s="311">
        <f t="shared" si="14"/>
        <v>0</v>
      </c>
      <c r="AW48" s="311">
        <f t="shared" si="14"/>
        <v>0</v>
      </c>
      <c r="AX48" s="311">
        <f t="shared" si="14"/>
        <v>0</v>
      </c>
      <c r="AY48" s="311">
        <f t="shared" si="14"/>
        <v>0</v>
      </c>
      <c r="AZ48" s="311">
        <f t="shared" si="14"/>
        <v>0</v>
      </c>
      <c r="BA48" s="311">
        <f>SUM(BA42:BA47)</f>
        <v>2548250</v>
      </c>
      <c r="BB48" s="311">
        <f>SUM(BB42:BB47)</f>
        <v>2548250</v>
      </c>
      <c r="BC48" s="311">
        <f>SUM(BC42:BC47)</f>
        <v>2548250</v>
      </c>
      <c r="BD48" s="88"/>
      <c r="BE48" s="77"/>
      <c r="BF48" s="85"/>
      <c r="BG48" s="85"/>
      <c r="BH48" s="83"/>
      <c r="BI48" s="85"/>
      <c r="BJ48" s="85"/>
      <c r="BK48" s="83"/>
      <c r="BL48" s="86"/>
      <c r="BM48" s="86"/>
      <c r="BN48" s="83"/>
      <c r="BO48" s="92"/>
      <c r="BP48" s="92"/>
      <c r="BQ48" s="83"/>
    </row>
    <row r="49" spans="1:69" s="155" customFormat="1" ht="19.5" customHeight="1">
      <c r="A49" s="517" t="s">
        <v>362</v>
      </c>
      <c r="B49" s="295" t="s">
        <v>363</v>
      </c>
      <c r="C49" s="295"/>
      <c r="D49" s="295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8"/>
      <c r="AI49" s="518"/>
      <c r="AJ49" s="518"/>
      <c r="AK49" s="518"/>
      <c r="AL49" s="518"/>
      <c r="AM49" s="518"/>
      <c r="AN49" s="518"/>
      <c r="AO49" s="518"/>
      <c r="AP49" s="518"/>
      <c r="AQ49" s="518"/>
      <c r="AR49" s="518"/>
      <c r="AS49" s="518"/>
      <c r="AT49" s="518"/>
      <c r="AU49" s="518"/>
      <c r="AV49" s="518"/>
      <c r="AW49" s="518"/>
      <c r="AX49" s="518"/>
      <c r="AY49" s="518"/>
      <c r="AZ49" s="518"/>
      <c r="BA49" s="518">
        <f aca="true" t="shared" si="15" ref="BA49:BC50">SUM(E49,H49,K49,N49,Q49,T49,W49,Z49,AC49,AF49,AI49,AL49,AO49,AR49,AU49,AX49)</f>
        <v>0</v>
      </c>
      <c r="BB49" s="518">
        <f t="shared" si="15"/>
        <v>0</v>
      </c>
      <c r="BC49" s="518">
        <f t="shared" si="15"/>
        <v>0</v>
      </c>
      <c r="BD49" s="88"/>
      <c r="BE49" s="77"/>
      <c r="BF49" s="85"/>
      <c r="BG49" s="85"/>
      <c r="BH49" s="83"/>
      <c r="BI49" s="85"/>
      <c r="BJ49" s="85"/>
      <c r="BK49" s="83"/>
      <c r="BL49" s="86"/>
      <c r="BM49" s="86"/>
      <c r="BN49" s="83"/>
      <c r="BO49" s="92"/>
      <c r="BP49" s="92"/>
      <c r="BQ49" s="83"/>
    </row>
    <row r="50" spans="1:69" s="155" customFormat="1" ht="19.5" customHeight="1">
      <c r="A50" s="517" t="s">
        <v>521</v>
      </c>
      <c r="B50" s="295" t="s">
        <v>518</v>
      </c>
      <c r="C50" s="295"/>
      <c r="D50" s="295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>
        <f>-1526731-127000</f>
        <v>-1653731</v>
      </c>
      <c r="AE50" s="518">
        <f>-1526731-127000</f>
        <v>-1653731</v>
      </c>
      <c r="AF50" s="518"/>
      <c r="AG50" s="518">
        <v>1526731</v>
      </c>
      <c r="AH50" s="518">
        <v>1526731</v>
      </c>
      <c r="AI50" s="518"/>
      <c r="AJ50" s="518"/>
      <c r="AK50" s="518"/>
      <c r="AL50" s="518"/>
      <c r="AM50" s="518"/>
      <c r="AN50" s="518"/>
      <c r="AO50" s="518"/>
      <c r="AP50" s="518"/>
      <c r="AQ50" s="518"/>
      <c r="AR50" s="518"/>
      <c r="AS50" s="518"/>
      <c r="AT50" s="518"/>
      <c r="AU50" s="518"/>
      <c r="AV50" s="518"/>
      <c r="AW50" s="518"/>
      <c r="AX50" s="518"/>
      <c r="AY50" s="518"/>
      <c r="AZ50" s="518"/>
      <c r="BA50" s="518">
        <f t="shared" si="15"/>
        <v>0</v>
      </c>
      <c r="BB50" s="518">
        <f t="shared" si="15"/>
        <v>-127000</v>
      </c>
      <c r="BC50" s="518">
        <f t="shared" si="15"/>
        <v>-127000</v>
      </c>
      <c r="BD50" s="88"/>
      <c r="BE50" s="77"/>
      <c r="BF50" s="85"/>
      <c r="BG50" s="85"/>
      <c r="BH50" s="83"/>
      <c r="BI50" s="85"/>
      <c r="BJ50" s="85"/>
      <c r="BK50" s="83"/>
      <c r="BL50" s="86"/>
      <c r="BM50" s="86"/>
      <c r="BN50" s="83"/>
      <c r="BO50" s="92"/>
      <c r="BP50" s="92"/>
      <c r="BQ50" s="83"/>
    </row>
    <row r="51" spans="1:69" s="155" customFormat="1" ht="19.5" customHeight="1">
      <c r="A51" s="286"/>
      <c r="B51" s="294" t="s">
        <v>364</v>
      </c>
      <c r="C51" s="294"/>
      <c r="D51" s="294"/>
      <c r="E51" s="311">
        <f>SUM(E50)</f>
        <v>0</v>
      </c>
      <c r="F51" s="311">
        <f aca="true" t="shared" si="16" ref="F51:AY51">SUM(F50)</f>
        <v>0</v>
      </c>
      <c r="G51" s="311">
        <f>SUM(G50)</f>
        <v>0</v>
      </c>
      <c r="H51" s="311">
        <f t="shared" si="16"/>
        <v>0</v>
      </c>
      <c r="I51" s="311">
        <f t="shared" si="16"/>
        <v>0</v>
      </c>
      <c r="J51" s="311">
        <f>SUM(J50)</f>
        <v>0</v>
      </c>
      <c r="K51" s="311">
        <f t="shared" si="16"/>
        <v>0</v>
      </c>
      <c r="L51" s="311">
        <f t="shared" si="16"/>
        <v>0</v>
      </c>
      <c r="M51" s="311">
        <f>SUM(M50)</f>
        <v>0</v>
      </c>
      <c r="N51" s="311">
        <f t="shared" si="16"/>
        <v>0</v>
      </c>
      <c r="O51" s="311">
        <f t="shared" si="16"/>
        <v>0</v>
      </c>
      <c r="P51" s="311">
        <f>SUM(P50)</f>
        <v>0</v>
      </c>
      <c r="Q51" s="311">
        <f t="shared" si="16"/>
        <v>0</v>
      </c>
      <c r="R51" s="311">
        <f t="shared" si="16"/>
        <v>0</v>
      </c>
      <c r="S51" s="311">
        <f>SUM(S50)</f>
        <v>0</v>
      </c>
      <c r="T51" s="311">
        <f t="shared" si="16"/>
        <v>0</v>
      </c>
      <c r="U51" s="311">
        <f t="shared" si="16"/>
        <v>0</v>
      </c>
      <c r="V51" s="311">
        <f>SUM(V50)</f>
        <v>0</v>
      </c>
      <c r="W51" s="311">
        <f t="shared" si="16"/>
        <v>0</v>
      </c>
      <c r="X51" s="311">
        <f t="shared" si="16"/>
        <v>0</v>
      </c>
      <c r="Y51" s="311">
        <f>SUM(Y50)</f>
        <v>0</v>
      </c>
      <c r="Z51" s="311">
        <f t="shared" si="16"/>
        <v>0</v>
      </c>
      <c r="AA51" s="311">
        <f t="shared" si="16"/>
        <v>0</v>
      </c>
      <c r="AB51" s="311">
        <f>SUM(AB50)</f>
        <v>0</v>
      </c>
      <c r="AC51" s="311">
        <f t="shared" si="16"/>
        <v>0</v>
      </c>
      <c r="AD51" s="311">
        <f t="shared" si="16"/>
        <v>-1653731</v>
      </c>
      <c r="AE51" s="311">
        <f>SUM(AE50)</f>
        <v>-1653731</v>
      </c>
      <c r="AF51" s="311">
        <f t="shared" si="16"/>
        <v>0</v>
      </c>
      <c r="AG51" s="311">
        <f t="shared" si="16"/>
        <v>1526731</v>
      </c>
      <c r="AH51" s="311">
        <f>SUM(AH50)</f>
        <v>1526731</v>
      </c>
      <c r="AI51" s="311">
        <f t="shared" si="16"/>
        <v>0</v>
      </c>
      <c r="AJ51" s="311">
        <f t="shared" si="16"/>
        <v>0</v>
      </c>
      <c r="AK51" s="311">
        <f>SUM(AK50)</f>
        <v>0</v>
      </c>
      <c r="AL51" s="311">
        <f t="shared" si="16"/>
        <v>0</v>
      </c>
      <c r="AM51" s="311">
        <f t="shared" si="16"/>
        <v>0</v>
      </c>
      <c r="AN51" s="311">
        <f>SUM(AN50)</f>
        <v>0</v>
      </c>
      <c r="AO51" s="311">
        <f t="shared" si="16"/>
        <v>0</v>
      </c>
      <c r="AP51" s="311">
        <f t="shared" si="16"/>
        <v>0</v>
      </c>
      <c r="AQ51" s="311">
        <f>SUM(AQ50)</f>
        <v>0</v>
      </c>
      <c r="AR51" s="311">
        <f t="shared" si="16"/>
        <v>0</v>
      </c>
      <c r="AS51" s="311">
        <f t="shared" si="16"/>
        <v>0</v>
      </c>
      <c r="AT51" s="311">
        <f>SUM(AT50)</f>
        <v>0</v>
      </c>
      <c r="AU51" s="311">
        <f t="shared" si="16"/>
        <v>0</v>
      </c>
      <c r="AV51" s="311">
        <f t="shared" si="16"/>
        <v>0</v>
      </c>
      <c r="AW51" s="311">
        <f>SUM(AW50)</f>
        <v>0</v>
      </c>
      <c r="AX51" s="311">
        <f t="shared" si="16"/>
        <v>0</v>
      </c>
      <c r="AY51" s="311">
        <f t="shared" si="16"/>
        <v>0</v>
      </c>
      <c r="AZ51" s="311">
        <f>SUM(AZ50)</f>
        <v>0</v>
      </c>
      <c r="BA51" s="311">
        <f>SUM(BA49:BA50)</f>
        <v>0</v>
      </c>
      <c r="BB51" s="311">
        <f>SUM(BB49:BB50)</f>
        <v>-127000</v>
      </c>
      <c r="BC51" s="311">
        <f>SUM(BC49:BC50)</f>
        <v>-127000</v>
      </c>
      <c r="BD51" s="88"/>
      <c r="BE51" s="77"/>
      <c r="BF51" s="85"/>
      <c r="BG51" s="85"/>
      <c r="BH51" s="83"/>
      <c r="BI51" s="85"/>
      <c r="BJ51" s="85"/>
      <c r="BK51" s="83"/>
      <c r="BL51" s="86"/>
      <c r="BM51" s="86"/>
      <c r="BN51" s="83"/>
      <c r="BO51" s="92"/>
      <c r="BP51" s="92"/>
      <c r="BQ51" s="83"/>
    </row>
    <row r="52" spans="1:69" ht="19.5" customHeight="1">
      <c r="A52" s="142"/>
      <c r="B52" s="291"/>
      <c r="C52" s="291"/>
      <c r="D52" s="291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>
        <f aca="true" t="shared" si="17" ref="BA52:BA61">SUM(E52,H52,K52,N52,Q52,T52,W52,Z52,AC52,AF52,AI52,AL52,AO52,AR52,AU52,AX52)</f>
        <v>0</v>
      </c>
      <c r="BB52" s="305">
        <f aca="true" t="shared" si="18" ref="BB52:BB61">SUM(F52,I52,L52,O52,R52,U52,X52,AA52,AD52,AG52,AJ52,AM52,AP52,AS52,AV52,AY52)</f>
        <v>0</v>
      </c>
      <c r="BC52" s="305">
        <f aca="true" t="shared" si="19" ref="BC52:BC61">SUM(G52,J52,M52,P52,S52,V52,Y52,AB52,AE52,AH52,AK52,AN52,AQ52,AT52,AW52,AZ52)</f>
        <v>0</v>
      </c>
      <c r="BD52" s="88"/>
      <c r="BE52" s="79"/>
      <c r="BF52" s="81"/>
      <c r="BG52" s="81"/>
      <c r="BH52" s="83"/>
      <c r="BI52" s="82"/>
      <c r="BJ52" s="82"/>
      <c r="BK52" s="83"/>
      <c r="BL52" s="82"/>
      <c r="BM52" s="84"/>
      <c r="BN52" s="83"/>
      <c r="BO52" s="82"/>
      <c r="BP52" s="82"/>
      <c r="BQ52" s="83"/>
    </row>
    <row r="53" spans="1:69" ht="19.5" customHeight="1">
      <c r="A53" s="145" t="s">
        <v>13</v>
      </c>
      <c r="B53" s="119" t="s">
        <v>169</v>
      </c>
      <c r="C53" s="119"/>
      <c r="D53" s="119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>
        <f t="shared" si="17"/>
        <v>0</v>
      </c>
      <c r="BB53" s="305">
        <f t="shared" si="18"/>
        <v>0</v>
      </c>
      <c r="BC53" s="305">
        <f t="shared" si="19"/>
        <v>0</v>
      </c>
      <c r="BD53" s="88"/>
      <c r="BE53" s="79"/>
      <c r="BF53" s="81"/>
      <c r="BG53" s="81"/>
      <c r="BH53" s="83"/>
      <c r="BI53" s="82"/>
      <c r="BJ53" s="82"/>
      <c r="BK53" s="83"/>
      <c r="BL53" s="82"/>
      <c r="BM53" s="84"/>
      <c r="BN53" s="83"/>
      <c r="BO53" s="82"/>
      <c r="BP53" s="82"/>
      <c r="BQ53" s="83"/>
    </row>
    <row r="54" spans="1:69" ht="19.5" customHeight="1">
      <c r="A54" s="142" t="s">
        <v>459</v>
      </c>
      <c r="B54" s="117" t="s">
        <v>460</v>
      </c>
      <c r="C54" s="117" t="s">
        <v>268</v>
      </c>
      <c r="D54" s="117"/>
      <c r="E54" s="305"/>
      <c r="F54" s="305"/>
      <c r="G54" s="305"/>
      <c r="H54" s="305"/>
      <c r="I54" s="305"/>
      <c r="J54" s="305"/>
      <c r="K54" s="305">
        <v>258780</v>
      </c>
      <c r="L54" s="305">
        <v>258780</v>
      </c>
      <c r="M54" s="305">
        <v>258780</v>
      </c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>
        <f t="shared" si="17"/>
        <v>258780</v>
      </c>
      <c r="BB54" s="305">
        <f t="shared" si="18"/>
        <v>258780</v>
      </c>
      <c r="BC54" s="305">
        <f t="shared" si="19"/>
        <v>258780</v>
      </c>
      <c r="BD54" s="88"/>
      <c r="BE54" s="79"/>
      <c r="BF54" s="81"/>
      <c r="BG54" s="81"/>
      <c r="BH54" s="83"/>
      <c r="BI54" s="82"/>
      <c r="BJ54" s="82"/>
      <c r="BK54" s="83"/>
      <c r="BL54" s="82"/>
      <c r="BM54" s="84"/>
      <c r="BN54" s="83"/>
      <c r="BO54" s="82"/>
      <c r="BP54" s="82"/>
      <c r="BQ54" s="83"/>
    </row>
    <row r="55" spans="1:69" ht="19.5" customHeight="1">
      <c r="A55" s="142" t="s">
        <v>394</v>
      </c>
      <c r="B55" s="290" t="s">
        <v>367</v>
      </c>
      <c r="C55" s="117" t="s">
        <v>268</v>
      </c>
      <c r="D55" s="117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>
        <f t="shared" si="17"/>
        <v>0</v>
      </c>
      <c r="BB55" s="305">
        <f t="shared" si="18"/>
        <v>0</v>
      </c>
      <c r="BC55" s="305">
        <f t="shared" si="19"/>
        <v>0</v>
      </c>
      <c r="BD55" s="88"/>
      <c r="BE55" s="79"/>
      <c r="BF55" s="81"/>
      <c r="BG55" s="81"/>
      <c r="BH55" s="83"/>
      <c r="BI55" s="82"/>
      <c r="BJ55" s="82"/>
      <c r="BK55" s="83"/>
      <c r="BL55" s="82"/>
      <c r="BM55" s="84"/>
      <c r="BN55" s="83"/>
      <c r="BO55" s="82"/>
      <c r="BP55" s="82"/>
      <c r="BQ55" s="83"/>
    </row>
    <row r="56" spans="1:69" ht="19.5" customHeight="1">
      <c r="A56" s="142" t="s">
        <v>249</v>
      </c>
      <c r="B56" s="117" t="s">
        <v>392</v>
      </c>
      <c r="C56" s="117" t="s">
        <v>268</v>
      </c>
      <c r="D56" s="117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>
        <f t="shared" si="17"/>
        <v>0</v>
      </c>
      <c r="BB56" s="305">
        <f t="shared" si="18"/>
        <v>0</v>
      </c>
      <c r="BC56" s="305">
        <f t="shared" si="19"/>
        <v>0</v>
      </c>
      <c r="BD56" s="88"/>
      <c r="BE56" s="79"/>
      <c r="BF56" s="81"/>
      <c r="BG56" s="81"/>
      <c r="BH56" s="83"/>
      <c r="BI56" s="82"/>
      <c r="BJ56" s="82"/>
      <c r="BK56" s="83"/>
      <c r="BL56" s="82"/>
      <c r="BM56" s="84"/>
      <c r="BN56" s="83"/>
      <c r="BO56" s="82"/>
      <c r="BP56" s="82"/>
      <c r="BQ56" s="83"/>
    </row>
    <row r="57" spans="1:69" ht="19.5" customHeight="1">
      <c r="A57" s="142" t="s">
        <v>250</v>
      </c>
      <c r="B57" s="117" t="s">
        <v>251</v>
      </c>
      <c r="C57" s="117" t="s">
        <v>268</v>
      </c>
      <c r="D57" s="117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>
        <f t="shared" si="17"/>
        <v>0</v>
      </c>
      <c r="BB57" s="305">
        <f t="shared" si="18"/>
        <v>0</v>
      </c>
      <c r="BC57" s="305">
        <f t="shared" si="19"/>
        <v>0</v>
      </c>
      <c r="BD57" s="88"/>
      <c r="BE57" s="79"/>
      <c r="BF57" s="81"/>
      <c r="BG57" s="81"/>
      <c r="BH57" s="83"/>
      <c r="BI57" s="82"/>
      <c r="BJ57" s="82"/>
      <c r="BK57" s="83"/>
      <c r="BL57" s="82"/>
      <c r="BM57" s="84"/>
      <c r="BN57" s="83"/>
      <c r="BO57" s="82"/>
      <c r="BP57" s="82"/>
      <c r="BQ57" s="83"/>
    </row>
    <row r="58" spans="1:69" ht="19.5" customHeight="1">
      <c r="A58" s="142" t="s">
        <v>252</v>
      </c>
      <c r="B58" s="117" t="s">
        <v>393</v>
      </c>
      <c r="C58" s="117" t="s">
        <v>268</v>
      </c>
      <c r="D58" s="117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>
        <f t="shared" si="17"/>
        <v>0</v>
      </c>
      <c r="BB58" s="305">
        <f t="shared" si="18"/>
        <v>0</v>
      </c>
      <c r="BC58" s="305">
        <f t="shared" si="19"/>
        <v>0</v>
      </c>
      <c r="BD58" s="88"/>
      <c r="BE58" s="79"/>
      <c r="BF58" s="81"/>
      <c r="BG58" s="81"/>
      <c r="BH58" s="83"/>
      <c r="BI58" s="82"/>
      <c r="BJ58" s="82"/>
      <c r="BK58" s="83"/>
      <c r="BL58" s="82"/>
      <c r="BM58" s="84"/>
      <c r="BN58" s="83"/>
      <c r="BO58" s="82"/>
      <c r="BP58" s="82"/>
      <c r="BQ58" s="83"/>
    </row>
    <row r="59" spans="1:69" ht="19.5" customHeight="1">
      <c r="A59" s="94">
        <v>107051</v>
      </c>
      <c r="B59" s="291" t="s">
        <v>63</v>
      </c>
      <c r="C59" s="291" t="s">
        <v>268</v>
      </c>
      <c r="D59" s="291"/>
      <c r="E59" s="305"/>
      <c r="F59" s="305"/>
      <c r="G59" s="305"/>
      <c r="H59" s="305"/>
      <c r="I59" s="305"/>
      <c r="J59" s="305"/>
      <c r="K59" s="305">
        <v>4821220</v>
      </c>
      <c r="L59" s="305">
        <v>4821220</v>
      </c>
      <c r="M59" s="305">
        <v>4821220</v>
      </c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>
        <f t="shared" si="17"/>
        <v>4821220</v>
      </c>
      <c r="BB59" s="305">
        <f t="shared" si="18"/>
        <v>4821220</v>
      </c>
      <c r="BC59" s="305">
        <f t="shared" si="19"/>
        <v>4821220</v>
      </c>
      <c r="BD59" s="88"/>
      <c r="BE59" s="79"/>
      <c r="BF59" s="82"/>
      <c r="BG59" s="82"/>
      <c r="BH59" s="83"/>
      <c r="BI59" s="82"/>
      <c r="BJ59" s="82"/>
      <c r="BK59" s="83"/>
      <c r="BL59" s="82"/>
      <c r="BM59" s="84"/>
      <c r="BN59" s="83"/>
      <c r="BO59" s="83"/>
      <c r="BP59" s="83"/>
      <c r="BQ59" s="83"/>
    </row>
    <row r="60" spans="1:69" ht="19.5" customHeight="1">
      <c r="A60" s="141" t="s">
        <v>527</v>
      </c>
      <c r="B60" s="290" t="s">
        <v>528</v>
      </c>
      <c r="C60" s="300" t="s">
        <v>268</v>
      </c>
      <c r="D60" s="300">
        <v>1</v>
      </c>
      <c r="E60" s="316"/>
      <c r="F60" s="316"/>
      <c r="G60" s="316"/>
      <c r="H60" s="316"/>
      <c r="I60" s="316"/>
      <c r="J60" s="316"/>
      <c r="K60" s="316">
        <v>527800</v>
      </c>
      <c r="L60" s="316">
        <v>527800</v>
      </c>
      <c r="M60" s="316">
        <v>527800</v>
      </c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05">
        <f t="shared" si="17"/>
        <v>527800</v>
      </c>
      <c r="BB60" s="305">
        <f t="shared" si="18"/>
        <v>527800</v>
      </c>
      <c r="BC60" s="305">
        <f t="shared" si="19"/>
        <v>527800</v>
      </c>
      <c r="BD60" s="88"/>
      <c r="BE60" s="79"/>
      <c r="BF60" s="82"/>
      <c r="BG60" s="82"/>
      <c r="BH60" s="83"/>
      <c r="BI60" s="82"/>
      <c r="BJ60" s="82"/>
      <c r="BK60" s="83"/>
      <c r="BL60" s="82"/>
      <c r="BM60" s="84"/>
      <c r="BN60" s="83"/>
      <c r="BO60" s="83"/>
      <c r="BP60" s="83"/>
      <c r="BQ60" s="83"/>
    </row>
    <row r="61" spans="1:69" s="154" customFormat="1" ht="19.5" customHeight="1">
      <c r="A61" s="289">
        <v>107060</v>
      </c>
      <c r="B61" s="292" t="s">
        <v>395</v>
      </c>
      <c r="C61" s="301" t="s">
        <v>268</v>
      </c>
      <c r="D61" s="301"/>
      <c r="E61" s="317"/>
      <c r="F61" s="317"/>
      <c r="G61" s="317"/>
      <c r="H61" s="317"/>
      <c r="I61" s="317"/>
      <c r="J61" s="317"/>
      <c r="K61" s="317"/>
      <c r="L61" s="317"/>
      <c r="M61" s="317">
        <v>1391613</v>
      </c>
      <c r="N61" s="317">
        <v>4395000</v>
      </c>
      <c r="O61" s="317">
        <f>4395000+266700</f>
        <v>4661700</v>
      </c>
      <c r="P61" s="317">
        <v>5297000</v>
      </c>
      <c r="Q61" s="317"/>
      <c r="R61" s="317"/>
      <c r="S61" s="317"/>
      <c r="T61" s="317">
        <v>560000</v>
      </c>
      <c r="U61" s="317">
        <v>560000</v>
      </c>
      <c r="V61" s="317">
        <v>560000</v>
      </c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05">
        <f t="shared" si="17"/>
        <v>4955000</v>
      </c>
      <c r="BB61" s="305">
        <f t="shared" si="18"/>
        <v>5221700</v>
      </c>
      <c r="BC61" s="305">
        <f t="shared" si="19"/>
        <v>7248613</v>
      </c>
      <c r="BD61" s="148"/>
      <c r="BE61" s="148"/>
      <c r="BF61" s="151"/>
      <c r="BG61" s="151"/>
      <c r="BH61" s="150"/>
      <c r="BI61" s="151"/>
      <c r="BJ61" s="151"/>
      <c r="BK61" s="150"/>
      <c r="BL61" s="151"/>
      <c r="BM61" s="226"/>
      <c r="BN61" s="150"/>
      <c r="BO61" s="151"/>
      <c r="BP61" s="151"/>
      <c r="BQ61" s="150"/>
    </row>
    <row r="62" spans="1:69" ht="19.5" customHeight="1">
      <c r="A62" s="95"/>
      <c r="B62" s="298" t="s">
        <v>171</v>
      </c>
      <c r="C62" s="298"/>
      <c r="D62" s="315">
        <f aca="true" t="shared" si="20" ref="D62:AI62">SUM(D54:D61)</f>
        <v>1</v>
      </c>
      <c r="E62" s="315">
        <f t="shared" si="20"/>
        <v>0</v>
      </c>
      <c r="F62" s="315">
        <f t="shared" si="20"/>
        <v>0</v>
      </c>
      <c r="G62" s="315">
        <f t="shared" si="20"/>
        <v>0</v>
      </c>
      <c r="H62" s="315">
        <f t="shared" si="20"/>
        <v>0</v>
      </c>
      <c r="I62" s="315">
        <f t="shared" si="20"/>
        <v>0</v>
      </c>
      <c r="J62" s="315">
        <f t="shared" si="20"/>
        <v>0</v>
      </c>
      <c r="K62" s="315">
        <f t="shared" si="20"/>
        <v>5607800</v>
      </c>
      <c r="L62" s="315">
        <f t="shared" si="20"/>
        <v>5607800</v>
      </c>
      <c r="M62" s="315">
        <f t="shared" si="20"/>
        <v>6999413</v>
      </c>
      <c r="N62" s="315">
        <f t="shared" si="20"/>
        <v>4395000</v>
      </c>
      <c r="O62" s="315">
        <f t="shared" si="20"/>
        <v>4661700</v>
      </c>
      <c r="P62" s="315">
        <f t="shared" si="20"/>
        <v>5297000</v>
      </c>
      <c r="Q62" s="315">
        <f t="shared" si="20"/>
        <v>0</v>
      </c>
      <c r="R62" s="315">
        <f t="shared" si="20"/>
        <v>0</v>
      </c>
      <c r="S62" s="315">
        <f t="shared" si="20"/>
        <v>0</v>
      </c>
      <c r="T62" s="315">
        <f t="shared" si="20"/>
        <v>560000</v>
      </c>
      <c r="U62" s="315">
        <f t="shared" si="20"/>
        <v>560000</v>
      </c>
      <c r="V62" s="315">
        <f t="shared" si="20"/>
        <v>560000</v>
      </c>
      <c r="W62" s="315">
        <f t="shared" si="20"/>
        <v>0</v>
      </c>
      <c r="X62" s="315">
        <f t="shared" si="20"/>
        <v>0</v>
      </c>
      <c r="Y62" s="315">
        <f t="shared" si="20"/>
        <v>0</v>
      </c>
      <c r="Z62" s="315">
        <f t="shared" si="20"/>
        <v>0</v>
      </c>
      <c r="AA62" s="315">
        <f t="shared" si="20"/>
        <v>0</v>
      </c>
      <c r="AB62" s="315">
        <f t="shared" si="20"/>
        <v>0</v>
      </c>
      <c r="AC62" s="315">
        <f t="shared" si="20"/>
        <v>0</v>
      </c>
      <c r="AD62" s="315">
        <f t="shared" si="20"/>
        <v>0</v>
      </c>
      <c r="AE62" s="315">
        <f t="shared" si="20"/>
        <v>0</v>
      </c>
      <c r="AF62" s="315">
        <f t="shared" si="20"/>
        <v>0</v>
      </c>
      <c r="AG62" s="315">
        <f t="shared" si="20"/>
        <v>0</v>
      </c>
      <c r="AH62" s="315">
        <f t="shared" si="20"/>
        <v>0</v>
      </c>
      <c r="AI62" s="315">
        <f t="shared" si="20"/>
        <v>0</v>
      </c>
      <c r="AJ62" s="315">
        <f aca="true" t="shared" si="21" ref="AJ62:AZ62">SUM(AJ54:AJ61)</f>
        <v>0</v>
      </c>
      <c r="AK62" s="315">
        <f t="shared" si="21"/>
        <v>0</v>
      </c>
      <c r="AL62" s="315">
        <f t="shared" si="21"/>
        <v>0</v>
      </c>
      <c r="AM62" s="315">
        <f t="shared" si="21"/>
        <v>0</v>
      </c>
      <c r="AN62" s="315">
        <f t="shared" si="21"/>
        <v>0</v>
      </c>
      <c r="AO62" s="315">
        <f t="shared" si="21"/>
        <v>0</v>
      </c>
      <c r="AP62" s="315">
        <f t="shared" si="21"/>
        <v>0</v>
      </c>
      <c r="AQ62" s="315">
        <f t="shared" si="21"/>
        <v>0</v>
      </c>
      <c r="AR62" s="315">
        <f t="shared" si="21"/>
        <v>0</v>
      </c>
      <c r="AS62" s="315">
        <f t="shared" si="21"/>
        <v>0</v>
      </c>
      <c r="AT62" s="315">
        <f t="shared" si="21"/>
        <v>0</v>
      </c>
      <c r="AU62" s="315">
        <f t="shared" si="21"/>
        <v>0</v>
      </c>
      <c r="AV62" s="315">
        <f t="shared" si="21"/>
        <v>0</v>
      </c>
      <c r="AW62" s="315">
        <f t="shared" si="21"/>
        <v>0</v>
      </c>
      <c r="AX62" s="315">
        <f t="shared" si="21"/>
        <v>0</v>
      </c>
      <c r="AY62" s="315">
        <f t="shared" si="21"/>
        <v>0</v>
      </c>
      <c r="AZ62" s="315">
        <f t="shared" si="21"/>
        <v>0</v>
      </c>
      <c r="BA62" s="315">
        <f>SUM(BA52:BA61)</f>
        <v>10562800</v>
      </c>
      <c r="BB62" s="315">
        <f>SUM(BB52:BB61)</f>
        <v>10829500</v>
      </c>
      <c r="BC62" s="315">
        <f>SUM(BC52:BC61)</f>
        <v>12856413</v>
      </c>
      <c r="BD62" s="79"/>
      <c r="BE62" s="79"/>
      <c r="BF62" s="82"/>
      <c r="BG62" s="82"/>
      <c r="BH62" s="83"/>
      <c r="BI62" s="82"/>
      <c r="BJ62" s="82"/>
      <c r="BK62" s="83"/>
      <c r="BL62" s="82"/>
      <c r="BM62" s="84"/>
      <c r="BN62" s="83"/>
      <c r="BO62" s="82"/>
      <c r="BP62" s="82"/>
      <c r="BQ62" s="83"/>
    </row>
    <row r="63" spans="1:69" ht="19.5" customHeight="1">
      <c r="A63" s="329" t="s">
        <v>368</v>
      </c>
      <c r="B63" s="332" t="s">
        <v>369</v>
      </c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>
        <v>2344117</v>
      </c>
      <c r="AF63" s="315"/>
      <c r="AG63" s="315"/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>
        <f>SUM(G63,J63,M63,P63,S63,V63,Y63,AB63,AE63,AH63,AK63,AN63,AQ63,AT63,AW63,AZ63)</f>
        <v>2344117</v>
      </c>
      <c r="BD63" s="79"/>
      <c r="BE63" s="79"/>
      <c r="BF63" s="82"/>
      <c r="BG63" s="82"/>
      <c r="BH63" s="83"/>
      <c r="BI63" s="82"/>
      <c r="BJ63" s="82"/>
      <c r="BK63" s="83"/>
      <c r="BL63" s="82"/>
      <c r="BM63" s="84"/>
      <c r="BN63" s="83"/>
      <c r="BO63" s="82"/>
      <c r="BP63" s="82"/>
      <c r="BQ63" s="83"/>
    </row>
    <row r="64" spans="1:69" s="154" customFormat="1" ht="19.5" customHeight="1">
      <c r="A64" s="261" t="s">
        <v>185</v>
      </c>
      <c r="B64" s="294" t="s">
        <v>186</v>
      </c>
      <c r="C64" s="302"/>
      <c r="D64" s="302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>
        <f>SUM(G64,J64,M64,P64,S64,V64,Y64,AB64,AE64,AH64,AK64,AN64,AQ64,AT64,AW64,AZ64)</f>
        <v>0</v>
      </c>
      <c r="BD64" s="148"/>
      <c r="BE64" s="222"/>
      <c r="BF64" s="149"/>
      <c r="BG64" s="149"/>
      <c r="BH64" s="149"/>
      <c r="BI64" s="151"/>
      <c r="BJ64" s="151"/>
      <c r="BK64" s="151"/>
      <c r="BL64" s="151"/>
      <c r="BM64" s="151"/>
      <c r="BN64" s="151"/>
      <c r="BO64" s="151"/>
      <c r="BP64" s="151"/>
      <c r="BQ64" s="151"/>
    </row>
    <row r="65" spans="1:69" s="154" customFormat="1" ht="19.5" customHeight="1">
      <c r="A65" s="287"/>
      <c r="B65" s="303" t="s">
        <v>74</v>
      </c>
      <c r="C65" s="303"/>
      <c r="D65" s="318">
        <f>SUM(D12,D20,D25,D33,D41,D48,D62,D64)</f>
        <v>10</v>
      </c>
      <c r="E65" s="318">
        <f>SUM(E12,E20,E25,E33,E41,E48,E62,E64,E51)</f>
        <v>4176390</v>
      </c>
      <c r="F65" s="318">
        <f>SUM(F12,F20,F25,F33,F41,F48,F62,F64,F51)</f>
        <v>7683554</v>
      </c>
      <c r="G65" s="318">
        <f>SUM(G12,G20,G25,G33,G41,G48,G62,G64,G51)</f>
        <v>8154219</v>
      </c>
      <c r="H65" s="318">
        <f aca="true" t="shared" si="22" ref="H65:Q65">SUM(H12,H20,H25,H33,H41,H48,H62,H64,H51)</f>
        <v>742850</v>
      </c>
      <c r="I65" s="318">
        <f t="shared" si="22"/>
        <v>1379522</v>
      </c>
      <c r="J65" s="318">
        <f>SUM(J12,J20,J25,J33,J41,J48,J62,J64,J51)</f>
        <v>1464236</v>
      </c>
      <c r="K65" s="318">
        <f t="shared" si="22"/>
        <v>20785430</v>
      </c>
      <c r="L65" s="318">
        <f t="shared" si="22"/>
        <v>29092532</v>
      </c>
      <c r="M65" s="318">
        <f>SUM(M12,M20,M25,M33,M41,M48,M62,M64,M51)</f>
        <v>30484145</v>
      </c>
      <c r="N65" s="318">
        <f t="shared" si="22"/>
        <v>4395000</v>
      </c>
      <c r="O65" s="318">
        <f t="shared" si="22"/>
        <v>4661700</v>
      </c>
      <c r="P65" s="318">
        <f>SUM(P12,P20,P25,P33,P41,P48,P62,P64,P51)</f>
        <v>5297000</v>
      </c>
      <c r="Q65" s="318">
        <f t="shared" si="22"/>
        <v>684900</v>
      </c>
      <c r="R65" s="318">
        <f aca="true" t="shared" si="23" ref="R65:BB65">SUM(R12,R20,R25,R33,R41,R48,R62,R64,R51)</f>
        <v>697166</v>
      </c>
      <c r="S65" s="318">
        <f>SUM(S12,S20,S25,S33,S41,S48,S62,S64,S51)</f>
        <v>697166</v>
      </c>
      <c r="T65" s="318">
        <f t="shared" si="23"/>
        <v>2100180</v>
      </c>
      <c r="U65" s="318">
        <f t="shared" si="23"/>
        <v>2100180</v>
      </c>
      <c r="V65" s="318">
        <f>SUM(V12,V20,V25,V33,V41,V48,V62,V64,V51)</f>
        <v>2100180</v>
      </c>
      <c r="W65" s="318">
        <f t="shared" si="23"/>
        <v>0</v>
      </c>
      <c r="X65" s="318">
        <f t="shared" si="23"/>
        <v>0</v>
      </c>
      <c r="Y65" s="318">
        <f>SUM(Y12,Y20,Y25,Y33,Y41,Y48,Y62,Y64,Y51)</f>
        <v>0</v>
      </c>
      <c r="Z65" s="318">
        <f t="shared" si="23"/>
        <v>100000</v>
      </c>
      <c r="AA65" s="318">
        <f t="shared" si="23"/>
        <v>100000</v>
      </c>
      <c r="AB65" s="318">
        <f>SUM(AB12,AB20,AB25,AB33,AB41,AB48,AB62,AB64,AB51)</f>
        <v>100000</v>
      </c>
      <c r="AC65" s="318">
        <f t="shared" si="23"/>
        <v>17377931</v>
      </c>
      <c r="AD65" s="318">
        <f t="shared" si="23"/>
        <v>15826194</v>
      </c>
      <c r="AE65" s="318">
        <f>SUM(AE12,AE20,AE25,AE33,AE41,AE48,AE62,AE64,AE51,AE63)</f>
        <v>38102708</v>
      </c>
      <c r="AF65" s="318">
        <f t="shared" si="23"/>
        <v>152400</v>
      </c>
      <c r="AG65" s="318">
        <f t="shared" si="23"/>
        <v>4086407</v>
      </c>
      <c r="AH65" s="318">
        <f>SUM(AH12,AH20,AH25,AH33,AH41,AH48,AH62,AH64,AH51)</f>
        <v>4807387</v>
      </c>
      <c r="AI65" s="318">
        <f t="shared" si="23"/>
        <v>89036672</v>
      </c>
      <c r="AJ65" s="318">
        <f t="shared" si="23"/>
        <v>79497770</v>
      </c>
      <c r="AK65" s="318">
        <f>SUM(AK12,AK20,AK25,AK33,AK41,AK48,AK62,AK64,AK51)</f>
        <v>81237979</v>
      </c>
      <c r="AL65" s="318">
        <f t="shared" si="23"/>
        <v>0</v>
      </c>
      <c r="AM65" s="318">
        <f t="shared" si="23"/>
        <v>0</v>
      </c>
      <c r="AN65" s="318">
        <f>SUM(AN12,AN20,AN25,AN33,AN41,AN48,AN62,AN64,AN51)</f>
        <v>0</v>
      </c>
      <c r="AO65" s="318">
        <f t="shared" si="23"/>
        <v>0</v>
      </c>
      <c r="AP65" s="318">
        <f t="shared" si="23"/>
        <v>0</v>
      </c>
      <c r="AQ65" s="318">
        <f>SUM(AQ12,AQ20,AQ25,AQ33,AQ41,AQ48,AQ62,AQ64,AQ51)</f>
        <v>0</v>
      </c>
      <c r="AR65" s="318">
        <f t="shared" si="23"/>
        <v>0</v>
      </c>
      <c r="AS65" s="318">
        <f t="shared" si="23"/>
        <v>0</v>
      </c>
      <c r="AT65" s="318">
        <f>SUM(AT12,AT20,AT25,AT33,AT41,AT48,AT62,AT64,AT51)</f>
        <v>0</v>
      </c>
      <c r="AU65" s="318">
        <f t="shared" si="23"/>
        <v>0</v>
      </c>
      <c r="AV65" s="318">
        <f t="shared" si="23"/>
        <v>0</v>
      </c>
      <c r="AW65" s="318">
        <f>SUM(AW12,AW20,AW25,AW33,AW41,AW48,AW62,AW64,AW51)</f>
        <v>0</v>
      </c>
      <c r="AX65" s="318">
        <f t="shared" si="23"/>
        <v>1411250</v>
      </c>
      <c r="AY65" s="318">
        <f t="shared" si="23"/>
        <v>1411250</v>
      </c>
      <c r="AZ65" s="318">
        <f>SUM(AZ12,AZ20,AZ25,AZ33,AZ41,AZ48,AZ62,AZ64,AZ51)</f>
        <v>1411250</v>
      </c>
      <c r="BA65" s="318">
        <f t="shared" si="23"/>
        <v>140963003</v>
      </c>
      <c r="BB65" s="318">
        <f t="shared" si="23"/>
        <v>146536275</v>
      </c>
      <c r="BC65" s="318">
        <f>SUM(BC12,BC20,BC25,BC33,BC41,BC48,BC62,BC64,BC51,BC63)</f>
        <v>173856270</v>
      </c>
      <c r="BD65" s="148"/>
      <c r="BE65" s="222"/>
      <c r="BF65" s="149"/>
      <c r="BG65" s="149"/>
      <c r="BH65" s="149"/>
      <c r="BI65" s="151"/>
      <c r="BJ65" s="151"/>
      <c r="BK65" s="151"/>
      <c r="BL65" s="151"/>
      <c r="BM65" s="151"/>
      <c r="BN65" s="151"/>
      <c r="BO65" s="151"/>
      <c r="BP65" s="151"/>
      <c r="BQ65" s="151"/>
    </row>
    <row r="66" spans="1:69" s="154" customFormat="1" ht="19.5" customHeight="1">
      <c r="A66" s="435"/>
      <c r="B66" s="436" t="s">
        <v>520</v>
      </c>
      <c r="C66" s="436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8"/>
      <c r="AU66" s="438"/>
      <c r="AV66" s="438"/>
      <c r="AW66" s="438"/>
      <c r="AX66" s="438"/>
      <c r="AY66" s="438"/>
      <c r="AZ66" s="438"/>
      <c r="BA66" s="437">
        <f aca="true" t="shared" si="24" ref="BA66:BC71">SUM(E66,H66,K66,N66,Q66,T66,W66,Z66,AC66,AF66,AI66,AL66,AO66,AR66,AU66,AX66)</f>
        <v>0</v>
      </c>
      <c r="BB66" s="437">
        <f t="shared" si="24"/>
        <v>0</v>
      </c>
      <c r="BC66" s="437">
        <f t="shared" si="24"/>
        <v>0</v>
      </c>
      <c r="BD66" s="148"/>
      <c r="BE66" s="222"/>
      <c r="BF66" s="149"/>
      <c r="BG66" s="149"/>
      <c r="BH66" s="149"/>
      <c r="BI66" s="151"/>
      <c r="BJ66" s="151"/>
      <c r="BK66" s="151"/>
      <c r="BL66" s="151"/>
      <c r="BM66" s="151"/>
      <c r="BN66" s="151"/>
      <c r="BO66" s="151"/>
      <c r="BP66" s="151"/>
      <c r="BQ66" s="151"/>
    </row>
    <row r="67" spans="1:69" s="154" customFormat="1" ht="19.5" customHeight="1">
      <c r="A67" s="440">
        <v>91110</v>
      </c>
      <c r="B67" s="434" t="s">
        <v>529</v>
      </c>
      <c r="C67" s="436"/>
      <c r="D67" s="437"/>
      <c r="E67" s="437">
        <v>14017046</v>
      </c>
      <c r="F67" s="437">
        <f>14017046+157711+400000</f>
        <v>14574757</v>
      </c>
      <c r="G67" s="437">
        <f>14017046+157711+400000+171728</f>
        <v>14746485</v>
      </c>
      <c r="H67" s="437">
        <v>2810367</v>
      </c>
      <c r="I67" s="437">
        <f>2810367+30754+108000</f>
        <v>2949121</v>
      </c>
      <c r="J67" s="437">
        <f>2810367+30754+108000+110224</f>
        <v>3059345</v>
      </c>
      <c r="K67" s="437">
        <v>689130</v>
      </c>
      <c r="L67" s="437">
        <v>689130</v>
      </c>
      <c r="M67" s="437">
        <f>689130+108993-11440-60</f>
        <v>786623</v>
      </c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  <c r="Y67" s="438"/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38"/>
      <c r="AK67" s="438"/>
      <c r="AL67" s="438"/>
      <c r="AM67" s="438"/>
      <c r="AN67" s="438"/>
      <c r="AO67" s="438"/>
      <c r="AP67" s="438"/>
      <c r="AQ67" s="438"/>
      <c r="AR67" s="438"/>
      <c r="AS67" s="438"/>
      <c r="AT67" s="438"/>
      <c r="AU67" s="438"/>
      <c r="AV67" s="438"/>
      <c r="AW67" s="438"/>
      <c r="AX67" s="438"/>
      <c r="AY67" s="438"/>
      <c r="AZ67" s="438"/>
      <c r="BA67" s="437">
        <f t="shared" si="24"/>
        <v>17516543</v>
      </c>
      <c r="BB67" s="437">
        <f t="shared" si="24"/>
        <v>18213008</v>
      </c>
      <c r="BC67" s="437">
        <f t="shared" si="24"/>
        <v>18592453</v>
      </c>
      <c r="BD67" s="148"/>
      <c r="BE67" s="222"/>
      <c r="BF67" s="149"/>
      <c r="BG67" s="149"/>
      <c r="BH67" s="149"/>
      <c r="BI67" s="151"/>
      <c r="BJ67" s="151"/>
      <c r="BK67" s="151"/>
      <c r="BL67" s="151"/>
      <c r="BM67" s="151"/>
      <c r="BN67" s="151"/>
      <c r="BO67" s="151"/>
      <c r="BP67" s="151"/>
      <c r="BQ67" s="151"/>
    </row>
    <row r="68" spans="1:69" s="154" customFormat="1" ht="19.5" customHeight="1">
      <c r="A68" s="440">
        <v>91140</v>
      </c>
      <c r="B68" s="434" t="s">
        <v>517</v>
      </c>
      <c r="C68" s="436"/>
      <c r="D68" s="437"/>
      <c r="E68" s="437"/>
      <c r="F68" s="437"/>
      <c r="G68" s="437"/>
      <c r="H68" s="437"/>
      <c r="I68" s="437"/>
      <c r="J68" s="437"/>
      <c r="K68" s="437">
        <v>1651000</v>
      </c>
      <c r="L68" s="437">
        <v>1651000</v>
      </c>
      <c r="M68" s="437">
        <v>1651000</v>
      </c>
      <c r="N68" s="438"/>
      <c r="O68" s="438"/>
      <c r="P68" s="438"/>
      <c r="Q68" s="438"/>
      <c r="R68" s="438"/>
      <c r="S68" s="438"/>
      <c r="T68" s="438"/>
      <c r="U68" s="438"/>
      <c r="V68" s="438"/>
      <c r="W68" s="438"/>
      <c r="X68" s="438"/>
      <c r="Y68" s="438"/>
      <c r="Z68" s="438"/>
      <c r="AA68" s="438"/>
      <c r="AB68" s="438"/>
      <c r="AC68" s="438"/>
      <c r="AD68" s="438"/>
      <c r="AE68" s="438"/>
      <c r="AF68" s="438"/>
      <c r="AG68" s="438"/>
      <c r="AH68" s="438"/>
      <c r="AI68" s="438"/>
      <c r="AJ68" s="438"/>
      <c r="AK68" s="438"/>
      <c r="AL68" s="438"/>
      <c r="AM68" s="438"/>
      <c r="AN68" s="438"/>
      <c r="AO68" s="438"/>
      <c r="AP68" s="438"/>
      <c r="AQ68" s="438"/>
      <c r="AR68" s="438"/>
      <c r="AS68" s="438"/>
      <c r="AT68" s="438"/>
      <c r="AU68" s="438"/>
      <c r="AV68" s="438"/>
      <c r="AW68" s="438"/>
      <c r="AX68" s="438"/>
      <c r="AY68" s="438"/>
      <c r="AZ68" s="438"/>
      <c r="BA68" s="437">
        <f t="shared" si="24"/>
        <v>1651000</v>
      </c>
      <c r="BB68" s="437">
        <f t="shared" si="24"/>
        <v>1651000</v>
      </c>
      <c r="BC68" s="437">
        <f t="shared" si="24"/>
        <v>1651000</v>
      </c>
      <c r="BD68" s="148"/>
      <c r="BE68" s="222"/>
      <c r="BF68" s="149"/>
      <c r="BG68" s="149"/>
      <c r="BH68" s="149"/>
      <c r="BI68" s="151"/>
      <c r="BJ68" s="151"/>
      <c r="BK68" s="151"/>
      <c r="BL68" s="151"/>
      <c r="BM68" s="151"/>
      <c r="BN68" s="151"/>
      <c r="BO68" s="151"/>
      <c r="BP68" s="151"/>
      <c r="BQ68" s="151"/>
    </row>
    <row r="69" spans="1:69" s="154" customFormat="1" ht="19.5" customHeight="1">
      <c r="A69" s="440">
        <v>96015</v>
      </c>
      <c r="B69" s="434" t="s">
        <v>518</v>
      </c>
      <c r="C69" s="436"/>
      <c r="D69" s="437"/>
      <c r="E69" s="437">
        <v>827892</v>
      </c>
      <c r="F69" s="437">
        <v>827892</v>
      </c>
      <c r="G69" s="437">
        <v>827892</v>
      </c>
      <c r="H69" s="437">
        <v>174726</v>
      </c>
      <c r="I69" s="437">
        <v>174726</v>
      </c>
      <c r="J69" s="437">
        <v>174726</v>
      </c>
      <c r="K69" s="437">
        <v>1307246</v>
      </c>
      <c r="L69" s="437">
        <v>1307246</v>
      </c>
      <c r="M69" s="437">
        <v>1307246</v>
      </c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8"/>
      <c r="AC69" s="438"/>
      <c r="AD69" s="438"/>
      <c r="AE69" s="438"/>
      <c r="AF69" s="438">
        <v>200000</v>
      </c>
      <c r="AG69" s="438">
        <f>200000+127000</f>
        <v>327000</v>
      </c>
      <c r="AH69" s="438">
        <f>200000+127000+208968</f>
        <v>535968</v>
      </c>
      <c r="AI69" s="438"/>
      <c r="AJ69" s="438"/>
      <c r="AK69" s="438"/>
      <c r="AL69" s="438"/>
      <c r="AM69" s="438"/>
      <c r="AN69" s="438"/>
      <c r="AO69" s="438"/>
      <c r="AP69" s="438"/>
      <c r="AQ69" s="438"/>
      <c r="AR69" s="438"/>
      <c r="AS69" s="438"/>
      <c r="AT69" s="438"/>
      <c r="AU69" s="438"/>
      <c r="AV69" s="438"/>
      <c r="AW69" s="438"/>
      <c r="AX69" s="438"/>
      <c r="AY69" s="438"/>
      <c r="AZ69" s="438"/>
      <c r="BA69" s="437">
        <f t="shared" si="24"/>
        <v>2509864</v>
      </c>
      <c r="BB69" s="437">
        <f t="shared" si="24"/>
        <v>2636864</v>
      </c>
      <c r="BC69" s="437">
        <f t="shared" si="24"/>
        <v>2845832</v>
      </c>
      <c r="BD69" s="148"/>
      <c r="BE69" s="222"/>
      <c r="BF69" s="149"/>
      <c r="BG69" s="149"/>
      <c r="BH69" s="149"/>
      <c r="BI69" s="151"/>
      <c r="BJ69" s="151"/>
      <c r="BK69" s="151"/>
      <c r="BL69" s="151"/>
      <c r="BM69" s="151"/>
      <c r="BN69" s="151"/>
      <c r="BO69" s="151"/>
      <c r="BP69" s="151"/>
      <c r="BQ69" s="151"/>
    </row>
    <row r="70" spans="1:69" s="154" customFormat="1" ht="19.5" customHeight="1">
      <c r="A70" s="440">
        <v>35390</v>
      </c>
      <c r="B70" s="439" t="s">
        <v>530</v>
      </c>
      <c r="C70" s="436"/>
      <c r="D70" s="437"/>
      <c r="E70" s="437">
        <v>7451024</v>
      </c>
      <c r="F70" s="437">
        <v>7451024</v>
      </c>
      <c r="G70" s="437">
        <v>7451024</v>
      </c>
      <c r="H70" s="437">
        <v>1572542</v>
      </c>
      <c r="I70" s="437">
        <v>1572542</v>
      </c>
      <c r="J70" s="437">
        <v>1572542</v>
      </c>
      <c r="K70" s="437">
        <v>11765212</v>
      </c>
      <c r="L70" s="437">
        <v>11765212</v>
      </c>
      <c r="M70" s="437">
        <v>11765212</v>
      </c>
      <c r="N70" s="438"/>
      <c r="O70" s="438"/>
      <c r="P70" s="438"/>
      <c r="Q70" s="438"/>
      <c r="R70" s="438"/>
      <c r="S70" s="438"/>
      <c r="T70" s="438"/>
      <c r="U70" s="438"/>
      <c r="V70" s="438"/>
      <c r="W70" s="438"/>
      <c r="X70" s="438"/>
      <c r="Y70" s="438"/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38"/>
      <c r="AK70" s="438"/>
      <c r="AL70" s="438"/>
      <c r="AM70" s="438"/>
      <c r="AN70" s="438"/>
      <c r="AO70" s="438"/>
      <c r="AP70" s="438"/>
      <c r="AQ70" s="438"/>
      <c r="AR70" s="438"/>
      <c r="AS70" s="438"/>
      <c r="AT70" s="438"/>
      <c r="AU70" s="438"/>
      <c r="AV70" s="438"/>
      <c r="AW70" s="438"/>
      <c r="AX70" s="438"/>
      <c r="AY70" s="438"/>
      <c r="AZ70" s="438"/>
      <c r="BA70" s="437">
        <f t="shared" si="24"/>
        <v>20788778</v>
      </c>
      <c r="BB70" s="437">
        <f t="shared" si="24"/>
        <v>20788778</v>
      </c>
      <c r="BC70" s="437">
        <f t="shared" si="24"/>
        <v>20788778</v>
      </c>
      <c r="BD70" s="148"/>
      <c r="BE70" s="222"/>
      <c r="BF70" s="149"/>
      <c r="BG70" s="149"/>
      <c r="BH70" s="149"/>
      <c r="BI70" s="151"/>
      <c r="BJ70" s="151"/>
      <c r="BK70" s="151"/>
      <c r="BL70" s="151"/>
      <c r="BM70" s="151"/>
      <c r="BN70" s="151"/>
      <c r="BO70" s="151"/>
      <c r="BP70" s="151"/>
      <c r="BQ70" s="151"/>
    </row>
    <row r="71" spans="1:69" s="154" customFormat="1" ht="19.5" customHeight="1">
      <c r="A71" s="440">
        <v>96025</v>
      </c>
      <c r="B71" s="434" t="s">
        <v>531</v>
      </c>
      <c r="C71" s="436"/>
      <c r="D71" s="437"/>
      <c r="E71" s="437"/>
      <c r="F71" s="437"/>
      <c r="G71" s="437">
        <v>393518</v>
      </c>
      <c r="H71" s="437"/>
      <c r="I71" s="437"/>
      <c r="J71" s="437"/>
      <c r="K71" s="437"/>
      <c r="L71" s="437"/>
      <c r="M71" s="437"/>
      <c r="N71" s="438"/>
      <c r="O71" s="438"/>
      <c r="P71" s="438"/>
      <c r="Q71" s="438"/>
      <c r="R71" s="438"/>
      <c r="S71" s="438"/>
      <c r="T71" s="438"/>
      <c r="U71" s="438"/>
      <c r="V71" s="438"/>
      <c r="W71" s="438"/>
      <c r="X71" s="438"/>
      <c r="Y71" s="438"/>
      <c r="Z71" s="438"/>
      <c r="AA71" s="438"/>
      <c r="AB71" s="438"/>
      <c r="AC71" s="438"/>
      <c r="AD71" s="438"/>
      <c r="AE71" s="438"/>
      <c r="AF71" s="438"/>
      <c r="AG71" s="438"/>
      <c r="AH71" s="438"/>
      <c r="AI71" s="438"/>
      <c r="AJ71" s="438"/>
      <c r="AK71" s="438"/>
      <c r="AL71" s="438"/>
      <c r="AM71" s="438"/>
      <c r="AN71" s="438"/>
      <c r="AO71" s="438"/>
      <c r="AP71" s="438"/>
      <c r="AQ71" s="438"/>
      <c r="AR71" s="438"/>
      <c r="AS71" s="438"/>
      <c r="AT71" s="438"/>
      <c r="AU71" s="438"/>
      <c r="AV71" s="438"/>
      <c r="AW71" s="438"/>
      <c r="AX71" s="438"/>
      <c r="AY71" s="438"/>
      <c r="AZ71" s="438"/>
      <c r="BA71" s="437">
        <f t="shared" si="24"/>
        <v>0</v>
      </c>
      <c r="BB71" s="437">
        <f t="shared" si="24"/>
        <v>0</v>
      </c>
      <c r="BC71" s="437">
        <f t="shared" si="24"/>
        <v>393518</v>
      </c>
      <c r="BD71" s="148"/>
      <c r="BE71" s="222"/>
      <c r="BF71" s="149"/>
      <c r="BG71" s="149"/>
      <c r="BH71" s="149"/>
      <c r="BI71" s="151"/>
      <c r="BJ71" s="151"/>
      <c r="BK71" s="151"/>
      <c r="BL71" s="151"/>
      <c r="BM71" s="151"/>
      <c r="BN71" s="151"/>
      <c r="BO71" s="151"/>
      <c r="BP71" s="151"/>
      <c r="BQ71" s="151"/>
    </row>
    <row r="72" spans="1:69" s="154" customFormat="1" ht="19.5" customHeight="1">
      <c r="A72" s="221" t="s">
        <v>172</v>
      </c>
      <c r="B72" s="439" t="s">
        <v>184</v>
      </c>
      <c r="C72" s="436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8"/>
      <c r="O72" s="438"/>
      <c r="P72" s="438"/>
      <c r="Q72" s="438">
        <v>0</v>
      </c>
      <c r="R72" s="438">
        <v>1529736</v>
      </c>
      <c r="S72" s="438">
        <v>1529736</v>
      </c>
      <c r="T72" s="438"/>
      <c r="U72" s="438"/>
      <c r="V72" s="438"/>
      <c r="W72" s="438"/>
      <c r="X72" s="438"/>
      <c r="Y72" s="438"/>
      <c r="Z72" s="438"/>
      <c r="AA72" s="438"/>
      <c r="AB72" s="438"/>
      <c r="AC72" s="438"/>
      <c r="AD72" s="438"/>
      <c r="AE72" s="438"/>
      <c r="AF72" s="438"/>
      <c r="AG72" s="438"/>
      <c r="AH72" s="438"/>
      <c r="AI72" s="438"/>
      <c r="AJ72" s="438"/>
      <c r="AK72" s="438"/>
      <c r="AL72" s="438"/>
      <c r="AM72" s="438"/>
      <c r="AN72" s="438"/>
      <c r="AO72" s="438"/>
      <c r="AP72" s="438"/>
      <c r="AQ72" s="438"/>
      <c r="AR72" s="438"/>
      <c r="AS72" s="438"/>
      <c r="AT72" s="438"/>
      <c r="AU72" s="438"/>
      <c r="AV72" s="438"/>
      <c r="AW72" s="438"/>
      <c r="AX72" s="438"/>
      <c r="AY72" s="438"/>
      <c r="AZ72" s="438"/>
      <c r="BA72" s="437"/>
      <c r="BB72" s="437"/>
      <c r="BC72" s="437"/>
      <c r="BD72" s="148"/>
      <c r="BE72" s="222"/>
      <c r="BF72" s="149"/>
      <c r="BG72" s="149"/>
      <c r="BH72" s="149"/>
      <c r="BI72" s="151"/>
      <c r="BJ72" s="151"/>
      <c r="BK72" s="151"/>
      <c r="BL72" s="151"/>
      <c r="BM72" s="151"/>
      <c r="BN72" s="151"/>
      <c r="BO72" s="151"/>
      <c r="BP72" s="151"/>
      <c r="BQ72" s="151"/>
    </row>
    <row r="73" spans="1:69" ht="19.5" customHeight="1">
      <c r="A73" s="74"/>
      <c r="B73" s="296" t="s">
        <v>525</v>
      </c>
      <c r="C73" s="296"/>
      <c r="D73" s="296"/>
      <c r="E73" s="308">
        <f aca="true" t="shared" si="25" ref="E73:Q73">SUM(E67:E71)</f>
        <v>22295962</v>
      </c>
      <c r="F73" s="308">
        <f t="shared" si="25"/>
        <v>22853673</v>
      </c>
      <c r="G73" s="308">
        <f t="shared" si="25"/>
        <v>23418919</v>
      </c>
      <c r="H73" s="308">
        <f t="shared" si="25"/>
        <v>4557635</v>
      </c>
      <c r="I73" s="308">
        <f t="shared" si="25"/>
        <v>4696389</v>
      </c>
      <c r="J73" s="308">
        <f t="shared" si="25"/>
        <v>4806613</v>
      </c>
      <c r="K73" s="308">
        <f t="shared" si="25"/>
        <v>15412588</v>
      </c>
      <c r="L73" s="308">
        <f t="shared" si="25"/>
        <v>15412588</v>
      </c>
      <c r="M73" s="308">
        <f t="shared" si="25"/>
        <v>15510081</v>
      </c>
      <c r="N73" s="319">
        <f t="shared" si="25"/>
        <v>0</v>
      </c>
      <c r="O73" s="319">
        <f t="shared" si="25"/>
        <v>0</v>
      </c>
      <c r="P73" s="319">
        <f t="shared" si="25"/>
        <v>0</v>
      </c>
      <c r="Q73" s="319">
        <f t="shared" si="25"/>
        <v>0</v>
      </c>
      <c r="R73" s="319">
        <f>SUM(R67:R72)</f>
        <v>1529736</v>
      </c>
      <c r="S73" s="319">
        <f>SUM(S67:S72)</f>
        <v>1529736</v>
      </c>
      <c r="T73" s="319">
        <f aca="true" t="shared" si="26" ref="T73:AZ73">SUM(T67:T71)</f>
        <v>0</v>
      </c>
      <c r="U73" s="319">
        <f t="shared" si="26"/>
        <v>0</v>
      </c>
      <c r="V73" s="319">
        <f t="shared" si="26"/>
        <v>0</v>
      </c>
      <c r="W73" s="319">
        <f t="shared" si="26"/>
        <v>0</v>
      </c>
      <c r="X73" s="319">
        <f t="shared" si="26"/>
        <v>0</v>
      </c>
      <c r="Y73" s="319">
        <f t="shared" si="26"/>
        <v>0</v>
      </c>
      <c r="Z73" s="319">
        <f t="shared" si="26"/>
        <v>0</v>
      </c>
      <c r="AA73" s="319">
        <f t="shared" si="26"/>
        <v>0</v>
      </c>
      <c r="AB73" s="319">
        <f t="shared" si="26"/>
        <v>0</v>
      </c>
      <c r="AC73" s="319">
        <f t="shared" si="26"/>
        <v>0</v>
      </c>
      <c r="AD73" s="319">
        <f t="shared" si="26"/>
        <v>0</v>
      </c>
      <c r="AE73" s="319">
        <f t="shared" si="26"/>
        <v>0</v>
      </c>
      <c r="AF73" s="319">
        <f t="shared" si="26"/>
        <v>200000</v>
      </c>
      <c r="AG73" s="319">
        <f t="shared" si="26"/>
        <v>327000</v>
      </c>
      <c r="AH73" s="319">
        <f t="shared" si="26"/>
        <v>535968</v>
      </c>
      <c r="AI73" s="319">
        <f t="shared" si="26"/>
        <v>0</v>
      </c>
      <c r="AJ73" s="319">
        <f t="shared" si="26"/>
        <v>0</v>
      </c>
      <c r="AK73" s="319">
        <f t="shared" si="26"/>
        <v>0</v>
      </c>
      <c r="AL73" s="319">
        <f t="shared" si="26"/>
        <v>0</v>
      </c>
      <c r="AM73" s="319">
        <f t="shared" si="26"/>
        <v>0</v>
      </c>
      <c r="AN73" s="319">
        <f t="shared" si="26"/>
        <v>0</v>
      </c>
      <c r="AO73" s="319">
        <f t="shared" si="26"/>
        <v>0</v>
      </c>
      <c r="AP73" s="319">
        <f t="shared" si="26"/>
        <v>0</v>
      </c>
      <c r="AQ73" s="319">
        <f t="shared" si="26"/>
        <v>0</v>
      </c>
      <c r="AR73" s="319">
        <f t="shared" si="26"/>
        <v>0</v>
      </c>
      <c r="AS73" s="319">
        <f t="shared" si="26"/>
        <v>0</v>
      </c>
      <c r="AT73" s="319">
        <f t="shared" si="26"/>
        <v>0</v>
      </c>
      <c r="AU73" s="319">
        <f t="shared" si="26"/>
        <v>0</v>
      </c>
      <c r="AV73" s="319">
        <f t="shared" si="26"/>
        <v>0</v>
      </c>
      <c r="AW73" s="319">
        <f t="shared" si="26"/>
        <v>0</v>
      </c>
      <c r="AX73" s="319">
        <f t="shared" si="26"/>
        <v>0</v>
      </c>
      <c r="AY73" s="319">
        <f t="shared" si="26"/>
        <v>0</v>
      </c>
      <c r="AZ73" s="319">
        <f t="shared" si="26"/>
        <v>0</v>
      </c>
      <c r="BA73" s="437">
        <f>SUM(E73,H73,K73,N73,Q73,T73,W73,Z73,AC73,AF73,AI73,AL73,AO73,AR73,AU73,AX73)</f>
        <v>42466185</v>
      </c>
      <c r="BB73" s="437">
        <f>SUM(F73,I73,L73,O73,R73,U73,X73,AA73,AD73,AG73,AJ73,AM73,AP73,AS73,AV73,AY73)</f>
        <v>44819386</v>
      </c>
      <c r="BC73" s="437">
        <f>SUM(G73,J73,M73,P73,S73,V73,Y73,AB73,AE73,AH73,AK73,AN73,AQ73,AT73,AW73,AZ73)</f>
        <v>45801317</v>
      </c>
      <c r="BD73" s="79"/>
      <c r="BE73" s="80"/>
      <c r="BF73" s="81"/>
      <c r="BG73" s="81"/>
      <c r="BH73" s="81"/>
      <c r="BI73" s="82"/>
      <c r="BJ73" s="82"/>
      <c r="BK73" s="82"/>
      <c r="BL73" s="82"/>
      <c r="BM73" s="82"/>
      <c r="BN73" s="82"/>
      <c r="BO73" s="82"/>
      <c r="BP73" s="82"/>
      <c r="BQ73" s="82"/>
    </row>
    <row r="74" spans="1:69" s="262" customFormat="1" ht="24.75" customHeight="1">
      <c r="A74" s="288"/>
      <c r="B74" s="304" t="s">
        <v>187</v>
      </c>
      <c r="C74" s="304"/>
      <c r="D74" s="410">
        <f>SUM(D65)</f>
        <v>10</v>
      </c>
      <c r="E74" s="410">
        <f aca="true" t="shared" si="27" ref="E74:AJ74">SUM(E65+E73)</f>
        <v>26472352</v>
      </c>
      <c r="F74" s="410">
        <f t="shared" si="27"/>
        <v>30537227</v>
      </c>
      <c r="G74" s="410">
        <f t="shared" si="27"/>
        <v>31573138</v>
      </c>
      <c r="H74" s="410">
        <f t="shared" si="27"/>
        <v>5300485</v>
      </c>
      <c r="I74" s="410">
        <f t="shared" si="27"/>
        <v>6075911</v>
      </c>
      <c r="J74" s="410">
        <f t="shared" si="27"/>
        <v>6270849</v>
      </c>
      <c r="K74" s="410">
        <f t="shared" si="27"/>
        <v>36198018</v>
      </c>
      <c r="L74" s="410">
        <f t="shared" si="27"/>
        <v>44505120</v>
      </c>
      <c r="M74" s="410">
        <f t="shared" si="27"/>
        <v>45994226</v>
      </c>
      <c r="N74" s="410">
        <f t="shared" si="27"/>
        <v>4395000</v>
      </c>
      <c r="O74" s="410">
        <f t="shared" si="27"/>
        <v>4661700</v>
      </c>
      <c r="P74" s="410">
        <f t="shared" si="27"/>
        <v>5297000</v>
      </c>
      <c r="Q74" s="410">
        <f t="shared" si="27"/>
        <v>684900</v>
      </c>
      <c r="R74" s="410">
        <f t="shared" si="27"/>
        <v>2226902</v>
      </c>
      <c r="S74" s="410">
        <f t="shared" si="27"/>
        <v>2226902</v>
      </c>
      <c r="T74" s="410">
        <f t="shared" si="27"/>
        <v>2100180</v>
      </c>
      <c r="U74" s="410">
        <f t="shared" si="27"/>
        <v>2100180</v>
      </c>
      <c r="V74" s="410">
        <f t="shared" si="27"/>
        <v>2100180</v>
      </c>
      <c r="W74" s="410">
        <f t="shared" si="27"/>
        <v>0</v>
      </c>
      <c r="X74" s="410">
        <f t="shared" si="27"/>
        <v>0</v>
      </c>
      <c r="Y74" s="410">
        <f t="shared" si="27"/>
        <v>0</v>
      </c>
      <c r="Z74" s="410">
        <f t="shared" si="27"/>
        <v>100000</v>
      </c>
      <c r="AA74" s="410">
        <f t="shared" si="27"/>
        <v>100000</v>
      </c>
      <c r="AB74" s="410">
        <f t="shared" si="27"/>
        <v>100000</v>
      </c>
      <c r="AC74" s="410">
        <f t="shared" si="27"/>
        <v>17377931</v>
      </c>
      <c r="AD74" s="410">
        <f t="shared" si="27"/>
        <v>15826194</v>
      </c>
      <c r="AE74" s="410">
        <f t="shared" si="27"/>
        <v>38102708</v>
      </c>
      <c r="AF74" s="410">
        <f t="shared" si="27"/>
        <v>352400</v>
      </c>
      <c r="AG74" s="410">
        <f t="shared" si="27"/>
        <v>4413407</v>
      </c>
      <c r="AH74" s="410">
        <f t="shared" si="27"/>
        <v>5343355</v>
      </c>
      <c r="AI74" s="410">
        <f t="shared" si="27"/>
        <v>89036672</v>
      </c>
      <c r="AJ74" s="410">
        <f t="shared" si="27"/>
        <v>79497770</v>
      </c>
      <c r="AK74" s="410">
        <f aca="true" t="shared" si="28" ref="AK74:BC74">SUM(AK65+AK73)</f>
        <v>81237979</v>
      </c>
      <c r="AL74" s="410">
        <f t="shared" si="28"/>
        <v>0</v>
      </c>
      <c r="AM74" s="410">
        <f t="shared" si="28"/>
        <v>0</v>
      </c>
      <c r="AN74" s="410">
        <f t="shared" si="28"/>
        <v>0</v>
      </c>
      <c r="AO74" s="410">
        <f t="shared" si="28"/>
        <v>0</v>
      </c>
      <c r="AP74" s="410">
        <f t="shared" si="28"/>
        <v>0</v>
      </c>
      <c r="AQ74" s="410">
        <f t="shared" si="28"/>
        <v>0</v>
      </c>
      <c r="AR74" s="410">
        <f t="shared" si="28"/>
        <v>0</v>
      </c>
      <c r="AS74" s="410">
        <f t="shared" si="28"/>
        <v>0</v>
      </c>
      <c r="AT74" s="410">
        <f t="shared" si="28"/>
        <v>0</v>
      </c>
      <c r="AU74" s="410">
        <f t="shared" si="28"/>
        <v>0</v>
      </c>
      <c r="AV74" s="410">
        <f t="shared" si="28"/>
        <v>0</v>
      </c>
      <c r="AW74" s="410">
        <f t="shared" si="28"/>
        <v>0</v>
      </c>
      <c r="AX74" s="410">
        <f t="shared" si="28"/>
        <v>1411250</v>
      </c>
      <c r="AY74" s="410">
        <f t="shared" si="28"/>
        <v>1411250</v>
      </c>
      <c r="AZ74" s="410">
        <f t="shared" si="28"/>
        <v>1411250</v>
      </c>
      <c r="BA74" s="410">
        <f t="shared" si="28"/>
        <v>183429188</v>
      </c>
      <c r="BB74" s="410">
        <f t="shared" si="28"/>
        <v>191355661</v>
      </c>
      <c r="BC74" s="410">
        <f t="shared" si="28"/>
        <v>219657587</v>
      </c>
      <c r="BD74" s="268"/>
      <c r="BE74" s="269"/>
      <c r="BF74" s="267"/>
      <c r="BG74" s="267"/>
      <c r="BH74" s="266"/>
      <c r="BI74" s="267"/>
      <c r="BJ74" s="267"/>
      <c r="BK74" s="266"/>
      <c r="BL74" s="267"/>
      <c r="BM74" s="267"/>
      <c r="BN74" s="266"/>
      <c r="BO74" s="266"/>
      <c r="BP74" s="267"/>
      <c r="BQ74" s="266"/>
    </row>
    <row r="75" spans="2:55" ht="24.75" customHeight="1">
      <c r="B75" s="89"/>
      <c r="C75" s="277"/>
      <c r="D75" s="277"/>
      <c r="E75" s="272"/>
      <c r="F75" s="272"/>
      <c r="G75" s="272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</row>
    <row r="76" ht="13.5" customHeight="1"/>
    <row r="77" spans="2:10" ht="13.5" customHeight="1">
      <c r="B77" s="107"/>
      <c r="C77" s="279"/>
      <c r="D77" s="279"/>
      <c r="E77" s="107"/>
      <c r="F77" s="107"/>
      <c r="G77" s="107"/>
      <c r="H77" s="107"/>
      <c r="I77" s="107"/>
      <c r="J77" s="107"/>
    </row>
    <row r="78" ht="13.5" customHeight="1"/>
    <row r="79" ht="13.5" customHeight="1"/>
    <row r="80" ht="13.5" customHeight="1"/>
  </sheetData>
  <sheetProtection/>
  <mergeCells count="27">
    <mergeCell ref="BP1:BR1"/>
    <mergeCell ref="BJ1:BL1"/>
    <mergeCell ref="BM1:BO1"/>
    <mergeCell ref="BG1:BI1"/>
    <mergeCell ref="AL1:AW1"/>
    <mergeCell ref="AU2:AW2"/>
    <mergeCell ref="AX1:AZ2"/>
    <mergeCell ref="BA1:BC2"/>
    <mergeCell ref="A1:A2"/>
    <mergeCell ref="B1:B2"/>
    <mergeCell ref="D1:D2"/>
    <mergeCell ref="W2:Y2"/>
    <mergeCell ref="Z2:AB2"/>
    <mergeCell ref="E1:G2"/>
    <mergeCell ref="H1:J2"/>
    <mergeCell ref="K1:M2"/>
    <mergeCell ref="N1:P2"/>
    <mergeCell ref="AF1:AH2"/>
    <mergeCell ref="AI1:AK2"/>
    <mergeCell ref="AL2:AN2"/>
    <mergeCell ref="AO2:AQ2"/>
    <mergeCell ref="AR2:AT2"/>
    <mergeCell ref="Q1:AC1"/>
    <mergeCell ref="AC2:AE2"/>
    <mergeCell ref="Q2:S2"/>
    <mergeCell ref="T2:V2"/>
  </mergeCells>
  <printOptions horizontalCentered="1"/>
  <pageMargins left="0.1968503937007874" right="0.2362204724409449" top="0.9448818897637796" bottom="0.1968503937007874" header="0.31496062992125984" footer="0.1968503937007874"/>
  <pageSetup fitToHeight="1" fitToWidth="1" horizontalDpi="600" verticalDpi="600" orientation="landscape" paperSize="9" r:id="rId1"/>
  <headerFooter alignWithMargins="0">
    <oddHeader>&amp;C&amp;"Garamond,Félkövér"&amp;12 2/2019. (V.31.) számú költségvetési rendelethez
ZALASZABAR KÖZSÉG ÖNKORMÁNYZATA 
2018. ÉVI KIADÁSI ELŐIRÁNYZATAI 
 &amp;R&amp;A
&amp;P.oldal
Forintban
</oddHeader>
  </headerFooter>
  <rowBreaks count="1" manualBreakCount="1">
    <brk id="74" max="20" man="1"/>
  </rowBreaks>
  <colBreaks count="1" manualBreakCount="1">
    <brk id="5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2"/>
  <sheetViews>
    <sheetView view="pageLayout" zoomScale="90" zoomScaleSheetLayoutView="100" zoomScalePageLayoutView="90" workbookViewId="0" topLeftCell="A1">
      <selection activeCell="F19" sqref="F19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4.125" style="5" customWidth="1"/>
    <col min="4" max="4" width="13.00390625" style="5" customWidth="1"/>
    <col min="5" max="6" width="13.875" style="5" customWidth="1"/>
    <col min="7" max="16384" width="11.375" style="5" customWidth="1"/>
  </cols>
  <sheetData>
    <row r="1" spans="1:6" ht="19.5" customHeight="1">
      <c r="A1" s="178" t="s">
        <v>11</v>
      </c>
      <c r="B1" s="179" t="s">
        <v>10</v>
      </c>
      <c r="C1" s="616" t="s">
        <v>405</v>
      </c>
      <c r="D1" s="616" t="s">
        <v>451</v>
      </c>
      <c r="E1" s="616" t="s">
        <v>602</v>
      </c>
      <c r="F1" s="616" t="s">
        <v>642</v>
      </c>
    </row>
    <row r="2" spans="1:6" ht="19.5" customHeight="1">
      <c r="A2" s="180"/>
      <c r="B2" s="181"/>
      <c r="C2" s="617"/>
      <c r="D2" s="617"/>
      <c r="E2" s="617"/>
      <c r="F2" s="617"/>
    </row>
    <row r="3" spans="1:6" ht="30" customHeight="1">
      <c r="A3" s="441"/>
      <c r="B3" s="442" t="s">
        <v>281</v>
      </c>
      <c r="C3" s="443"/>
      <c r="D3" s="443"/>
      <c r="E3" s="443"/>
      <c r="F3" s="443"/>
    </row>
    <row r="4" spans="1:6" ht="24.75" customHeight="1">
      <c r="A4" s="9" t="s">
        <v>83</v>
      </c>
      <c r="B4" s="215" t="s">
        <v>85</v>
      </c>
      <c r="C4" s="12"/>
      <c r="D4" s="12"/>
      <c r="E4" s="12"/>
      <c r="F4" s="12"/>
    </row>
    <row r="5" spans="1:6" ht="24.75" customHeight="1">
      <c r="A5" s="9" t="s">
        <v>2</v>
      </c>
      <c r="B5" s="9" t="s">
        <v>113</v>
      </c>
      <c r="C5" s="7"/>
      <c r="D5" s="7"/>
      <c r="E5" s="7"/>
      <c r="F5" s="7"/>
    </row>
    <row r="6" spans="1:6" ht="24.75" customHeight="1">
      <c r="A6" s="9"/>
      <c r="B6" s="10" t="s">
        <v>532</v>
      </c>
      <c r="C6" s="68">
        <v>640000</v>
      </c>
      <c r="D6" s="68">
        <v>560000</v>
      </c>
      <c r="E6" s="68">
        <v>560000</v>
      </c>
      <c r="F6" s="68">
        <v>560000</v>
      </c>
    </row>
    <row r="7" spans="1:6" ht="24.75" customHeight="1">
      <c r="A7" s="9"/>
      <c r="B7" s="10" t="s">
        <v>406</v>
      </c>
      <c r="C7" s="68">
        <v>0</v>
      </c>
      <c r="D7" s="68">
        <v>0</v>
      </c>
      <c r="E7" s="68">
        <v>0</v>
      </c>
      <c r="F7" s="68">
        <v>0</v>
      </c>
    </row>
    <row r="8" spans="1:6" ht="24.75" customHeight="1">
      <c r="A8" s="9"/>
      <c r="B8" s="10" t="s">
        <v>639</v>
      </c>
      <c r="C8" s="68">
        <v>800000</v>
      </c>
      <c r="D8" s="68">
        <v>840180</v>
      </c>
      <c r="E8" s="68">
        <v>840180</v>
      </c>
      <c r="F8" s="68">
        <v>840180</v>
      </c>
    </row>
    <row r="9" spans="1:6" ht="24.75" customHeight="1">
      <c r="A9" s="9"/>
      <c r="B9" s="10" t="s">
        <v>640</v>
      </c>
      <c r="C9" s="68">
        <v>0</v>
      </c>
      <c r="D9" s="68">
        <v>0</v>
      </c>
      <c r="E9" s="68">
        <v>0</v>
      </c>
      <c r="F9" s="68">
        <v>0</v>
      </c>
    </row>
    <row r="10" spans="1:6" ht="24.75" customHeight="1">
      <c r="A10" s="9"/>
      <c r="B10" s="10" t="s">
        <v>641</v>
      </c>
      <c r="C10" s="68">
        <v>481000</v>
      </c>
      <c r="D10" s="68">
        <v>700000</v>
      </c>
      <c r="E10" s="68">
        <v>700000</v>
      </c>
      <c r="F10" s="68">
        <v>700000</v>
      </c>
    </row>
    <row r="11" spans="1:6" ht="24.75" customHeight="1">
      <c r="A11" s="9"/>
      <c r="B11" s="10" t="s">
        <v>533</v>
      </c>
      <c r="C11" s="68">
        <v>250000</v>
      </c>
      <c r="D11" s="68">
        <v>0</v>
      </c>
      <c r="E11" s="68">
        <v>0</v>
      </c>
      <c r="F11" s="68">
        <v>0</v>
      </c>
    </row>
    <row r="12" spans="1:6" ht="24.75" customHeight="1">
      <c r="A12" s="104"/>
      <c r="B12" s="10" t="s">
        <v>534</v>
      </c>
      <c r="C12" s="68">
        <v>29000</v>
      </c>
      <c r="D12" s="68">
        <v>0</v>
      </c>
      <c r="E12" s="68">
        <v>0</v>
      </c>
      <c r="F12" s="68">
        <v>0</v>
      </c>
    </row>
    <row r="13" spans="1:6" ht="24.75" customHeight="1">
      <c r="A13" s="104"/>
      <c r="B13" s="215" t="s">
        <v>116</v>
      </c>
      <c r="C13" s="115">
        <f>SUM(C6:C12)</f>
        <v>2200000</v>
      </c>
      <c r="D13" s="115">
        <f>SUM(D6:D12)</f>
        <v>2100180</v>
      </c>
      <c r="E13" s="115">
        <f>SUM(E6:E12)</f>
        <v>2100180</v>
      </c>
      <c r="F13" s="115">
        <f>SUM(F6:F12)</f>
        <v>2100180</v>
      </c>
    </row>
    <row r="14" spans="1:6" ht="24.75" customHeight="1">
      <c r="A14" s="216" t="s">
        <v>3</v>
      </c>
      <c r="B14" s="6" t="s">
        <v>535</v>
      </c>
      <c r="C14" s="115"/>
      <c r="D14" s="115">
        <v>100000</v>
      </c>
      <c r="E14" s="115">
        <v>100000</v>
      </c>
      <c r="F14" s="115">
        <v>100000</v>
      </c>
    </row>
    <row r="15" spans="1:6" ht="24.75" customHeight="1">
      <c r="A15" s="216"/>
      <c r="B15" s="479" t="s">
        <v>589</v>
      </c>
      <c r="C15" s="115"/>
      <c r="D15" s="480">
        <v>100000</v>
      </c>
      <c r="E15" s="480">
        <v>100000</v>
      </c>
      <c r="F15" s="480">
        <v>100000</v>
      </c>
    </row>
    <row r="16" spans="1:6" ht="24.75" customHeight="1">
      <c r="A16" s="10" t="s">
        <v>320</v>
      </c>
      <c r="B16" s="215" t="s">
        <v>407</v>
      </c>
      <c r="C16" s="115"/>
      <c r="D16" s="115"/>
      <c r="E16" s="115"/>
      <c r="F16" s="115"/>
    </row>
    <row r="17" spans="1:6" ht="24.75" customHeight="1">
      <c r="A17" s="10"/>
      <c r="B17" s="215" t="s">
        <v>321</v>
      </c>
      <c r="C17" s="115">
        <v>0</v>
      </c>
      <c r="D17" s="115">
        <v>0</v>
      </c>
      <c r="E17" s="115">
        <v>0</v>
      </c>
      <c r="F17" s="115">
        <v>0</v>
      </c>
    </row>
    <row r="18" spans="1:6" ht="24.75" customHeight="1">
      <c r="A18" s="6" t="s">
        <v>5</v>
      </c>
      <c r="B18" s="215" t="s">
        <v>420</v>
      </c>
      <c r="C18" s="115"/>
      <c r="D18" s="115">
        <v>684900</v>
      </c>
      <c r="E18" s="115">
        <v>697166</v>
      </c>
      <c r="F18" s="115">
        <v>697166</v>
      </c>
    </row>
    <row r="19" spans="1:6" ht="24.75" customHeight="1">
      <c r="A19" s="6" t="s">
        <v>536</v>
      </c>
      <c r="B19" s="9" t="s">
        <v>408</v>
      </c>
      <c r="C19" s="115">
        <v>7386927</v>
      </c>
      <c r="D19" s="115">
        <v>17377931</v>
      </c>
      <c r="E19" s="115">
        <v>15826194</v>
      </c>
      <c r="F19" s="115">
        <v>38102708</v>
      </c>
    </row>
    <row r="20" spans="1:6" ht="24.75" customHeight="1">
      <c r="A20" s="444"/>
      <c r="B20" s="441" t="s">
        <v>280</v>
      </c>
      <c r="C20" s="445">
        <f>C13+C14+C16+C18+C19</f>
        <v>9586927</v>
      </c>
      <c r="D20" s="445">
        <f>D13+D14+D16+D18+D19</f>
        <v>20263011</v>
      </c>
      <c r="E20" s="445">
        <f>E13+E14+E16+E18+E19</f>
        <v>18723540</v>
      </c>
      <c r="F20" s="445">
        <f>F13+F14+F16+F18+F19</f>
        <v>41000054</v>
      </c>
    </row>
    <row r="21" spans="1:6" ht="30" customHeight="1">
      <c r="A21" s="446"/>
      <c r="B21" s="442" t="s">
        <v>115</v>
      </c>
      <c r="C21" s="445"/>
      <c r="D21" s="445"/>
      <c r="E21" s="445"/>
      <c r="F21" s="445"/>
    </row>
    <row r="22" spans="1:6" ht="24.75" customHeight="1">
      <c r="A22" s="6" t="s">
        <v>83</v>
      </c>
      <c r="B22" s="215" t="s">
        <v>85</v>
      </c>
      <c r="C22" s="69"/>
      <c r="D22" s="69"/>
      <c r="E22" s="69"/>
      <c r="F22" s="69"/>
    </row>
    <row r="23" spans="1:6" ht="24.75" customHeight="1">
      <c r="A23" s="6" t="s">
        <v>2</v>
      </c>
      <c r="B23" s="215" t="s">
        <v>537</v>
      </c>
      <c r="C23" s="69"/>
      <c r="D23" s="69"/>
      <c r="E23" s="69"/>
      <c r="F23" s="69"/>
    </row>
    <row r="24" spans="1:6" ht="24.75" customHeight="1">
      <c r="A24" s="6" t="s">
        <v>3</v>
      </c>
      <c r="B24" s="9" t="s">
        <v>538</v>
      </c>
      <c r="C24" s="69">
        <v>0</v>
      </c>
      <c r="D24" s="69">
        <v>0</v>
      </c>
      <c r="E24" s="69">
        <v>0</v>
      </c>
      <c r="F24" s="69">
        <v>0</v>
      </c>
    </row>
    <row r="25" spans="1:6" ht="24.75" customHeight="1">
      <c r="A25" s="10"/>
      <c r="B25" s="215" t="s">
        <v>539</v>
      </c>
      <c r="C25" s="69"/>
      <c r="D25" s="69"/>
      <c r="E25" s="69"/>
      <c r="F25" s="69"/>
    </row>
    <row r="26" spans="1:6" ht="24.75" customHeight="1">
      <c r="A26" s="6"/>
      <c r="B26" s="448" t="s">
        <v>540</v>
      </c>
      <c r="C26" s="69"/>
      <c r="D26" s="69"/>
      <c r="E26" s="69"/>
      <c r="F26" s="69"/>
    </row>
    <row r="27" spans="1:6" ht="24.75" customHeight="1">
      <c r="A27" s="6" t="s">
        <v>4</v>
      </c>
      <c r="B27" s="6" t="s">
        <v>327</v>
      </c>
      <c r="C27" s="69">
        <f>C24+C26</f>
        <v>0</v>
      </c>
      <c r="D27" s="69">
        <f>D24+D26</f>
        <v>0</v>
      </c>
      <c r="E27" s="69">
        <f>E24+E26</f>
        <v>0</v>
      </c>
      <c r="F27" s="69">
        <f>F24+F26</f>
        <v>0</v>
      </c>
    </row>
    <row r="28" spans="1:6" s="136" customFormat="1" ht="24.75" customHeight="1">
      <c r="A28" s="6" t="s">
        <v>5</v>
      </c>
      <c r="B28" s="6" t="s">
        <v>541</v>
      </c>
      <c r="C28" s="69">
        <v>0</v>
      </c>
      <c r="D28" s="69">
        <v>0</v>
      </c>
      <c r="E28" s="69">
        <v>0</v>
      </c>
      <c r="F28" s="69">
        <v>0</v>
      </c>
    </row>
    <row r="29" spans="1:6" s="136" customFormat="1" ht="27" customHeight="1">
      <c r="A29" s="6"/>
      <c r="B29" s="446" t="s">
        <v>421</v>
      </c>
      <c r="C29" s="447">
        <v>0</v>
      </c>
      <c r="D29" s="447">
        <v>0</v>
      </c>
      <c r="E29" s="447">
        <v>0</v>
      </c>
      <c r="F29" s="447">
        <v>0</v>
      </c>
    </row>
    <row r="30" spans="1:3" s="136" customFormat="1" ht="27" customHeight="1">
      <c r="A30" s="33"/>
      <c r="B30" s="33"/>
      <c r="C30" s="182"/>
    </row>
    <row r="31" spans="1:3" ht="24.75" customHeight="1">
      <c r="A31" s="33"/>
      <c r="B31" s="33"/>
      <c r="C31" s="33"/>
    </row>
    <row r="32" ht="24.75" customHeight="1">
      <c r="C32" s="33"/>
    </row>
  </sheetData>
  <sheetProtection/>
  <mergeCells count="4">
    <mergeCell ref="C1:C2"/>
    <mergeCell ref="D1:D2"/>
    <mergeCell ref="E1:E2"/>
    <mergeCell ref="F1:F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2/2019. (V.31.) számú költségvetési rendelethez
ZALASZABAR KÖZSÉG ÖNKORMÁNYZATA ÉS INTÉZMÉNYE   
EGYÉB MŰKÖDÉSI ÉS EGYÉB FEJLESZTÉSI CÉLÚ KIADÁSAI 
ÁLLAMHÁZTARTÁSON BELÜLRE ÉS KÍVÜLRE 2018.évben
&amp;R&amp;A
&amp;P.oldal
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27"/>
  <sheetViews>
    <sheetView view="pageLayout" workbookViewId="0" topLeftCell="A1">
      <selection activeCell="F17" sqref="F17"/>
    </sheetView>
  </sheetViews>
  <sheetFormatPr defaultColWidth="9.00390625" defaultRowHeight="12.75"/>
  <cols>
    <col min="1" max="1" width="5.875" style="22" customWidth="1"/>
    <col min="2" max="2" width="56.75390625" style="22" customWidth="1"/>
    <col min="3" max="3" width="18.25390625" style="22" customWidth="1"/>
    <col min="4" max="5" width="21.375" style="22" customWidth="1"/>
    <col min="6" max="6" width="14.125" style="22" customWidth="1"/>
    <col min="7" max="16384" width="9.125" style="22" customWidth="1"/>
  </cols>
  <sheetData>
    <row r="2" spans="1:6" ht="15" customHeight="1">
      <c r="A2" s="621" t="s">
        <v>52</v>
      </c>
      <c r="B2" s="622" t="s">
        <v>10</v>
      </c>
      <c r="C2" s="623" t="s">
        <v>462</v>
      </c>
      <c r="D2" s="623" t="s">
        <v>473</v>
      </c>
      <c r="E2" s="621" t="s">
        <v>602</v>
      </c>
      <c r="F2" s="621" t="s">
        <v>642</v>
      </c>
    </row>
    <row r="3" spans="1:6" ht="15" customHeight="1">
      <c r="A3" s="621"/>
      <c r="B3" s="622"/>
      <c r="C3" s="624"/>
      <c r="D3" s="624"/>
      <c r="E3" s="621"/>
      <c r="F3" s="621"/>
    </row>
    <row r="4" spans="1:6" ht="15" customHeight="1">
      <c r="A4" s="621"/>
      <c r="B4" s="622"/>
      <c r="C4" s="624"/>
      <c r="D4" s="624"/>
      <c r="E4" s="621"/>
      <c r="F4" s="621"/>
    </row>
    <row r="5" spans="1:6" ht="15" customHeight="1">
      <c r="A5" s="621"/>
      <c r="B5" s="622"/>
      <c r="C5" s="625"/>
      <c r="D5" s="625"/>
      <c r="E5" s="621"/>
      <c r="F5" s="621"/>
    </row>
    <row r="6" spans="1:6" ht="27.75" customHeight="1">
      <c r="A6" s="618" t="s">
        <v>208</v>
      </c>
      <c r="B6" s="619"/>
      <c r="C6" s="619"/>
      <c r="D6" s="620"/>
      <c r="E6" s="519"/>
      <c r="F6" s="519"/>
    </row>
    <row r="7" spans="1:6" ht="27.75" customHeight="1">
      <c r="A7" s="450"/>
      <c r="B7" s="451" t="s">
        <v>542</v>
      </c>
      <c r="C7" s="450"/>
      <c r="D7" s="450"/>
      <c r="E7" s="450"/>
      <c r="F7" s="450"/>
    </row>
    <row r="8" spans="1:6" ht="27.75" customHeight="1">
      <c r="A8" s="450"/>
      <c r="B8" s="452" t="s">
        <v>543</v>
      </c>
      <c r="C8" s="450"/>
      <c r="D8" s="450"/>
      <c r="E8" s="450"/>
      <c r="F8" s="450"/>
    </row>
    <row r="9" spans="1:6" ht="27.75" customHeight="1">
      <c r="A9" s="449" t="s">
        <v>2</v>
      </c>
      <c r="B9" s="453" t="s">
        <v>544</v>
      </c>
      <c r="C9" s="454">
        <v>0</v>
      </c>
      <c r="D9" s="454">
        <v>0</v>
      </c>
      <c r="E9" s="454">
        <v>0</v>
      </c>
      <c r="F9" s="454">
        <v>0</v>
      </c>
    </row>
    <row r="10" spans="1:6" ht="24.75" customHeight="1">
      <c r="A10" s="455"/>
      <c r="B10" s="456" t="s">
        <v>88</v>
      </c>
      <c r="C10" s="457"/>
      <c r="D10" s="457"/>
      <c r="E10" s="457"/>
      <c r="F10" s="457"/>
    </row>
    <row r="11" spans="1:6" ht="24.75" customHeight="1">
      <c r="A11" s="455"/>
      <c r="B11" s="458" t="s">
        <v>197</v>
      </c>
      <c r="C11" s="106"/>
      <c r="D11" s="106"/>
      <c r="E11" s="106"/>
      <c r="F11" s="106"/>
    </row>
    <row r="12" spans="1:6" ht="24.75" customHeight="1">
      <c r="A12" s="455" t="s">
        <v>3</v>
      </c>
      <c r="B12" s="125" t="s">
        <v>198</v>
      </c>
      <c r="C12" s="133">
        <f>SUM(C10:C11)</f>
        <v>0</v>
      </c>
      <c r="D12" s="133">
        <f>SUM(D10:D11)</f>
        <v>0</v>
      </c>
      <c r="E12" s="133">
        <f>SUM(E10:E11)</f>
        <v>0</v>
      </c>
      <c r="F12" s="133">
        <f>SUM(F10:F11)</f>
        <v>0</v>
      </c>
    </row>
    <row r="13" spans="1:6" ht="24.75" customHeight="1">
      <c r="A13" s="455" t="s">
        <v>4</v>
      </c>
      <c r="B13" s="125" t="s">
        <v>200</v>
      </c>
      <c r="C13" s="106"/>
      <c r="D13" s="106"/>
      <c r="E13" s="106"/>
      <c r="F13" s="106"/>
    </row>
    <row r="14" spans="1:6" ht="24.75" customHeight="1">
      <c r="A14" s="455"/>
      <c r="B14" s="458" t="s">
        <v>199</v>
      </c>
      <c r="C14" s="106"/>
      <c r="D14" s="106"/>
      <c r="E14" s="106"/>
      <c r="F14" s="106"/>
    </row>
    <row r="15" spans="1:6" ht="24.75" customHeight="1">
      <c r="A15" s="455"/>
      <c r="B15" s="125" t="s">
        <v>201</v>
      </c>
      <c r="C15" s="175">
        <f>SUM(C14)</f>
        <v>0</v>
      </c>
      <c r="D15" s="175">
        <f>SUM(D14)</f>
        <v>0</v>
      </c>
      <c r="E15" s="175">
        <f>SUM(E14)</f>
        <v>0</v>
      </c>
      <c r="F15" s="175">
        <f>SUM(F14)</f>
        <v>0</v>
      </c>
    </row>
    <row r="16" spans="1:6" ht="24.75" customHeight="1">
      <c r="A16" s="455" t="s">
        <v>5</v>
      </c>
      <c r="B16" s="125" t="s">
        <v>202</v>
      </c>
      <c r="C16" s="67"/>
      <c r="D16" s="67"/>
      <c r="E16" s="67"/>
      <c r="F16" s="67"/>
    </row>
    <row r="17" spans="1:6" ht="24.75" customHeight="1">
      <c r="A17" s="455"/>
      <c r="B17" s="458" t="s">
        <v>203</v>
      </c>
      <c r="C17" s="112">
        <v>1200000</v>
      </c>
      <c r="D17" s="112">
        <v>1200000</v>
      </c>
      <c r="E17" s="112">
        <v>1200000</v>
      </c>
      <c r="F17" s="112">
        <v>1200000</v>
      </c>
    </row>
    <row r="18" spans="1:6" ht="24.75" customHeight="1">
      <c r="A18" s="455"/>
      <c r="B18" s="458" t="s">
        <v>204</v>
      </c>
      <c r="C18" s="112">
        <v>0</v>
      </c>
      <c r="D18" s="112">
        <v>0</v>
      </c>
      <c r="E18" s="112">
        <v>0</v>
      </c>
      <c r="F18" s="112">
        <v>0</v>
      </c>
    </row>
    <row r="19" spans="1:6" ht="24.75" customHeight="1">
      <c r="A19" s="459"/>
      <c r="B19" s="125" t="s">
        <v>202</v>
      </c>
      <c r="C19" s="133">
        <f>SUM(C17:C18)</f>
        <v>1200000</v>
      </c>
      <c r="D19" s="133">
        <f>SUM(D17:D18)</f>
        <v>1200000</v>
      </c>
      <c r="E19" s="133">
        <f>SUM(E17:E18)</f>
        <v>1200000</v>
      </c>
      <c r="F19" s="133">
        <f>SUM(F17:F18)</f>
        <v>1200000</v>
      </c>
    </row>
    <row r="20" spans="1:6" ht="24.75" customHeight="1">
      <c r="A20" s="455" t="s">
        <v>536</v>
      </c>
      <c r="B20" s="125" t="s">
        <v>205</v>
      </c>
      <c r="C20" s="112"/>
      <c r="D20" s="112"/>
      <c r="E20" s="112"/>
      <c r="F20" s="112"/>
    </row>
    <row r="21" spans="1:6" ht="24.75" customHeight="1">
      <c r="A21" s="459"/>
      <c r="B21" s="125" t="s">
        <v>206</v>
      </c>
      <c r="C21" s="112">
        <v>3420000</v>
      </c>
      <c r="D21" s="112">
        <v>3195000</v>
      </c>
      <c r="E21" s="112">
        <v>3195000</v>
      </c>
      <c r="F21" s="112">
        <f>3195000+635300</f>
        <v>3830300</v>
      </c>
    </row>
    <row r="22" spans="1:6" ht="24.75" customHeight="1">
      <c r="A22" s="459"/>
      <c r="B22" s="125" t="s">
        <v>207</v>
      </c>
      <c r="C22" s="133">
        <f>C21</f>
        <v>3420000</v>
      </c>
      <c r="D22" s="175">
        <f>D21</f>
        <v>3195000</v>
      </c>
      <c r="E22" s="175">
        <f>E21+266700</f>
        <v>3461700</v>
      </c>
      <c r="F22" s="175">
        <f>F21+266700</f>
        <v>4097000</v>
      </c>
    </row>
    <row r="23" spans="1:6" ht="24.75" customHeight="1">
      <c r="A23" s="460"/>
      <c r="B23" s="461" t="s">
        <v>209</v>
      </c>
      <c r="C23" s="134">
        <f>C12+C15+C19+C22</f>
        <v>4620000</v>
      </c>
      <c r="D23" s="134">
        <f>D12+D15+D19+D22</f>
        <v>4395000</v>
      </c>
      <c r="E23" s="134">
        <f>E12+E15+E19+E22</f>
        <v>4661700</v>
      </c>
      <c r="F23" s="134">
        <f>F12+F15+F19+F22</f>
        <v>5297000</v>
      </c>
    </row>
    <row r="26" spans="2:3" ht="12.75">
      <c r="B26" s="462"/>
      <c r="C26" s="462"/>
    </row>
    <row r="27" spans="2:3" ht="12.75">
      <c r="B27" s="462"/>
      <c r="C27" s="462"/>
    </row>
  </sheetData>
  <sheetProtection/>
  <mergeCells count="7">
    <mergeCell ref="A6:D6"/>
    <mergeCell ref="F2:F5"/>
    <mergeCell ref="E2:E5"/>
    <mergeCell ref="A2:A5"/>
    <mergeCell ref="B2:B5"/>
    <mergeCell ref="C2:C5"/>
    <mergeCell ref="D2:D5"/>
  </mergeCells>
  <printOptions horizontalCentered="1"/>
  <pageMargins left="0.2362204724409449" right="0.2362204724409449" top="1.09" bottom="0.19" header="0.36" footer="0.19"/>
  <pageSetup fitToHeight="0" fitToWidth="1" horizontalDpi="600" verticalDpi="600" orientation="portrait" paperSize="9" scale="73" r:id="rId1"/>
  <headerFooter alignWithMargins="0">
    <oddHeader>&amp;C&amp;"Garamond,Félkövér"&amp;14  2/2018. (V.31.) számú költségvetési rendelethez
Z&amp;12ALASZABAR KÖZSÉG ÖNKORMÁNYZATA ÁLTAL FOLYÓSÍTOTT 
ELLÁTÁSOK (SZOCIÁLIS) RÉSZLETEZÉSE  2018.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36"/>
  <sheetViews>
    <sheetView view="pageLayout" zoomScaleSheetLayoutView="80" workbookViewId="0" topLeftCell="A1">
      <selection activeCell="F21" sqref="F21"/>
    </sheetView>
  </sheetViews>
  <sheetFormatPr defaultColWidth="9.00390625" defaultRowHeight="12.75"/>
  <cols>
    <col min="1" max="1" width="7.125" style="22" customWidth="1"/>
    <col min="2" max="2" width="60.875" style="22" customWidth="1"/>
    <col min="3" max="3" width="14.00390625" style="22" customWidth="1"/>
    <col min="4" max="4" width="14.125" style="22" customWidth="1"/>
    <col min="5" max="5" width="13.625" style="22" customWidth="1"/>
    <col min="6" max="6" width="13.75390625" style="22" customWidth="1"/>
    <col min="7" max="16384" width="9.125" style="22" customWidth="1"/>
  </cols>
  <sheetData>
    <row r="2" spans="1:6" ht="15" customHeight="1">
      <c r="A2" s="621" t="s">
        <v>52</v>
      </c>
      <c r="B2" s="622" t="s">
        <v>9</v>
      </c>
      <c r="C2" s="623" t="s">
        <v>545</v>
      </c>
      <c r="D2" s="623" t="s">
        <v>555</v>
      </c>
      <c r="E2" s="623" t="s">
        <v>603</v>
      </c>
      <c r="F2" s="623" t="s">
        <v>643</v>
      </c>
    </row>
    <row r="3" spans="1:6" ht="15" customHeight="1">
      <c r="A3" s="621"/>
      <c r="B3" s="622"/>
      <c r="C3" s="624"/>
      <c r="D3" s="624"/>
      <c r="E3" s="624"/>
      <c r="F3" s="624"/>
    </row>
    <row r="4" spans="1:6" ht="15" customHeight="1">
      <c r="A4" s="621"/>
      <c r="B4" s="622"/>
      <c r="C4" s="624"/>
      <c r="D4" s="624"/>
      <c r="E4" s="624"/>
      <c r="F4" s="624"/>
    </row>
    <row r="5" spans="1:6" ht="15" customHeight="1">
      <c r="A5" s="621"/>
      <c r="B5" s="622"/>
      <c r="C5" s="625"/>
      <c r="D5" s="625"/>
      <c r="E5" s="625"/>
      <c r="F5" s="625"/>
    </row>
    <row r="6" spans="1:6" ht="19.5" customHeight="1">
      <c r="A6" s="23"/>
      <c r="B6" s="122" t="s">
        <v>69</v>
      </c>
      <c r="C6" s="23"/>
      <c r="D6" s="23"/>
      <c r="E6" s="23"/>
      <c r="F6" s="23"/>
    </row>
    <row r="7" spans="1:6" ht="19.5" customHeight="1">
      <c r="A7" s="123" t="s">
        <v>29</v>
      </c>
      <c r="B7" s="129" t="s">
        <v>70</v>
      </c>
      <c r="C7" s="23"/>
      <c r="D7" s="23"/>
      <c r="E7" s="23"/>
      <c r="F7" s="23"/>
    </row>
    <row r="8" spans="1:6" ht="19.5" customHeight="1">
      <c r="A8" s="123"/>
      <c r="B8" s="122" t="s">
        <v>546</v>
      </c>
      <c r="C8" s="23"/>
      <c r="D8" s="23"/>
      <c r="E8" s="23"/>
      <c r="F8" s="23"/>
    </row>
    <row r="9" spans="1:6" ht="19.5" customHeight="1">
      <c r="A9" s="355" t="s">
        <v>2</v>
      </c>
      <c r="B9" s="105" t="s">
        <v>556</v>
      </c>
      <c r="C9" s="106"/>
      <c r="D9" s="106">
        <v>152400</v>
      </c>
      <c r="E9" s="106">
        <v>152400</v>
      </c>
      <c r="F9" s="106">
        <v>152400</v>
      </c>
    </row>
    <row r="10" spans="1:6" ht="19.5" customHeight="1">
      <c r="A10" s="355" t="s">
        <v>3</v>
      </c>
      <c r="B10" s="105" t="s">
        <v>604</v>
      </c>
      <c r="C10" s="106"/>
      <c r="D10" s="106">
        <v>0</v>
      </c>
      <c r="E10" s="106">
        <f>13436+1057250</f>
        <v>1070686</v>
      </c>
      <c r="F10" s="106">
        <f>13436+1057250</f>
        <v>1070686</v>
      </c>
    </row>
    <row r="11" spans="1:6" ht="19.5" customHeight="1">
      <c r="A11" s="355" t="s">
        <v>4</v>
      </c>
      <c r="B11" s="467" t="s">
        <v>607</v>
      </c>
      <c r="C11" s="106"/>
      <c r="D11" s="106"/>
      <c r="E11" s="106">
        <v>1231800</v>
      </c>
      <c r="F11" s="106">
        <v>1231800</v>
      </c>
    </row>
    <row r="12" spans="1:6" ht="19.5" customHeight="1">
      <c r="A12" s="355" t="s">
        <v>5</v>
      </c>
      <c r="B12" s="105" t="s">
        <v>605</v>
      </c>
      <c r="C12" s="106"/>
      <c r="D12" s="106">
        <v>0</v>
      </c>
      <c r="E12" s="106">
        <v>104790</v>
      </c>
      <c r="F12" s="106">
        <v>104790</v>
      </c>
    </row>
    <row r="13" spans="1:6" ht="19.5" customHeight="1">
      <c r="A13" s="355" t="s">
        <v>536</v>
      </c>
      <c r="B13" s="105" t="s">
        <v>606</v>
      </c>
      <c r="C13" s="106"/>
      <c r="D13" s="106">
        <v>0</v>
      </c>
      <c r="E13" s="106">
        <v>1526731</v>
      </c>
      <c r="F13" s="106">
        <v>1526731</v>
      </c>
    </row>
    <row r="14" spans="1:6" ht="19.5" customHeight="1">
      <c r="A14" s="355" t="s">
        <v>644</v>
      </c>
      <c r="B14" s="105" t="s">
        <v>645</v>
      </c>
      <c r="C14" s="106"/>
      <c r="D14" s="106"/>
      <c r="E14" s="106"/>
      <c r="F14" s="106">
        <v>524980</v>
      </c>
    </row>
    <row r="15" spans="1:6" ht="19.5" customHeight="1">
      <c r="A15" s="355" t="s">
        <v>12</v>
      </c>
      <c r="B15" s="105" t="s">
        <v>646</v>
      </c>
      <c r="C15" s="106"/>
      <c r="D15" s="106"/>
      <c r="E15" s="106"/>
      <c r="F15" s="106">
        <v>196000</v>
      </c>
    </row>
    <row r="16" spans="1:6" ht="19.5" customHeight="1">
      <c r="A16" s="463"/>
      <c r="B16" s="464" t="s">
        <v>547</v>
      </c>
      <c r="C16" s="465">
        <f>SUM(C9:C9)</f>
        <v>0</v>
      </c>
      <c r="D16" s="175">
        <f>SUM(D9:D13)</f>
        <v>152400</v>
      </c>
      <c r="E16" s="175">
        <f>SUM(E9:E13)</f>
        <v>4086407</v>
      </c>
      <c r="F16" s="175">
        <f>SUM(F9:F15)</f>
        <v>4807387</v>
      </c>
    </row>
    <row r="17" spans="1:6" ht="19.5" customHeight="1">
      <c r="A17" s="463"/>
      <c r="B17" s="466"/>
      <c r="C17" s="67"/>
      <c r="D17" s="67"/>
      <c r="E17" s="67"/>
      <c r="F17" s="67"/>
    </row>
    <row r="18" spans="1:6" ht="19.5" customHeight="1">
      <c r="A18" s="463"/>
      <c r="B18" s="466" t="s">
        <v>548</v>
      </c>
      <c r="C18" s="67"/>
      <c r="D18" s="67"/>
      <c r="E18" s="67"/>
      <c r="F18" s="67"/>
    </row>
    <row r="19" spans="1:6" ht="19.5" customHeight="1">
      <c r="A19" s="463" t="s">
        <v>2</v>
      </c>
      <c r="B19" s="105" t="s">
        <v>549</v>
      </c>
      <c r="C19" s="67">
        <v>600000</v>
      </c>
      <c r="D19" s="67">
        <v>200000</v>
      </c>
      <c r="E19" s="67">
        <v>200000</v>
      </c>
      <c r="F19" s="67">
        <f>200000+208968</f>
        <v>408968</v>
      </c>
    </row>
    <row r="20" spans="1:6" ht="19.5" customHeight="1">
      <c r="A20" s="463" t="s">
        <v>3</v>
      </c>
      <c r="B20" s="105" t="s">
        <v>609</v>
      </c>
      <c r="C20" s="67">
        <v>0</v>
      </c>
      <c r="D20" s="67">
        <v>0</v>
      </c>
      <c r="E20" s="67">
        <v>127000</v>
      </c>
      <c r="F20" s="67">
        <v>127000</v>
      </c>
    </row>
    <row r="21" spans="1:6" ht="19.5" customHeight="1">
      <c r="A21" s="463"/>
      <c r="B21" s="464" t="s">
        <v>550</v>
      </c>
      <c r="C21" s="133">
        <f>SUM(C19:C19)</f>
        <v>600000</v>
      </c>
      <c r="D21" s="133">
        <f>SUM(D19:D19)</f>
        <v>200000</v>
      </c>
      <c r="E21" s="133">
        <f>SUM(E19:E20)</f>
        <v>327000</v>
      </c>
      <c r="F21" s="133">
        <f>SUM(F19:F20)</f>
        <v>535968</v>
      </c>
    </row>
    <row r="22" spans="1:6" ht="19.5" customHeight="1">
      <c r="A22" s="463"/>
      <c r="B22" s="466"/>
      <c r="C22" s="468"/>
      <c r="D22" s="67"/>
      <c r="E22" s="67"/>
      <c r="F22" s="67"/>
    </row>
    <row r="23" spans="1:6" ht="19.5" customHeight="1">
      <c r="A23" s="356"/>
      <c r="B23" s="218" t="s">
        <v>72</v>
      </c>
      <c r="C23" s="219">
        <f>SUM(C16,C21)</f>
        <v>600000</v>
      </c>
      <c r="D23" s="219">
        <f>SUM(D16,D21)</f>
        <v>352400</v>
      </c>
      <c r="E23" s="219">
        <f>SUM(E16,E21)</f>
        <v>4413407</v>
      </c>
      <c r="F23" s="219">
        <f>SUM(F16,F21)</f>
        <v>5343355</v>
      </c>
    </row>
    <row r="24" spans="1:6" ht="19.5" customHeight="1">
      <c r="A24" s="463"/>
      <c r="B24" s="464"/>
      <c r="C24" s="469"/>
      <c r="D24" s="472"/>
      <c r="E24" s="472"/>
      <c r="F24" s="472"/>
    </row>
    <row r="25" spans="1:6" ht="19.5" customHeight="1">
      <c r="A25" s="123" t="s">
        <v>551</v>
      </c>
      <c r="B25" s="470" t="s">
        <v>92</v>
      </c>
      <c r="C25" s="471"/>
      <c r="D25" s="67"/>
      <c r="E25" s="67"/>
      <c r="F25" s="67"/>
    </row>
    <row r="26" spans="1:6" ht="19.5" customHeight="1">
      <c r="A26" s="463"/>
      <c r="B26" s="466" t="s">
        <v>552</v>
      </c>
      <c r="C26" s="471"/>
      <c r="D26" s="67"/>
      <c r="E26" s="67"/>
      <c r="F26" s="67"/>
    </row>
    <row r="27" spans="1:6" ht="19.5" customHeight="1">
      <c r="A27" s="463" t="s">
        <v>2</v>
      </c>
      <c r="B27" s="467" t="s">
        <v>557</v>
      </c>
      <c r="C27" s="471">
        <v>1800000</v>
      </c>
      <c r="D27" s="67">
        <v>10342956</v>
      </c>
      <c r="E27" s="67">
        <v>10342956</v>
      </c>
      <c r="F27" s="67">
        <v>10342956</v>
      </c>
    </row>
    <row r="28" spans="1:6" ht="19.5" customHeight="1">
      <c r="A28" s="463" t="s">
        <v>3</v>
      </c>
      <c r="B28" s="105" t="s">
        <v>553</v>
      </c>
      <c r="C28" s="471">
        <v>200000</v>
      </c>
      <c r="D28" s="67">
        <v>0</v>
      </c>
      <c r="E28" s="67">
        <v>0</v>
      </c>
      <c r="F28" s="67">
        <v>0</v>
      </c>
    </row>
    <row r="29" spans="1:6" ht="19.5" customHeight="1">
      <c r="A29" s="463" t="s">
        <v>4</v>
      </c>
      <c r="B29" s="105" t="s">
        <v>558</v>
      </c>
      <c r="C29" s="471"/>
      <c r="D29" s="67">
        <v>36890000</v>
      </c>
      <c r="E29" s="67">
        <v>36890000</v>
      </c>
      <c r="F29" s="67">
        <v>36890000</v>
      </c>
    </row>
    <row r="30" spans="1:6" ht="19.5" customHeight="1">
      <c r="A30" s="463" t="s">
        <v>5</v>
      </c>
      <c r="B30" s="105" t="s">
        <v>559</v>
      </c>
      <c r="C30" s="471"/>
      <c r="D30" s="67">
        <v>16842000</v>
      </c>
      <c r="E30" s="67">
        <v>16842000</v>
      </c>
      <c r="F30" s="67">
        <v>16842000</v>
      </c>
    </row>
    <row r="31" spans="1:6" ht="19.5" customHeight="1">
      <c r="A31" s="463" t="s">
        <v>536</v>
      </c>
      <c r="B31" s="105" t="s">
        <v>487</v>
      </c>
      <c r="C31" s="471"/>
      <c r="D31" s="67">
        <v>24961716</v>
      </c>
      <c r="E31" s="67">
        <f>24961716-7692752-1231800-614350</f>
        <v>15422814</v>
      </c>
      <c r="F31" s="67">
        <f>24961716-7692752-1231800-614350</f>
        <v>15422814</v>
      </c>
    </row>
    <row r="32" spans="1:6" ht="19.5" customHeight="1">
      <c r="A32" s="463" t="s">
        <v>303</v>
      </c>
      <c r="B32" s="105" t="s">
        <v>647</v>
      </c>
      <c r="C32" s="471"/>
      <c r="D32" s="67"/>
      <c r="E32" s="67"/>
      <c r="F32" s="67">
        <v>1740209</v>
      </c>
    </row>
    <row r="33" spans="1:6" ht="19.5" customHeight="1">
      <c r="A33" s="463"/>
      <c r="B33" s="467"/>
      <c r="C33" s="471"/>
      <c r="D33" s="67"/>
      <c r="E33" s="67"/>
      <c r="F33" s="67"/>
    </row>
    <row r="34" spans="1:6" ht="19.5" customHeight="1">
      <c r="A34" s="463"/>
      <c r="B34" s="105"/>
      <c r="C34" s="471"/>
      <c r="D34" s="67"/>
      <c r="E34" s="67"/>
      <c r="F34" s="67"/>
    </row>
    <row r="35" spans="1:6" ht="19.5" customHeight="1">
      <c r="A35" s="217"/>
      <c r="B35" s="218" t="s">
        <v>554</v>
      </c>
      <c r="C35" s="219">
        <f>C27+C29</f>
        <v>1800000</v>
      </c>
      <c r="D35" s="219">
        <f>SUM(D27:D34)</f>
        <v>89036672</v>
      </c>
      <c r="E35" s="219">
        <f>SUM(E27:E34)</f>
        <v>79497770</v>
      </c>
      <c r="F35" s="219">
        <f>SUM(F27:F34)</f>
        <v>81237979</v>
      </c>
    </row>
    <row r="36" spans="1:6" ht="19.5" customHeight="1">
      <c r="A36" s="217"/>
      <c r="B36" s="218" t="s">
        <v>419</v>
      </c>
      <c r="C36" s="219">
        <f>C23+C35</f>
        <v>2400000</v>
      </c>
      <c r="D36" s="219">
        <f>D23+D35</f>
        <v>89389072</v>
      </c>
      <c r="E36" s="219">
        <f>E23+E35</f>
        <v>83911177</v>
      </c>
      <c r="F36" s="219">
        <f>F23+F35</f>
        <v>86581334</v>
      </c>
    </row>
  </sheetData>
  <sheetProtection/>
  <mergeCells count="6">
    <mergeCell ref="A2:A5"/>
    <mergeCell ref="B2:B5"/>
    <mergeCell ref="C2:C5"/>
    <mergeCell ref="D2:D5"/>
    <mergeCell ref="E2:E5"/>
    <mergeCell ref="F2:F5"/>
  </mergeCells>
  <printOptions horizontalCentered="1"/>
  <pageMargins left="0.2362204724409449" right="0.2362204724409449" top="1.09" bottom="0.19" header="0.36" footer="0.19"/>
  <pageSetup fitToHeight="1" fitToWidth="1" horizontalDpi="600" verticalDpi="600" orientation="portrait" paperSize="9" scale="82" r:id="rId1"/>
  <headerFooter alignWithMargins="0">
    <oddHeader>&amp;C2/2019. (V.31.) számú költségvetési rendelethez 
ZALASZABAR KÖZSÉG ÖNKORMÁNYZATÁNAK ÉS INTÉZMÉNYÉNEK
2018.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2019-05-28T12:23:46Z</cp:lastPrinted>
  <dcterms:created xsi:type="dcterms:W3CDTF">2001-01-10T12:44:25Z</dcterms:created>
  <dcterms:modified xsi:type="dcterms:W3CDTF">2019-06-04T13:19:52Z</dcterms:modified>
  <cp:category/>
  <cp:version/>
  <cp:contentType/>
  <cp:contentStatus/>
</cp:coreProperties>
</file>