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-105" windowWidth="12660" windowHeight="11640" tabRatio="816" activeTab="2"/>
  </bookViews>
  <sheets>
    <sheet name="1.1.sz.mell. " sheetId="1126" r:id="rId1"/>
    <sheet name="1.2.sz.mell. " sheetId="1127" r:id="rId2"/>
    <sheet name="1.3.sz.mell." sheetId="1128" r:id="rId3"/>
    <sheet name="1.4.sz.mell. " sheetId="1129" r:id="rId4"/>
    <sheet name="2.1.sz.mell " sheetId="1130" r:id="rId5"/>
    <sheet name="2.2.sz.mell ." sheetId="1131" r:id="rId6"/>
    <sheet name="6.sz.mell." sheetId="1132" r:id="rId7"/>
    <sheet name="7.sz.mell." sheetId="1133" r:id="rId8"/>
    <sheet name="8.3. sz. mell." sheetId="1083" r:id="rId9"/>
    <sheet name="9.1. sz. mell." sheetId="1135" r:id="rId10"/>
    <sheet name="9.1.1. sz. mell. " sheetId="1136" r:id="rId11"/>
    <sheet name="9.2. sz. mell. " sheetId="1138" r:id="rId12"/>
    <sheet name="9.2.1. sz. mell" sheetId="1139" r:id="rId13"/>
    <sheet name="9.2.3. sz. mell." sheetId="1140" r:id="rId14"/>
    <sheet name="9.3. sz. mell" sheetId="1160" r:id="rId15"/>
    <sheet name="9.3.1. sz. mell EOI" sheetId="1161" r:id="rId16"/>
    <sheet name="9.4. sz. mell EKIK" sheetId="1163" r:id="rId17"/>
    <sheet name="9.4.1. sz. mell EKIK" sheetId="1164" r:id="rId18"/>
    <sheet name="9.5. sz. mell VK" sheetId="1166" r:id="rId19"/>
    <sheet name="9.5.1. sz. mell VK " sheetId="1167" r:id="rId20"/>
    <sheet name="9.6. sz. mell Kornisné Kp." sheetId="1169" r:id="rId21"/>
    <sheet name="9.6.1. sz. mell Kornisné Kp. " sheetId="1170" r:id="rId22"/>
    <sheet name="9.6.2. sz. mell Kornisné Kp." sheetId="1171" r:id="rId23"/>
    <sheet name="9.7. sz. mell TIB  " sheetId="1173" r:id="rId24"/>
    <sheet name="9.7.1. sz. mell TIB  " sheetId="1174" r:id="rId25"/>
    <sheet name="int.összesítő" sheetId="1176" r:id="rId26"/>
    <sheet name="tartalék" sheetId="1154" r:id="rId27"/>
    <sheet name="1.sz tájékoztató t " sheetId="1155" r:id="rId28"/>
    <sheet name="4.sz tájékoztató t " sheetId="1156" r:id="rId29"/>
    <sheet name="6.sz tájékoztató t " sheetId="1074" r:id="rId30"/>
    <sheet name="feladatos Önk. " sheetId="1159" r:id="rId31"/>
  </sheets>
  <definedNames>
    <definedName name="_xlnm.Print_Titles" localSheetId="9">'9.1. sz. mell.'!$1:$6</definedName>
    <definedName name="_xlnm.Print_Titles" localSheetId="10">'9.1.1. sz. mell. '!$1:$6</definedName>
    <definedName name="_xlnm.Print_Titles" localSheetId="11">'9.2. sz. mell. '!$1:$6</definedName>
    <definedName name="_xlnm.Print_Titles" localSheetId="12">'9.2.1. sz. mell'!$1:$6</definedName>
    <definedName name="_xlnm.Print_Titles" localSheetId="13">'9.2.3. sz. mell.'!$1:$6</definedName>
    <definedName name="_xlnm.Print_Titles" localSheetId="14">'9.3. sz. mell'!$1:$6</definedName>
    <definedName name="_xlnm.Print_Titles" localSheetId="15">'9.3.1. sz. mell EOI'!$1:$6</definedName>
    <definedName name="_xlnm.Print_Titles" localSheetId="16">'9.4. sz. mell EKIK'!$1:$6</definedName>
    <definedName name="_xlnm.Print_Titles" localSheetId="17">'9.4.1. sz. mell EKIK'!$1:$6</definedName>
    <definedName name="_xlnm.Print_Titles" localSheetId="18">'9.5. sz. mell VK'!$1:$6</definedName>
    <definedName name="_xlnm.Print_Titles" localSheetId="19">'9.5.1. sz. mell VK '!$1:$6</definedName>
    <definedName name="_xlnm.Print_Titles" localSheetId="20">'9.6. sz. mell Kornisné Kp.'!$1:$6</definedName>
    <definedName name="_xlnm.Print_Titles" localSheetId="21">'9.6.1. sz. mell Kornisné Kp. '!$1:$6</definedName>
    <definedName name="_xlnm.Print_Titles" localSheetId="22">'9.6.2. sz. mell Kornisné Kp.'!$1:$6</definedName>
    <definedName name="_xlnm.Print_Titles" localSheetId="23">'9.7. sz. mell TIB  '!$1:$6</definedName>
    <definedName name="_xlnm.Print_Titles" localSheetId="24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9">'9.1. sz. mell.'!$A$1:$C$158</definedName>
    <definedName name="_xlnm.Print_Area" localSheetId="11">'9.2. sz. mell. '!$A$1:$D$62</definedName>
  </definedNames>
  <calcPr calcId="145621"/>
</workbook>
</file>

<file path=xl/calcChain.xml><?xml version="1.0" encoding="utf-8"?>
<calcChain xmlns="http://schemas.openxmlformats.org/spreadsheetml/2006/main">
  <c r="B43" i="1159" l="1"/>
  <c r="I27" i="1159"/>
  <c r="I18" i="1159" l="1"/>
  <c r="I39" i="1159"/>
  <c r="I40" i="1159"/>
  <c r="J40" i="1159"/>
  <c r="J43" i="1159"/>
  <c r="I43" i="1159"/>
  <c r="H24" i="1156"/>
  <c r="H23" i="1156"/>
  <c r="M22" i="1156"/>
  <c r="M21" i="1156"/>
  <c r="G20" i="1156"/>
  <c r="N19" i="1156"/>
  <c r="M19" i="1156"/>
  <c r="N18" i="1156"/>
  <c r="M18" i="1156"/>
  <c r="L18" i="1156"/>
  <c r="K18" i="1156"/>
  <c r="J18" i="1156"/>
  <c r="I18" i="1156"/>
  <c r="N17" i="1156"/>
  <c r="M17" i="1156"/>
  <c r="L17" i="1156"/>
  <c r="K17" i="1156"/>
  <c r="J17" i="1156"/>
  <c r="I17" i="1156"/>
  <c r="N16" i="1156"/>
  <c r="M16" i="1156"/>
  <c r="L16" i="1156"/>
  <c r="K16" i="1156"/>
  <c r="I16" i="1156"/>
  <c r="J16" i="1156"/>
  <c r="H11" i="1156"/>
  <c r="H6" i="1156"/>
  <c r="H7" i="1156"/>
  <c r="M7" i="1156"/>
  <c r="L9" i="1156"/>
  <c r="G9" i="1156"/>
  <c r="H154" i="1155"/>
  <c r="H153" i="1155"/>
  <c r="H152" i="1155"/>
  <c r="H151" i="1155"/>
  <c r="H150" i="1155"/>
  <c r="H149" i="1155"/>
  <c r="H148" i="1155"/>
  <c r="K147" i="1155"/>
  <c r="J147" i="1155"/>
  <c r="I147" i="1155"/>
  <c r="H147" i="1155"/>
  <c r="H146" i="1155"/>
  <c r="H145" i="1155"/>
  <c r="H144" i="1155"/>
  <c r="H143" i="1155"/>
  <c r="K142" i="1155"/>
  <c r="J142" i="1155"/>
  <c r="I142" i="1155"/>
  <c r="H142" i="1155"/>
  <c r="H141" i="1155"/>
  <c r="H140" i="1155"/>
  <c r="H139" i="1155"/>
  <c r="H138" i="1155"/>
  <c r="H137" i="1155"/>
  <c r="H136" i="1155"/>
  <c r="K135" i="1155"/>
  <c r="J135" i="1155"/>
  <c r="I135" i="1155"/>
  <c r="H135" i="1155"/>
  <c r="H134" i="1155"/>
  <c r="H133" i="1155"/>
  <c r="I132" i="1155"/>
  <c r="H132" i="1155"/>
  <c r="K131" i="1155"/>
  <c r="K155" i="1155" s="1"/>
  <c r="J131" i="1155"/>
  <c r="J155" i="1155" s="1"/>
  <c r="I131" i="1155"/>
  <c r="I155" i="1155" s="1"/>
  <c r="H131" i="1155"/>
  <c r="I129" i="1155"/>
  <c r="H129" i="1155"/>
  <c r="H128" i="1155"/>
  <c r="H127" i="1155"/>
  <c r="H126" i="1155"/>
  <c r="H125" i="1155"/>
  <c r="H124" i="1155"/>
  <c r="H123" i="1155"/>
  <c r="H122" i="1155"/>
  <c r="I121" i="1155"/>
  <c r="H121" i="1155" s="1"/>
  <c r="I120" i="1155"/>
  <c r="H120" i="1155" s="1"/>
  <c r="I119" i="1155"/>
  <c r="H119" i="1155" s="1"/>
  <c r="I118" i="1155"/>
  <c r="H118" i="1155" s="1"/>
  <c r="K117" i="1155"/>
  <c r="K116" i="1155" s="1"/>
  <c r="I117" i="1155"/>
  <c r="H117" i="1155"/>
  <c r="J116" i="1155"/>
  <c r="I115" i="1155"/>
  <c r="H115" i="1155"/>
  <c r="I114" i="1155"/>
  <c r="H114" i="1155"/>
  <c r="K113" i="1155"/>
  <c r="I113" i="1155"/>
  <c r="H113" i="1155" s="1"/>
  <c r="I112" i="1155"/>
  <c r="H112" i="1155" s="1"/>
  <c r="H111" i="1155"/>
  <c r="H110" i="1155"/>
  <c r="H109" i="1155"/>
  <c r="H108" i="1155"/>
  <c r="H107" i="1155"/>
  <c r="H106" i="1155"/>
  <c r="H105" i="1155"/>
  <c r="H104" i="1155"/>
  <c r="H103" i="1155"/>
  <c r="H102" i="1155"/>
  <c r="I101" i="1155"/>
  <c r="H101" i="1155" s="1"/>
  <c r="I100" i="1155"/>
  <c r="H100" i="1155" s="1"/>
  <c r="I99" i="1155"/>
  <c r="H99" i="1155" s="1"/>
  <c r="K98" i="1155"/>
  <c r="J98" i="1155"/>
  <c r="I98" i="1155"/>
  <c r="H98" i="1155" s="1"/>
  <c r="K97" i="1155"/>
  <c r="J97" i="1155"/>
  <c r="I97" i="1155"/>
  <c r="H97" i="1155" s="1"/>
  <c r="K96" i="1155"/>
  <c r="J96" i="1155"/>
  <c r="I96" i="1155"/>
  <c r="H96" i="1155" s="1"/>
  <c r="K95" i="1155"/>
  <c r="J95" i="1155"/>
  <c r="J130" i="1155" s="1"/>
  <c r="J156" i="1155" s="1"/>
  <c r="I95" i="1155"/>
  <c r="H87" i="1155"/>
  <c r="H86" i="1155"/>
  <c r="H85" i="1155"/>
  <c r="H84" i="1155"/>
  <c r="H83" i="1155"/>
  <c r="H82" i="1155"/>
  <c r="K81" i="1155"/>
  <c r="J81" i="1155"/>
  <c r="I81" i="1155"/>
  <c r="H81" i="1155"/>
  <c r="H80" i="1155"/>
  <c r="H79" i="1155"/>
  <c r="H78" i="1155"/>
  <c r="K77" i="1155"/>
  <c r="J77" i="1155"/>
  <c r="I77" i="1155"/>
  <c r="H77" i="1155" s="1"/>
  <c r="H76" i="1155"/>
  <c r="K75" i="1155"/>
  <c r="J75" i="1155"/>
  <c r="I75" i="1155"/>
  <c r="H75" i="1155"/>
  <c r="K74" i="1155"/>
  <c r="J74" i="1155"/>
  <c r="I74" i="1155"/>
  <c r="H74" i="1155"/>
  <c r="H73" i="1155"/>
  <c r="H72" i="1155"/>
  <c r="H71" i="1155"/>
  <c r="H70" i="1155"/>
  <c r="K69" i="1155"/>
  <c r="J69" i="1155"/>
  <c r="J88" i="1155" s="1"/>
  <c r="I69" i="1155"/>
  <c r="H69" i="1155"/>
  <c r="H68" i="1155"/>
  <c r="H67" i="1155"/>
  <c r="H66" i="1155"/>
  <c r="K65" i="1155"/>
  <c r="K88" i="1155" s="1"/>
  <c r="J65" i="1155"/>
  <c r="I65" i="1155"/>
  <c r="I88" i="1155" s="1"/>
  <c r="H88" i="1155" s="1"/>
  <c r="H63" i="1155"/>
  <c r="H62" i="1155"/>
  <c r="H61" i="1155"/>
  <c r="H60" i="1155"/>
  <c r="K59" i="1155"/>
  <c r="J59" i="1155"/>
  <c r="I59" i="1155"/>
  <c r="H59" i="1155" s="1"/>
  <c r="H58" i="1155"/>
  <c r="I57" i="1155"/>
  <c r="H57" i="1155"/>
  <c r="I56" i="1155"/>
  <c r="H56" i="1155"/>
  <c r="H55" i="1155"/>
  <c r="K54" i="1155"/>
  <c r="J54" i="1155"/>
  <c r="I54" i="1155"/>
  <c r="H54" i="1155" s="1"/>
  <c r="H53" i="1155"/>
  <c r="H52" i="1155"/>
  <c r="H51" i="1155"/>
  <c r="H50" i="1155"/>
  <c r="H49" i="1155"/>
  <c r="K48" i="1155"/>
  <c r="J48" i="1155"/>
  <c r="I48" i="1155"/>
  <c r="H48" i="1155"/>
  <c r="I47" i="1155"/>
  <c r="H47" i="1155"/>
  <c r="H46" i="1155"/>
  <c r="H45" i="1155"/>
  <c r="H44" i="1155"/>
  <c r="H43" i="1155"/>
  <c r="K42" i="1155"/>
  <c r="J42" i="1155"/>
  <c r="I42" i="1155"/>
  <c r="H42" i="1155"/>
  <c r="H41" i="1155"/>
  <c r="H40" i="1155"/>
  <c r="I39" i="1155"/>
  <c r="H39" i="1155"/>
  <c r="K38" i="1155"/>
  <c r="J38" i="1155"/>
  <c r="J36" i="1155" s="1"/>
  <c r="I38" i="1155"/>
  <c r="H38" i="1155"/>
  <c r="H37" i="1155"/>
  <c r="K36" i="1155"/>
  <c r="I36" i="1155"/>
  <c r="I35" i="1155"/>
  <c r="H35" i="1155" s="1"/>
  <c r="I34" i="1155"/>
  <c r="H34" i="1155" s="1"/>
  <c r="H33" i="1155"/>
  <c r="H32" i="1155"/>
  <c r="H31" i="1155"/>
  <c r="I30" i="1155"/>
  <c r="H30" i="1155"/>
  <c r="I29" i="1155"/>
  <c r="H29" i="1155"/>
  <c r="K28" i="1155"/>
  <c r="J28" i="1155"/>
  <c r="I27" i="1155"/>
  <c r="H27" i="1155"/>
  <c r="I26" i="1155"/>
  <c r="H26" i="1155"/>
  <c r="H25" i="1155"/>
  <c r="H24" i="1155"/>
  <c r="H23" i="1155"/>
  <c r="H22" i="1155"/>
  <c r="K21" i="1155"/>
  <c r="J21" i="1155"/>
  <c r="I21" i="1155"/>
  <c r="H21" i="1155"/>
  <c r="H20" i="1155"/>
  <c r="J19" i="1155"/>
  <c r="I19" i="1155"/>
  <c r="H19" i="1155"/>
  <c r="H18" i="1155"/>
  <c r="H17" i="1155"/>
  <c r="H16" i="1155"/>
  <c r="H15" i="1155"/>
  <c r="K14" i="1155"/>
  <c r="J14" i="1155"/>
  <c r="I14" i="1155"/>
  <c r="H14" i="1155"/>
  <c r="H13" i="1155"/>
  <c r="I12" i="1155"/>
  <c r="H12" i="1155" s="1"/>
  <c r="I11" i="1155"/>
  <c r="H11" i="1155" s="1"/>
  <c r="I10" i="1155"/>
  <c r="H10" i="1155" s="1"/>
  <c r="H9" i="1155"/>
  <c r="H8" i="1155"/>
  <c r="K7" i="1155"/>
  <c r="K64" i="1155" s="1"/>
  <c r="K89" i="1155" s="1"/>
  <c r="J7" i="1155"/>
  <c r="J64" i="1155" s="1"/>
  <c r="J89" i="1155" s="1"/>
  <c r="I7" i="1155"/>
  <c r="H7" i="1155" s="1"/>
  <c r="D27" i="1154"/>
  <c r="D15" i="1154"/>
  <c r="C119" i="1136"/>
  <c r="C119" i="1135"/>
  <c r="C127" i="1135"/>
  <c r="C114" i="1135"/>
  <c r="K16" i="1176"/>
  <c r="K15" i="1176"/>
  <c r="H16" i="1176"/>
  <c r="C41" i="1138"/>
  <c r="I16" i="1176"/>
  <c r="G15" i="1176"/>
  <c r="C15" i="1176"/>
  <c r="B15" i="1176"/>
  <c r="J14" i="1176"/>
  <c r="G14" i="1176"/>
  <c r="K14" i="1176" s="1"/>
  <c r="C14" i="1176" s="1"/>
  <c r="B14" i="1176"/>
  <c r="D14" i="1176" s="1"/>
  <c r="J13" i="1176"/>
  <c r="G13" i="1176"/>
  <c r="F13" i="1176"/>
  <c r="E13" i="1176"/>
  <c r="K13" i="1176" s="1"/>
  <c r="C13" i="1176" s="1"/>
  <c r="B13" i="1176"/>
  <c r="B16" i="1176" s="1"/>
  <c r="G12" i="1176"/>
  <c r="F12" i="1176"/>
  <c r="E12" i="1176"/>
  <c r="K12" i="1176" s="1"/>
  <c r="C12" i="1176" s="1"/>
  <c r="D12" i="1176" s="1"/>
  <c r="J11" i="1176"/>
  <c r="G11" i="1176"/>
  <c r="F11" i="1176"/>
  <c r="E11" i="1176"/>
  <c r="K11" i="1176" s="1"/>
  <c r="C11" i="1176" s="1"/>
  <c r="D11" i="1176" s="1"/>
  <c r="J10" i="1176"/>
  <c r="J16" i="1176" s="1"/>
  <c r="G10" i="1176"/>
  <c r="G16" i="1176" s="1"/>
  <c r="F10" i="1176"/>
  <c r="F16" i="1176" s="1"/>
  <c r="E10" i="1176"/>
  <c r="E16" i="1176" s="1"/>
  <c r="C52" i="1174"/>
  <c r="C51" i="1174" s="1"/>
  <c r="C48" i="1174"/>
  <c r="C45" i="1174" s="1"/>
  <c r="C57" i="1174" s="1"/>
  <c r="C40" i="1174"/>
  <c r="C37" i="1174"/>
  <c r="C30" i="1174"/>
  <c r="C26" i="1174"/>
  <c r="C20" i="1174"/>
  <c r="C8" i="1174"/>
  <c r="C36" i="1174" s="1"/>
  <c r="C41" i="1174" s="1"/>
  <c r="C52" i="1173"/>
  <c r="C51" i="1173"/>
  <c r="C48" i="1173"/>
  <c r="C45" i="1173"/>
  <c r="C57" i="1173" s="1"/>
  <c r="C40" i="1173"/>
  <c r="C37" i="1173" s="1"/>
  <c r="C30" i="1173"/>
  <c r="C26" i="1173"/>
  <c r="C20" i="1173"/>
  <c r="C8" i="1173"/>
  <c r="C36" i="1173" s="1"/>
  <c r="C41" i="1173" s="1"/>
  <c r="C52" i="1171"/>
  <c r="C51" i="1171" s="1"/>
  <c r="C48" i="1171"/>
  <c r="C47" i="1171"/>
  <c r="C46" i="1171"/>
  <c r="C45" i="1171" s="1"/>
  <c r="C57" i="1171" s="1"/>
  <c r="C40" i="1171"/>
  <c r="C37" i="1171"/>
  <c r="C30" i="1171"/>
  <c r="C26" i="1171"/>
  <c r="C23" i="1171"/>
  <c r="C20" i="1171" s="1"/>
  <c r="C8" i="1171"/>
  <c r="C36" i="1171" s="1"/>
  <c r="C41" i="1171" s="1"/>
  <c r="C52" i="1170"/>
  <c r="C51" i="1170" s="1"/>
  <c r="C48" i="1170"/>
  <c r="C47" i="1170"/>
  <c r="C46" i="1170"/>
  <c r="C45" i="1170" s="1"/>
  <c r="C57" i="1170" s="1"/>
  <c r="C40" i="1170"/>
  <c r="C38" i="1170"/>
  <c r="C37" i="1170" s="1"/>
  <c r="C30" i="1170"/>
  <c r="C26" i="1170"/>
  <c r="C20" i="1170"/>
  <c r="C8" i="1170"/>
  <c r="C36" i="1170" s="1"/>
  <c r="C41" i="1170" s="1"/>
  <c r="C52" i="1169"/>
  <c r="C51" i="1169" s="1"/>
  <c r="C48" i="1169"/>
  <c r="C47" i="1169"/>
  <c r="C46" i="1169"/>
  <c r="C45" i="1169" s="1"/>
  <c r="C57" i="1169" s="1"/>
  <c r="C40" i="1169"/>
  <c r="C38" i="1169"/>
  <c r="C37" i="1169" s="1"/>
  <c r="C30" i="1169"/>
  <c r="C26" i="1169"/>
  <c r="C23" i="1169"/>
  <c r="C20" i="1169"/>
  <c r="C14" i="1169"/>
  <c r="C10" i="1169"/>
  <c r="C8" i="1169" s="1"/>
  <c r="C36" i="1169" s="1"/>
  <c r="C41" i="1169" s="1"/>
  <c r="C59" i="1167"/>
  <c r="C52" i="1167"/>
  <c r="C51" i="1167" s="1"/>
  <c r="C48" i="1167"/>
  <c r="C47" i="1167"/>
  <c r="C46" i="1167"/>
  <c r="C45" i="1167" s="1"/>
  <c r="C57" i="1167" s="1"/>
  <c r="C40" i="1167"/>
  <c r="C37" i="1167"/>
  <c r="C30" i="1167"/>
  <c r="C26" i="1167"/>
  <c r="C20" i="1167"/>
  <c r="C8" i="1167"/>
  <c r="C36" i="1167" s="1"/>
  <c r="C41" i="1167" s="1"/>
  <c r="C59" i="1166"/>
  <c r="C52" i="1166"/>
  <c r="C51" i="1166" s="1"/>
  <c r="C48" i="1166"/>
  <c r="C47" i="1166"/>
  <c r="C46" i="1166"/>
  <c r="C45" i="1166" s="1"/>
  <c r="C40" i="1166"/>
  <c r="C37" i="1166"/>
  <c r="C30" i="1166"/>
  <c r="C26" i="1166"/>
  <c r="C20" i="1166"/>
  <c r="C8" i="1166"/>
  <c r="C36" i="1166" s="1"/>
  <c r="C41" i="1166" s="1"/>
  <c r="C51" i="1164"/>
  <c r="C48" i="1164"/>
  <c r="C47" i="1164"/>
  <c r="C46" i="1164"/>
  <c r="C45" i="1164"/>
  <c r="C57" i="1164" s="1"/>
  <c r="C40" i="1164"/>
  <c r="C37" i="1164" s="1"/>
  <c r="C30" i="1164"/>
  <c r="C26" i="1164"/>
  <c r="C20" i="1164"/>
  <c r="C9" i="1164"/>
  <c r="C8" i="1164" s="1"/>
  <c r="C36" i="1164" s="1"/>
  <c r="C41" i="1164" s="1"/>
  <c r="C51" i="1163"/>
  <c r="C48" i="1163"/>
  <c r="C47" i="1163"/>
  <c r="C46" i="1163"/>
  <c r="C45" i="1163" s="1"/>
  <c r="C57" i="1163" s="1"/>
  <c r="C40" i="1163"/>
  <c r="C37" i="1163"/>
  <c r="C30" i="1163"/>
  <c r="C26" i="1163"/>
  <c r="C20" i="1163"/>
  <c r="C9" i="1163"/>
  <c r="C8" i="1163"/>
  <c r="C36" i="1163" s="1"/>
  <c r="C41" i="1163" s="1"/>
  <c r="C52" i="1161"/>
  <c r="C51" i="1161"/>
  <c r="C48" i="1161"/>
  <c r="C47" i="1161"/>
  <c r="C46" i="1161"/>
  <c r="C45" i="1161"/>
  <c r="C57" i="1161" s="1"/>
  <c r="C40" i="1161"/>
  <c r="C37" i="1161" s="1"/>
  <c r="C30" i="1161"/>
  <c r="C26" i="1161"/>
  <c r="C20" i="1161"/>
  <c r="C8" i="1161"/>
  <c r="C36" i="1161" s="1"/>
  <c r="C41" i="1161" s="1"/>
  <c r="C52" i="1160"/>
  <c r="C51" i="1160" s="1"/>
  <c r="C48" i="1160"/>
  <c r="C47" i="1160"/>
  <c r="C46" i="1160"/>
  <c r="C45" i="1160" s="1"/>
  <c r="C40" i="1160"/>
  <c r="C37" i="1160"/>
  <c r="C30" i="1160"/>
  <c r="C26" i="1160"/>
  <c r="C20" i="1160"/>
  <c r="C8" i="1160"/>
  <c r="C36" i="1160" s="1"/>
  <c r="C41" i="1160" s="1"/>
  <c r="K130" i="1155" l="1"/>
  <c r="K156" i="1155" s="1"/>
  <c r="H155" i="1155"/>
  <c r="H95" i="1155"/>
  <c r="I116" i="1155"/>
  <c r="H116" i="1155" s="1"/>
  <c r="H36" i="1155"/>
  <c r="I64" i="1155"/>
  <c r="I28" i="1155"/>
  <c r="H28" i="1155" s="1"/>
  <c r="H65" i="1155"/>
  <c r="C57" i="1160"/>
  <c r="C57" i="1166"/>
  <c r="D15" i="1176"/>
  <c r="K10" i="1176"/>
  <c r="D13" i="1176"/>
  <c r="I130" i="1155" l="1"/>
  <c r="I89" i="1155"/>
  <c r="H89" i="1155" s="1"/>
  <c r="H64" i="1155"/>
  <c r="C10" i="1176"/>
  <c r="I156" i="1155" l="1"/>
  <c r="H156" i="1155" s="1"/>
  <c r="H130" i="1155"/>
  <c r="D10" i="1176"/>
  <c r="D16" i="1176" s="1"/>
  <c r="C16" i="1176"/>
  <c r="C48" i="1140" l="1"/>
  <c r="C47" i="1140"/>
  <c r="C51" i="1139"/>
  <c r="C51" i="1138"/>
  <c r="C48" i="1138"/>
  <c r="C47" i="1138"/>
  <c r="E9" i="1138"/>
  <c r="E10" i="1138"/>
  <c r="E11" i="1138"/>
  <c r="E12" i="1138"/>
  <c r="E13" i="1138"/>
  <c r="E14" i="1138"/>
  <c r="E15" i="1138"/>
  <c r="E16" i="1138"/>
  <c r="E17" i="1138"/>
  <c r="E18" i="1138"/>
  <c r="E19" i="1138"/>
  <c r="E20" i="1138"/>
  <c r="E21" i="1138"/>
  <c r="E22" i="1138"/>
  <c r="E23" i="1138"/>
  <c r="E24" i="1138"/>
  <c r="E25" i="1138"/>
  <c r="E26" i="1138"/>
  <c r="E27" i="1138"/>
  <c r="E28" i="1138"/>
  <c r="E29" i="1138"/>
  <c r="E30" i="1138"/>
  <c r="E31" i="1138"/>
  <c r="E32" i="1138"/>
  <c r="E33" i="1138"/>
  <c r="E34" i="1138"/>
  <c r="E35" i="1138"/>
  <c r="E36" i="1138"/>
  <c r="E37" i="1138"/>
  <c r="E38" i="1138"/>
  <c r="E39" i="1138"/>
  <c r="E40" i="1138"/>
  <c r="E41" i="1138"/>
  <c r="E42" i="1138"/>
  <c r="E43" i="1138"/>
  <c r="E44" i="1138"/>
  <c r="E45" i="1138"/>
  <c r="E47" i="1138"/>
  <c r="E48" i="1138"/>
  <c r="E49" i="1138"/>
  <c r="E50" i="1138"/>
  <c r="E51" i="1138"/>
  <c r="E52" i="1138"/>
  <c r="E53" i="1138"/>
  <c r="E54" i="1138"/>
  <c r="E55" i="1138"/>
  <c r="E56" i="1138"/>
  <c r="E57" i="1138"/>
  <c r="E59" i="1138"/>
  <c r="E60" i="1138"/>
  <c r="E61" i="1138"/>
  <c r="E8" i="1138"/>
  <c r="C127" i="1136"/>
  <c r="C118" i="1136"/>
  <c r="D118" i="1135" s="1"/>
  <c r="C117" i="1136"/>
  <c r="C116" i="1136"/>
  <c r="C115" i="1136"/>
  <c r="C113" i="1136"/>
  <c r="C112" i="1136"/>
  <c r="C97" i="1136"/>
  <c r="C96" i="1136"/>
  <c r="D96" i="1135" s="1"/>
  <c r="C95" i="1136"/>
  <c r="C94" i="1136"/>
  <c r="C118" i="1135"/>
  <c r="C117" i="1135"/>
  <c r="C116" i="1135"/>
  <c r="C115" i="1135"/>
  <c r="C113" i="1135"/>
  <c r="C112" i="1135"/>
  <c r="C97" i="1135"/>
  <c r="C96" i="1135"/>
  <c r="C95" i="1135"/>
  <c r="C94" i="1135"/>
  <c r="C48" i="1136"/>
  <c r="C28" i="1136"/>
  <c r="C27" i="1136"/>
  <c r="C20" i="1136"/>
  <c r="C48" i="1135"/>
  <c r="C28" i="1135"/>
  <c r="C27" i="1135"/>
  <c r="C20" i="1135"/>
  <c r="D9" i="1135"/>
  <c r="D10" i="1135"/>
  <c r="D11" i="1135"/>
  <c r="D12" i="1135"/>
  <c r="D13" i="1135"/>
  <c r="D14" i="1135"/>
  <c r="D16" i="1135"/>
  <c r="D17" i="1135"/>
  <c r="D18" i="1135"/>
  <c r="D19" i="1135"/>
  <c r="D20" i="1135"/>
  <c r="D21" i="1135"/>
  <c r="D23" i="1135"/>
  <c r="D24" i="1135"/>
  <c r="D25" i="1135"/>
  <c r="D26" i="1135"/>
  <c r="D27" i="1135"/>
  <c r="D28" i="1135"/>
  <c r="D29" i="1135"/>
  <c r="D30" i="1135"/>
  <c r="D31" i="1135"/>
  <c r="D32" i="1135"/>
  <c r="D33" i="1135"/>
  <c r="D34" i="1135"/>
  <c r="D35" i="1135"/>
  <c r="D36" i="1135"/>
  <c r="D38" i="1135"/>
  <c r="D39" i="1135"/>
  <c r="D40" i="1135"/>
  <c r="D41" i="1135"/>
  <c r="D42" i="1135"/>
  <c r="D43" i="1135"/>
  <c r="D44" i="1135"/>
  <c r="D45" i="1135"/>
  <c r="D46" i="1135"/>
  <c r="D47" i="1135"/>
  <c r="D48" i="1135"/>
  <c r="D49" i="1135"/>
  <c r="D50" i="1135"/>
  <c r="D51" i="1135"/>
  <c r="D52" i="1135"/>
  <c r="D53" i="1135"/>
  <c r="D54" i="1135"/>
  <c r="D55" i="1135"/>
  <c r="D56" i="1135"/>
  <c r="D57" i="1135"/>
  <c r="D58" i="1135"/>
  <c r="D59" i="1135"/>
  <c r="D60" i="1135"/>
  <c r="D61" i="1135"/>
  <c r="D62" i="1135"/>
  <c r="D63" i="1135"/>
  <c r="D64" i="1135"/>
  <c r="D66" i="1135"/>
  <c r="D67" i="1135"/>
  <c r="D68" i="1135"/>
  <c r="D69" i="1135"/>
  <c r="D70" i="1135"/>
  <c r="D71" i="1135"/>
  <c r="D72" i="1135"/>
  <c r="D73" i="1135"/>
  <c r="D74" i="1135"/>
  <c r="D75" i="1135"/>
  <c r="D76" i="1135"/>
  <c r="D77" i="1135"/>
  <c r="D78" i="1135"/>
  <c r="D79" i="1135"/>
  <c r="D80" i="1135"/>
  <c r="D81" i="1135"/>
  <c r="D82" i="1135"/>
  <c r="D83" i="1135"/>
  <c r="D84" i="1135"/>
  <c r="D85" i="1135"/>
  <c r="D86" i="1135"/>
  <c r="D87" i="1135"/>
  <c r="D88" i="1135"/>
  <c r="D89" i="1135"/>
  <c r="D91" i="1135"/>
  <c r="D92" i="1135"/>
  <c r="D94" i="1135"/>
  <c r="D95" i="1135"/>
  <c r="D97" i="1135"/>
  <c r="D98" i="1135"/>
  <c r="D99" i="1135"/>
  <c r="D100" i="1135"/>
  <c r="D101" i="1135"/>
  <c r="D102" i="1135"/>
  <c r="D103" i="1135"/>
  <c r="D104" i="1135"/>
  <c r="D105" i="1135"/>
  <c r="D106" i="1135"/>
  <c r="D107" i="1135"/>
  <c r="D108" i="1135"/>
  <c r="D109" i="1135"/>
  <c r="D110" i="1135"/>
  <c r="D112" i="1135"/>
  <c r="D113" i="1135"/>
  <c r="D115" i="1135"/>
  <c r="D116" i="1135"/>
  <c r="D117" i="1135"/>
  <c r="D119" i="1135"/>
  <c r="D120" i="1135"/>
  <c r="D121" i="1135"/>
  <c r="D122" i="1135"/>
  <c r="D123" i="1135"/>
  <c r="D124" i="1135"/>
  <c r="D125" i="1135"/>
  <c r="D126" i="1135"/>
  <c r="D127" i="1135"/>
  <c r="D129" i="1135"/>
  <c r="D130" i="1135"/>
  <c r="D131" i="1135"/>
  <c r="D132" i="1135"/>
  <c r="D133" i="1135"/>
  <c r="D134" i="1135"/>
  <c r="D135" i="1135"/>
  <c r="D136" i="1135"/>
  <c r="D137" i="1135"/>
  <c r="D138" i="1135"/>
  <c r="D139" i="1135"/>
  <c r="D140" i="1135"/>
  <c r="D141" i="1135"/>
  <c r="D142" i="1135"/>
  <c r="D143" i="1135"/>
  <c r="D144" i="1135"/>
  <c r="D145" i="1135"/>
  <c r="D146" i="1135"/>
  <c r="D147" i="1135"/>
  <c r="D148" i="1135"/>
  <c r="D149" i="1135"/>
  <c r="D150" i="1135"/>
  <c r="D151" i="1135"/>
  <c r="D152" i="1135"/>
  <c r="D153" i="1135"/>
  <c r="D154" i="1135"/>
  <c r="D156" i="1135"/>
  <c r="D157" i="1135"/>
  <c r="D158" i="1135"/>
  <c r="D8" i="1135"/>
  <c r="C38" i="1083" l="1"/>
  <c r="E33" i="1133"/>
  <c r="F14" i="1133"/>
  <c r="E92" i="1132"/>
  <c r="F26" i="1132"/>
  <c r="F40" i="1132"/>
  <c r="B77" i="1132"/>
  <c r="F77" i="1132" s="1"/>
  <c r="D92" i="1132"/>
  <c r="B92" i="1132"/>
  <c r="D96" i="1128" l="1"/>
  <c r="D95" i="1128"/>
  <c r="D95" i="1127"/>
  <c r="D96" i="1126"/>
  <c r="D119" i="1127"/>
  <c r="C95" i="1129"/>
  <c r="C94" i="1129"/>
  <c r="D115" i="1128"/>
  <c r="D94" i="1128"/>
  <c r="D127" i="1127"/>
  <c r="D118" i="1127"/>
  <c r="D117" i="1127"/>
  <c r="D116" i="1127"/>
  <c r="D115" i="1127"/>
  <c r="D113" i="1127"/>
  <c r="D112" i="1127"/>
  <c r="D98" i="1127"/>
  <c r="C98" i="1127"/>
  <c r="D99" i="1127"/>
  <c r="D97" i="1127"/>
  <c r="D96" i="1127"/>
  <c r="D94" i="1127"/>
  <c r="H6" i="1126" l="1"/>
  <c r="H7" i="1126"/>
  <c r="H8" i="1126"/>
  <c r="H9" i="1126"/>
  <c r="H10" i="1126"/>
  <c r="H11" i="1126"/>
  <c r="H12" i="1126"/>
  <c r="H13" i="1126"/>
  <c r="H14" i="1126"/>
  <c r="H15" i="1126"/>
  <c r="H16" i="1126"/>
  <c r="H17" i="1126"/>
  <c r="H18" i="1126"/>
  <c r="H19" i="1126"/>
  <c r="H20" i="1126"/>
  <c r="H21" i="1126"/>
  <c r="H22" i="1126"/>
  <c r="H23" i="1126"/>
  <c r="H24" i="1126"/>
  <c r="H25" i="1126"/>
  <c r="H26" i="1126"/>
  <c r="H27" i="1126"/>
  <c r="H28" i="1126"/>
  <c r="H29" i="1126"/>
  <c r="H30" i="1126"/>
  <c r="H31" i="1126"/>
  <c r="H32" i="1126"/>
  <c r="H33" i="1126"/>
  <c r="H34" i="1126"/>
  <c r="H35" i="1126"/>
  <c r="H36" i="1126"/>
  <c r="H37" i="1126"/>
  <c r="H38" i="1126"/>
  <c r="H39" i="1126"/>
  <c r="H40" i="1126"/>
  <c r="H41" i="1126"/>
  <c r="H42" i="1126"/>
  <c r="H43" i="1126"/>
  <c r="H44" i="1126"/>
  <c r="H45" i="1126"/>
  <c r="H46" i="1126"/>
  <c r="H47" i="1126"/>
  <c r="H48" i="1126"/>
  <c r="H49" i="1126"/>
  <c r="H50" i="1126"/>
  <c r="H51" i="1126"/>
  <c r="H52" i="1126"/>
  <c r="H53" i="1126"/>
  <c r="H54" i="1126"/>
  <c r="H55" i="1126"/>
  <c r="H56" i="1126"/>
  <c r="H57" i="1126"/>
  <c r="H58" i="1126"/>
  <c r="H59" i="1126"/>
  <c r="H60" i="1126"/>
  <c r="H61" i="1126"/>
  <c r="H62" i="1126"/>
  <c r="H63" i="1126"/>
  <c r="H64" i="1126"/>
  <c r="H65" i="1126"/>
  <c r="H66" i="1126"/>
  <c r="H67" i="1126"/>
  <c r="H68" i="1126"/>
  <c r="H69" i="1126"/>
  <c r="H70" i="1126"/>
  <c r="H71" i="1126"/>
  <c r="H72" i="1126"/>
  <c r="H73" i="1126"/>
  <c r="H74" i="1126"/>
  <c r="H75" i="1126"/>
  <c r="H76" i="1126"/>
  <c r="H77" i="1126"/>
  <c r="H78" i="1126"/>
  <c r="H79" i="1126"/>
  <c r="H80" i="1126"/>
  <c r="H81" i="1126"/>
  <c r="H82" i="1126"/>
  <c r="H83" i="1126"/>
  <c r="H84" i="1126"/>
  <c r="H85" i="1126"/>
  <c r="H86" i="1126"/>
  <c r="H87" i="1126"/>
  <c r="H88" i="1126"/>
  <c r="H89" i="1126"/>
  <c r="H90" i="1126"/>
  <c r="H91" i="1126"/>
  <c r="H92" i="1126"/>
  <c r="H98" i="1126"/>
  <c r="H100" i="1126"/>
  <c r="H101" i="1126"/>
  <c r="H102" i="1126"/>
  <c r="H103" i="1126"/>
  <c r="H104" i="1126"/>
  <c r="H105" i="1126"/>
  <c r="H106" i="1126"/>
  <c r="H107" i="1126"/>
  <c r="H108" i="1126"/>
  <c r="H109" i="1126"/>
  <c r="H110" i="1126"/>
  <c r="H120" i="1126"/>
  <c r="H121" i="1126"/>
  <c r="H122" i="1126"/>
  <c r="H123" i="1126"/>
  <c r="H124" i="1126"/>
  <c r="H125" i="1126"/>
  <c r="H126" i="1126"/>
  <c r="H129" i="1126"/>
  <c r="H130" i="1126"/>
  <c r="H131" i="1126"/>
  <c r="H132" i="1126"/>
  <c r="H133" i="1126"/>
  <c r="H134" i="1126"/>
  <c r="H135" i="1126"/>
  <c r="H136" i="1126"/>
  <c r="H137" i="1126"/>
  <c r="H138" i="1126"/>
  <c r="H139" i="1126"/>
  <c r="H140" i="1126"/>
  <c r="H141" i="1126"/>
  <c r="H142" i="1126"/>
  <c r="H143" i="1126"/>
  <c r="H144" i="1126"/>
  <c r="H145" i="1126"/>
  <c r="H146" i="1126"/>
  <c r="H147" i="1126"/>
  <c r="H148" i="1126"/>
  <c r="H149" i="1126"/>
  <c r="H150" i="1126"/>
  <c r="H151" i="1126"/>
  <c r="H152" i="1126"/>
  <c r="H153" i="1126"/>
  <c r="H5" i="1126"/>
  <c r="D45" i="1128"/>
  <c r="D17" i="1128"/>
  <c r="D55" i="1127"/>
  <c r="D45" i="1127"/>
  <c r="D25" i="1127"/>
  <c r="D24" i="1127"/>
  <c r="D17" i="1127"/>
  <c r="D119" i="1126" l="1"/>
  <c r="C119" i="1126" s="1"/>
  <c r="D127" i="1126"/>
  <c r="D118" i="1126"/>
  <c r="D117" i="1126"/>
  <c r="D116" i="1126"/>
  <c r="D115" i="1126"/>
  <c r="D113" i="1126"/>
  <c r="D112" i="1126"/>
  <c r="D98" i="1126"/>
  <c r="D99" i="1126"/>
  <c r="D97" i="1126"/>
  <c r="D95" i="1126"/>
  <c r="D94" i="1126"/>
  <c r="D55" i="1126"/>
  <c r="D45" i="1126"/>
  <c r="D25" i="1126"/>
  <c r="D24" i="1126"/>
  <c r="D17" i="1126"/>
  <c r="N53" i="1159" l="1"/>
  <c r="N51" i="1159"/>
  <c r="G51" i="1159"/>
  <c r="N50" i="1159"/>
  <c r="I50" i="1159"/>
  <c r="G50" i="1159"/>
  <c r="N49" i="1159"/>
  <c r="G49" i="1159"/>
  <c r="N48" i="1159"/>
  <c r="G48" i="1159"/>
  <c r="I47" i="1159"/>
  <c r="N47" i="1159" s="1"/>
  <c r="G47" i="1159"/>
  <c r="N46" i="1159"/>
  <c r="G46" i="1159"/>
  <c r="J45" i="1159"/>
  <c r="I45" i="1159"/>
  <c r="N45" i="1159" s="1"/>
  <c r="B45" i="1159"/>
  <c r="G45" i="1159" s="1"/>
  <c r="J44" i="1159"/>
  <c r="I44" i="1159"/>
  <c r="N44" i="1159" s="1"/>
  <c r="G44" i="1159"/>
  <c r="C44" i="1159"/>
  <c r="N43" i="1159"/>
  <c r="G43" i="1159"/>
  <c r="N42" i="1159"/>
  <c r="G42" i="1159"/>
  <c r="N41" i="1159"/>
  <c r="G41" i="1159"/>
  <c r="N40" i="1159"/>
  <c r="G40" i="1159"/>
  <c r="N39" i="1159"/>
  <c r="G39" i="1159"/>
  <c r="N38" i="1159"/>
  <c r="G38" i="1159"/>
  <c r="N37" i="1159"/>
  <c r="I37" i="1159"/>
  <c r="G37" i="1159"/>
  <c r="N36" i="1159"/>
  <c r="G36" i="1159"/>
  <c r="J35" i="1159"/>
  <c r="I35" i="1159"/>
  <c r="N35" i="1159" s="1"/>
  <c r="G35" i="1159"/>
  <c r="N34" i="1159"/>
  <c r="G34" i="1159"/>
  <c r="N33" i="1159"/>
  <c r="G33" i="1159"/>
  <c r="F33" i="1159"/>
  <c r="L32" i="1159"/>
  <c r="I32" i="1159"/>
  <c r="N32" i="1159" s="1"/>
  <c r="G32" i="1159"/>
  <c r="G31" i="1159"/>
  <c r="N30" i="1159"/>
  <c r="G30" i="1159"/>
  <c r="B30" i="1159"/>
  <c r="N29" i="1159"/>
  <c r="B29" i="1159"/>
  <c r="G29" i="1159" s="1"/>
  <c r="G28" i="1159" s="1"/>
  <c r="M28" i="1159"/>
  <c r="M52" i="1159" s="1"/>
  <c r="M54" i="1159" s="1"/>
  <c r="L28" i="1159"/>
  <c r="L52" i="1159" s="1"/>
  <c r="L54" i="1159" s="1"/>
  <c r="K28" i="1159"/>
  <c r="J28" i="1159"/>
  <c r="I28" i="1159"/>
  <c r="N28" i="1159" s="1"/>
  <c r="F28" i="1159"/>
  <c r="F52" i="1159" s="1"/>
  <c r="F54" i="1159" s="1"/>
  <c r="E28" i="1159"/>
  <c r="E52" i="1159" s="1"/>
  <c r="E54" i="1159" s="1"/>
  <c r="D28" i="1159"/>
  <c r="C28" i="1159"/>
  <c r="B28" i="1159"/>
  <c r="J27" i="1159"/>
  <c r="J52" i="1159" s="1"/>
  <c r="J54" i="1159" s="1"/>
  <c r="N27" i="1159"/>
  <c r="G27" i="1159"/>
  <c r="B27" i="1159"/>
  <c r="N26" i="1159"/>
  <c r="G26" i="1159"/>
  <c r="N25" i="1159"/>
  <c r="G25" i="1159"/>
  <c r="N24" i="1159"/>
  <c r="J24" i="1159"/>
  <c r="G24" i="1159"/>
  <c r="N23" i="1159"/>
  <c r="G23" i="1159"/>
  <c r="N22" i="1159"/>
  <c r="G22" i="1159"/>
  <c r="N21" i="1159"/>
  <c r="G21" i="1159"/>
  <c r="D21" i="1159"/>
  <c r="N20" i="1159"/>
  <c r="K20" i="1159"/>
  <c r="K52" i="1159" s="1"/>
  <c r="K54" i="1159" s="1"/>
  <c r="G20" i="1159"/>
  <c r="D20" i="1159"/>
  <c r="D52" i="1159" s="1"/>
  <c r="D54" i="1159" s="1"/>
  <c r="C20" i="1159"/>
  <c r="B20" i="1159"/>
  <c r="N19" i="1159"/>
  <c r="G19" i="1159"/>
  <c r="N18" i="1159"/>
  <c r="I52" i="1159"/>
  <c r="I54" i="1159" s="1"/>
  <c r="G18" i="1159"/>
  <c r="B18" i="1159"/>
  <c r="B52" i="1159" s="1"/>
  <c r="B54" i="1159" s="1"/>
  <c r="N17" i="1159"/>
  <c r="G17" i="1159"/>
  <c r="N16" i="1159"/>
  <c r="G16" i="1159"/>
  <c r="N15" i="1159"/>
  <c r="G15" i="1159"/>
  <c r="N14" i="1159"/>
  <c r="G14" i="1159"/>
  <c r="N13" i="1159"/>
  <c r="H13" i="1159"/>
  <c r="H52" i="1159" s="1"/>
  <c r="H54" i="1159" s="1"/>
  <c r="G13" i="1159"/>
  <c r="N12" i="1159"/>
  <c r="C12" i="1159"/>
  <c r="C52" i="1159" s="1"/>
  <c r="C54" i="1159" s="1"/>
  <c r="N11" i="1159"/>
  <c r="G11" i="1159"/>
  <c r="N10" i="1159"/>
  <c r="G10" i="1159"/>
  <c r="N9" i="1159"/>
  <c r="G9" i="1159"/>
  <c r="R26" i="1156"/>
  <c r="M26" i="1156"/>
  <c r="L26" i="1156"/>
  <c r="K26" i="1156"/>
  <c r="J26" i="1156"/>
  <c r="H26" i="1156"/>
  <c r="C26" i="1156"/>
  <c r="O25" i="1156"/>
  <c r="S25" i="1156" s="1"/>
  <c r="O24" i="1156"/>
  <c r="S24" i="1156" s="1"/>
  <c r="O23" i="1156"/>
  <c r="S23" i="1156" s="1"/>
  <c r="I23" i="1156"/>
  <c r="I26" i="1156" s="1"/>
  <c r="O22" i="1156"/>
  <c r="S22" i="1156" s="1"/>
  <c r="F21" i="1156"/>
  <c r="O21" i="1156" s="1"/>
  <c r="S21" i="1156" s="1"/>
  <c r="O20" i="1156"/>
  <c r="S20" i="1156" s="1"/>
  <c r="O19" i="1156"/>
  <c r="S19" i="1156" s="1"/>
  <c r="G18" i="1156"/>
  <c r="G26" i="1156" s="1"/>
  <c r="F18" i="1156"/>
  <c r="O18" i="1156" s="1"/>
  <c r="S18" i="1156" s="1"/>
  <c r="N26" i="1156"/>
  <c r="F17" i="1156"/>
  <c r="O17" i="1156" s="1"/>
  <c r="S17" i="1156" s="1"/>
  <c r="D17" i="1156"/>
  <c r="F16" i="1156"/>
  <c r="F26" i="1156" s="1"/>
  <c r="E16" i="1156"/>
  <c r="E26" i="1156" s="1"/>
  <c r="D16" i="1156"/>
  <c r="D26" i="1156" s="1"/>
  <c r="S15" i="1156"/>
  <c r="R14" i="1156"/>
  <c r="M14" i="1156"/>
  <c r="M27" i="1156" s="1"/>
  <c r="L14" i="1156"/>
  <c r="K14" i="1156"/>
  <c r="K27" i="1156" s="1"/>
  <c r="J14" i="1156"/>
  <c r="I14" i="1156"/>
  <c r="I27" i="1156" s="1"/>
  <c r="H14" i="1156"/>
  <c r="H27" i="1156" s="1"/>
  <c r="G14" i="1156"/>
  <c r="G27" i="1156" s="1"/>
  <c r="D14" i="1156"/>
  <c r="D27" i="1156" s="1"/>
  <c r="C14" i="1156"/>
  <c r="C27" i="1156" s="1"/>
  <c r="O13" i="1156"/>
  <c r="S13" i="1156" s="1"/>
  <c r="C13" i="1156"/>
  <c r="S12" i="1156"/>
  <c r="O12" i="1156"/>
  <c r="O11" i="1156"/>
  <c r="S11" i="1156" s="1"/>
  <c r="S10" i="1156"/>
  <c r="O10" i="1156"/>
  <c r="O9" i="1156"/>
  <c r="S9" i="1156" s="1"/>
  <c r="S8" i="1156"/>
  <c r="O8" i="1156"/>
  <c r="O7" i="1156"/>
  <c r="S7" i="1156" s="1"/>
  <c r="F6" i="1156"/>
  <c r="F14" i="1156" s="1"/>
  <c r="F27" i="1156" s="1"/>
  <c r="N5" i="1156"/>
  <c r="N14" i="1156" s="1"/>
  <c r="E5" i="1156"/>
  <c r="E14" i="1156" s="1"/>
  <c r="E27" i="1156" s="1"/>
  <c r="D154" i="1155"/>
  <c r="D153" i="1155"/>
  <c r="D152" i="1155"/>
  <c r="D151" i="1155"/>
  <c r="D150" i="1155"/>
  <c r="D149" i="1155"/>
  <c r="D148" i="1155"/>
  <c r="G147" i="1155"/>
  <c r="F147" i="1155"/>
  <c r="E147" i="1155"/>
  <c r="D147" i="1155"/>
  <c r="C147" i="1155"/>
  <c r="C155" i="1155" s="1"/>
  <c r="D146" i="1155"/>
  <c r="D145" i="1155"/>
  <c r="E144" i="1155"/>
  <c r="D144" i="1155" s="1"/>
  <c r="D142" i="1155" s="1"/>
  <c r="D155" i="1155" s="1"/>
  <c r="D143" i="1155"/>
  <c r="G142" i="1155"/>
  <c r="F142" i="1155"/>
  <c r="E142" i="1155"/>
  <c r="C142" i="1155"/>
  <c r="D141" i="1155"/>
  <c r="D140" i="1155"/>
  <c r="D139" i="1155"/>
  <c r="D138" i="1155"/>
  <c r="D137" i="1155"/>
  <c r="D136" i="1155"/>
  <c r="G135" i="1155"/>
  <c r="F135" i="1155"/>
  <c r="E135" i="1155"/>
  <c r="D135" i="1155"/>
  <c r="C135" i="1155"/>
  <c r="D134" i="1155"/>
  <c r="D133" i="1155"/>
  <c r="D132" i="1155"/>
  <c r="G131" i="1155"/>
  <c r="G155" i="1155" s="1"/>
  <c r="F131" i="1155"/>
  <c r="F155" i="1155" s="1"/>
  <c r="E131" i="1155"/>
  <c r="E155" i="1155" s="1"/>
  <c r="D131" i="1155"/>
  <c r="C131" i="1155"/>
  <c r="E129" i="1155"/>
  <c r="D129" i="1155" s="1"/>
  <c r="D121" i="1155" s="1"/>
  <c r="D128" i="1155"/>
  <c r="D127" i="1155"/>
  <c r="D126" i="1155"/>
  <c r="D125" i="1155"/>
  <c r="D124" i="1155"/>
  <c r="D123" i="1155"/>
  <c r="D122" i="1155"/>
  <c r="D120" i="1155"/>
  <c r="E119" i="1155"/>
  <c r="D119" i="1155" s="1"/>
  <c r="D116" i="1155" s="1"/>
  <c r="D130" i="1155" s="1"/>
  <c r="E118" i="1155"/>
  <c r="D118" i="1155" s="1"/>
  <c r="E117" i="1155"/>
  <c r="D117" i="1155"/>
  <c r="G116" i="1155"/>
  <c r="F116" i="1155"/>
  <c r="C116" i="1155"/>
  <c r="E115" i="1155"/>
  <c r="D115" i="1155" s="1"/>
  <c r="E114" i="1155"/>
  <c r="D114" i="1155" s="1"/>
  <c r="D113" i="1155" s="1"/>
  <c r="D95" i="1155" s="1"/>
  <c r="G113" i="1155"/>
  <c r="E113" i="1155"/>
  <c r="C113" i="1155"/>
  <c r="E112" i="1155"/>
  <c r="D112" i="1155"/>
  <c r="D111" i="1155"/>
  <c r="D110" i="1155"/>
  <c r="D109" i="1155"/>
  <c r="D108" i="1155"/>
  <c r="D107" i="1155"/>
  <c r="D106" i="1155"/>
  <c r="D105" i="1155"/>
  <c r="D104" i="1155"/>
  <c r="D103" i="1155"/>
  <c r="D102" i="1155"/>
  <c r="D101" i="1155"/>
  <c r="F100" i="1155"/>
  <c r="E100" i="1155"/>
  <c r="D100" i="1155"/>
  <c r="E99" i="1155"/>
  <c r="D99" i="1155"/>
  <c r="E98" i="1155"/>
  <c r="D98" i="1155"/>
  <c r="E97" i="1155"/>
  <c r="D97" i="1155"/>
  <c r="E96" i="1155"/>
  <c r="D96" i="1155"/>
  <c r="G95" i="1155"/>
  <c r="G130" i="1155" s="1"/>
  <c r="F95" i="1155"/>
  <c r="F130" i="1155" s="1"/>
  <c r="F156" i="1155" s="1"/>
  <c r="E95" i="1155"/>
  <c r="C95" i="1155"/>
  <c r="C130" i="1155" s="1"/>
  <c r="H93" i="1155"/>
  <c r="D93" i="1155"/>
  <c r="H92" i="1155"/>
  <c r="D87" i="1155"/>
  <c r="D86" i="1155"/>
  <c r="D85" i="1155"/>
  <c r="D84" i="1155"/>
  <c r="D83" i="1155"/>
  <c r="D82" i="1155"/>
  <c r="G81" i="1155"/>
  <c r="F81" i="1155"/>
  <c r="E81" i="1155"/>
  <c r="D81" i="1155"/>
  <c r="C81" i="1155"/>
  <c r="D80" i="1155"/>
  <c r="D79" i="1155"/>
  <c r="D78" i="1155"/>
  <c r="G77" i="1155"/>
  <c r="F77" i="1155"/>
  <c r="E77" i="1155"/>
  <c r="D77" i="1155"/>
  <c r="C77" i="1155"/>
  <c r="C88" i="1155" s="1"/>
  <c r="D76" i="1155"/>
  <c r="D74" i="1155" s="1"/>
  <c r="D75" i="1155"/>
  <c r="G74" i="1155"/>
  <c r="F74" i="1155"/>
  <c r="E74" i="1155"/>
  <c r="C74" i="1155"/>
  <c r="D73" i="1155"/>
  <c r="D72" i="1155"/>
  <c r="D71" i="1155"/>
  <c r="D70" i="1155"/>
  <c r="G69" i="1155"/>
  <c r="F69" i="1155"/>
  <c r="E69" i="1155"/>
  <c r="D69" i="1155"/>
  <c r="C69" i="1155"/>
  <c r="D68" i="1155"/>
  <c r="D67" i="1155"/>
  <c r="D66" i="1155"/>
  <c r="G65" i="1155"/>
  <c r="G88" i="1155" s="1"/>
  <c r="F65" i="1155"/>
  <c r="F88" i="1155" s="1"/>
  <c r="E65" i="1155"/>
  <c r="E88" i="1155" s="1"/>
  <c r="D65" i="1155"/>
  <c r="C65" i="1155"/>
  <c r="D63" i="1155"/>
  <c r="D62" i="1155"/>
  <c r="D61" i="1155"/>
  <c r="D60" i="1155"/>
  <c r="G59" i="1155"/>
  <c r="F59" i="1155"/>
  <c r="E59" i="1155"/>
  <c r="D59" i="1155"/>
  <c r="C59" i="1155"/>
  <c r="C64" i="1155" s="1"/>
  <c r="C89" i="1155" s="1"/>
  <c r="D58" i="1155"/>
  <c r="E57" i="1155"/>
  <c r="D57" i="1155" s="1"/>
  <c r="E56" i="1155"/>
  <c r="D56" i="1155" s="1"/>
  <c r="D54" i="1155" s="1"/>
  <c r="D55" i="1155"/>
  <c r="G54" i="1155"/>
  <c r="F54" i="1155"/>
  <c r="E54" i="1155"/>
  <c r="C54" i="1155"/>
  <c r="D53" i="1155"/>
  <c r="D52" i="1155"/>
  <c r="E50" i="1155"/>
  <c r="D50" i="1155"/>
  <c r="D49" i="1155"/>
  <c r="G48" i="1155"/>
  <c r="F48" i="1155"/>
  <c r="E48" i="1155"/>
  <c r="D48" i="1155"/>
  <c r="C48" i="1155"/>
  <c r="E47" i="1155"/>
  <c r="D47" i="1155" s="1"/>
  <c r="E46" i="1155"/>
  <c r="D46" i="1155"/>
  <c r="D45" i="1155"/>
  <c r="D44" i="1155"/>
  <c r="D43" i="1155"/>
  <c r="E42" i="1155"/>
  <c r="D42" i="1155"/>
  <c r="G41" i="1155"/>
  <c r="D41" i="1155" s="1"/>
  <c r="E40" i="1155"/>
  <c r="D40" i="1155"/>
  <c r="E39" i="1155"/>
  <c r="D39" i="1155"/>
  <c r="E38" i="1155"/>
  <c r="D38" i="1155"/>
  <c r="E37" i="1155"/>
  <c r="D37" i="1155" s="1"/>
  <c r="D36" i="1155" s="1"/>
  <c r="G36" i="1155"/>
  <c r="F36" i="1155"/>
  <c r="E36" i="1155"/>
  <c r="C36" i="1155"/>
  <c r="D35" i="1155"/>
  <c r="D34" i="1155"/>
  <c r="E33" i="1155"/>
  <c r="D33" i="1155" s="1"/>
  <c r="D32" i="1155"/>
  <c r="E31" i="1155"/>
  <c r="D31" i="1155"/>
  <c r="E30" i="1155"/>
  <c r="D30" i="1155"/>
  <c r="E29" i="1155"/>
  <c r="D29" i="1155"/>
  <c r="D28" i="1155" s="1"/>
  <c r="C29" i="1155"/>
  <c r="G28" i="1155"/>
  <c r="F28" i="1155"/>
  <c r="E28" i="1155"/>
  <c r="C28" i="1155"/>
  <c r="D27" i="1155"/>
  <c r="E26" i="1155"/>
  <c r="D26" i="1155" s="1"/>
  <c r="D21" i="1155" s="1"/>
  <c r="D25" i="1155"/>
  <c r="D24" i="1155"/>
  <c r="D23" i="1155"/>
  <c r="D22" i="1155"/>
  <c r="G21" i="1155"/>
  <c r="F21" i="1155"/>
  <c r="E21" i="1155"/>
  <c r="D20" i="1155"/>
  <c r="E19" i="1155"/>
  <c r="D19" i="1155"/>
  <c r="D18" i="1155"/>
  <c r="D17" i="1155"/>
  <c r="D16" i="1155"/>
  <c r="D15" i="1155"/>
  <c r="G14" i="1155"/>
  <c r="F14" i="1155"/>
  <c r="E14" i="1155"/>
  <c r="D14" i="1155"/>
  <c r="D13" i="1155"/>
  <c r="E12" i="1155"/>
  <c r="D12" i="1155"/>
  <c r="E11" i="1155"/>
  <c r="D11" i="1155"/>
  <c r="E10" i="1155"/>
  <c r="D10" i="1155"/>
  <c r="D9" i="1155"/>
  <c r="D8" i="1155"/>
  <c r="G7" i="1155"/>
  <c r="G64" i="1155" s="1"/>
  <c r="F7" i="1155"/>
  <c r="F64" i="1155" s="1"/>
  <c r="F89" i="1155" s="1"/>
  <c r="E7" i="1155"/>
  <c r="E64" i="1155" s="1"/>
  <c r="D7" i="1155"/>
  <c r="C7" i="1155"/>
  <c r="D29" i="1154"/>
  <c r="C52" i="1140"/>
  <c r="C49" i="1140"/>
  <c r="C46" i="1140"/>
  <c r="C58" i="1140" s="1"/>
  <c r="C41" i="1140"/>
  <c r="C38" i="1140"/>
  <c r="C31" i="1140"/>
  <c r="C26" i="1140"/>
  <c r="C20" i="1140"/>
  <c r="C19" i="1140"/>
  <c r="C8" i="1140"/>
  <c r="C37" i="1140" s="1"/>
  <c r="C42" i="1140" s="1"/>
  <c r="C52" i="1139"/>
  <c r="C49" i="1139"/>
  <c r="C48" i="1139"/>
  <c r="C47" i="1139"/>
  <c r="C46" i="1139" s="1"/>
  <c r="C41" i="1139"/>
  <c r="C39" i="1139"/>
  <c r="C38" i="1139" s="1"/>
  <c r="C31" i="1139"/>
  <c r="C26" i="1139"/>
  <c r="C23" i="1139"/>
  <c r="C20" i="1139"/>
  <c r="C14" i="1139"/>
  <c r="C11" i="1139"/>
  <c r="C10" i="1139"/>
  <c r="C8" i="1139"/>
  <c r="C37" i="1139" s="1"/>
  <c r="C42" i="1139" s="1"/>
  <c r="F61" i="1138"/>
  <c r="F60" i="1138"/>
  <c r="F57" i="1138"/>
  <c r="F56" i="1138"/>
  <c r="F55" i="1138"/>
  <c r="F54" i="1138"/>
  <c r="F53" i="1138"/>
  <c r="C52" i="1138"/>
  <c r="F51" i="1138"/>
  <c r="F50" i="1138"/>
  <c r="C49" i="1138"/>
  <c r="C46" i="1138"/>
  <c r="F40" i="1138"/>
  <c r="C39" i="1138"/>
  <c r="F36" i="1138"/>
  <c r="F35" i="1138"/>
  <c r="F34" i="1138"/>
  <c r="F33" i="1138"/>
  <c r="F32" i="1138"/>
  <c r="C31" i="1138"/>
  <c r="F31" i="1138" s="1"/>
  <c r="F30" i="1138"/>
  <c r="F29" i="1138"/>
  <c r="F28" i="1138"/>
  <c r="F27" i="1138"/>
  <c r="C26" i="1138"/>
  <c r="F26" i="1138" s="1"/>
  <c r="F25" i="1138"/>
  <c r="F24" i="1138"/>
  <c r="C23" i="1138"/>
  <c r="F23" i="1138" s="1"/>
  <c r="F22" i="1138"/>
  <c r="F21" i="1138"/>
  <c r="C20" i="1138"/>
  <c r="F20" i="1138" s="1"/>
  <c r="C19" i="1138"/>
  <c r="F19" i="1138" s="1"/>
  <c r="F18" i="1138"/>
  <c r="F17" i="1138"/>
  <c r="F16" i="1138"/>
  <c r="F15" i="1138"/>
  <c r="C14" i="1138"/>
  <c r="F14" i="1138" s="1"/>
  <c r="F13" i="1138"/>
  <c r="F12" i="1138"/>
  <c r="C11" i="1138"/>
  <c r="F11" i="1138" s="1"/>
  <c r="F10" i="1138"/>
  <c r="F9" i="1138"/>
  <c r="C8" i="1138"/>
  <c r="C37" i="1138" s="1"/>
  <c r="C146" i="1136"/>
  <c r="C140" i="1136"/>
  <c r="C133" i="1136"/>
  <c r="C129" i="1136"/>
  <c r="C154" i="1136" s="1"/>
  <c r="C114" i="1136"/>
  <c r="D114" i="1135" s="1"/>
  <c r="C111" i="1136"/>
  <c r="D111" i="1135" s="1"/>
  <c r="C110" i="1136"/>
  <c r="C105" i="1136"/>
  <c r="C99" i="1136"/>
  <c r="C98" i="1136"/>
  <c r="C93" i="1136"/>
  <c r="C82" i="1136"/>
  <c r="C78" i="1136"/>
  <c r="C76" i="1136"/>
  <c r="C75" i="1136" s="1"/>
  <c r="C70" i="1136"/>
  <c r="C66" i="1136"/>
  <c r="C89" i="1136" s="1"/>
  <c r="C60" i="1136"/>
  <c r="C55" i="1136"/>
  <c r="C49" i="1136"/>
  <c r="C43" i="1136"/>
  <c r="C40" i="1136"/>
  <c r="C39" i="1136"/>
  <c r="C37" i="1136" s="1"/>
  <c r="D37" i="1135" s="1"/>
  <c r="C36" i="1136"/>
  <c r="C35" i="1136"/>
  <c r="C30" i="1136"/>
  <c r="C29" i="1136" s="1"/>
  <c r="C22" i="1136"/>
  <c r="D22" i="1135" s="1"/>
  <c r="C15" i="1136"/>
  <c r="D15" i="1135" s="1"/>
  <c r="F15" i="1135" s="1"/>
  <c r="C13" i="1136"/>
  <c r="C11" i="1136"/>
  <c r="C8" i="1136"/>
  <c r="F158" i="1135"/>
  <c r="F157" i="1135"/>
  <c r="F156" i="1135"/>
  <c r="F153" i="1135"/>
  <c r="F152" i="1135"/>
  <c r="F151" i="1135"/>
  <c r="F150" i="1135"/>
  <c r="F149" i="1135"/>
  <c r="F148" i="1135"/>
  <c r="F147" i="1135"/>
  <c r="C146" i="1135"/>
  <c r="F145" i="1135"/>
  <c r="F144" i="1135"/>
  <c r="F143" i="1135"/>
  <c r="F142" i="1135"/>
  <c r="F141" i="1135"/>
  <c r="F140" i="1135"/>
  <c r="C140" i="1135"/>
  <c r="F139" i="1135"/>
  <c r="F138" i="1135"/>
  <c r="F137" i="1135"/>
  <c r="F136" i="1135"/>
  <c r="F135" i="1135"/>
  <c r="F134" i="1135"/>
  <c r="F133" i="1135"/>
  <c r="C133" i="1135"/>
  <c r="F132" i="1135"/>
  <c r="F131" i="1135"/>
  <c r="F130" i="1135"/>
  <c r="C130" i="1135"/>
  <c r="F129" i="1135"/>
  <c r="C129" i="1135"/>
  <c r="C154" i="1135" s="1"/>
  <c r="F127" i="1135"/>
  <c r="F126" i="1135"/>
  <c r="F125" i="1135"/>
  <c r="E124" i="1135"/>
  <c r="F124" i="1135"/>
  <c r="F123" i="1135"/>
  <c r="F122" i="1135"/>
  <c r="F121" i="1135"/>
  <c r="F120" i="1135"/>
  <c r="F119" i="1135"/>
  <c r="C111" i="1135"/>
  <c r="C93" i="1135" s="1"/>
  <c r="C110" i="1135"/>
  <c r="F109" i="1135"/>
  <c r="F108" i="1135"/>
  <c r="E107" i="1135"/>
  <c r="F107" i="1135"/>
  <c r="F106" i="1135"/>
  <c r="C105" i="1135"/>
  <c r="E105" i="1135" s="1"/>
  <c r="F104" i="1135"/>
  <c r="F103" i="1135"/>
  <c r="F102" i="1135"/>
  <c r="F101" i="1135"/>
  <c r="F100" i="1135"/>
  <c r="F99" i="1135"/>
  <c r="C99" i="1135"/>
  <c r="F98" i="1135"/>
  <c r="C98" i="1135"/>
  <c r="F97" i="1135"/>
  <c r="F96" i="1135"/>
  <c r="F95" i="1135"/>
  <c r="F94" i="1135"/>
  <c r="F92" i="1135"/>
  <c r="F91" i="1135"/>
  <c r="F88" i="1135"/>
  <c r="F87" i="1135"/>
  <c r="F86" i="1135"/>
  <c r="F85" i="1135"/>
  <c r="F84" i="1135"/>
  <c r="F83" i="1135"/>
  <c r="F82" i="1135"/>
  <c r="C82" i="1135"/>
  <c r="E81" i="1135"/>
  <c r="F80" i="1135"/>
  <c r="E79" i="1135"/>
  <c r="C78" i="1135"/>
  <c r="F77" i="1135"/>
  <c r="F76" i="1135"/>
  <c r="C76" i="1135"/>
  <c r="F75" i="1135"/>
  <c r="C75" i="1135"/>
  <c r="E74" i="1135"/>
  <c r="F73" i="1135"/>
  <c r="F72" i="1135"/>
  <c r="F71" i="1135"/>
  <c r="C70" i="1135"/>
  <c r="F69" i="1135"/>
  <c r="F68" i="1135"/>
  <c r="F67" i="1135"/>
  <c r="F66" i="1135"/>
  <c r="C66" i="1135"/>
  <c r="F64" i="1135"/>
  <c r="F63" i="1135"/>
  <c r="F62" i="1135"/>
  <c r="F61" i="1135"/>
  <c r="F60" i="1135"/>
  <c r="C60" i="1135"/>
  <c r="F59" i="1135"/>
  <c r="F58" i="1135"/>
  <c r="F57" i="1135"/>
  <c r="C57" i="1135"/>
  <c r="F56" i="1135"/>
  <c r="C55" i="1135"/>
  <c r="E55" i="1135" s="1"/>
  <c r="F54" i="1135"/>
  <c r="F53" i="1135"/>
  <c r="F52" i="1135"/>
  <c r="F51" i="1135"/>
  <c r="F50" i="1135"/>
  <c r="F49" i="1135"/>
  <c r="C49" i="1135"/>
  <c r="F48" i="1135"/>
  <c r="F47" i="1135"/>
  <c r="F46" i="1135"/>
  <c r="F45" i="1135"/>
  <c r="F44" i="1135"/>
  <c r="F43" i="1135"/>
  <c r="C43" i="1135"/>
  <c r="F42" i="1135"/>
  <c r="F41" i="1135"/>
  <c r="F40" i="1135"/>
  <c r="C40" i="1135"/>
  <c r="F39" i="1135"/>
  <c r="C39" i="1135"/>
  <c r="F38" i="1135"/>
  <c r="C37" i="1135"/>
  <c r="C36" i="1135"/>
  <c r="E36" i="1135" s="1"/>
  <c r="C35" i="1135"/>
  <c r="E35" i="1135" s="1"/>
  <c r="F34" i="1135"/>
  <c r="F33" i="1135"/>
  <c r="F32" i="1135"/>
  <c r="F31" i="1135"/>
  <c r="C31" i="1135"/>
  <c r="F30" i="1135"/>
  <c r="C30" i="1135"/>
  <c r="F28" i="1135"/>
  <c r="F26" i="1135"/>
  <c r="F25" i="1135"/>
  <c r="F24" i="1135"/>
  <c r="F23" i="1135"/>
  <c r="C22" i="1135"/>
  <c r="F21" i="1135"/>
  <c r="F20" i="1135"/>
  <c r="F19" i="1135"/>
  <c r="F18" i="1135"/>
  <c r="F17" i="1135"/>
  <c r="E16" i="1135"/>
  <c r="F16" i="1135"/>
  <c r="C15" i="1135"/>
  <c r="F14" i="1135"/>
  <c r="C13" i="1135"/>
  <c r="E13" i="1135" s="1"/>
  <c r="C12" i="1135"/>
  <c r="E12" i="1135" s="1"/>
  <c r="C11" i="1135"/>
  <c r="E11" i="1135" s="1"/>
  <c r="F10" i="1135"/>
  <c r="F9" i="1135"/>
  <c r="C8" i="1135"/>
  <c r="D33" i="1133"/>
  <c r="F32" i="1133"/>
  <c r="F31" i="1133"/>
  <c r="F30" i="1133"/>
  <c r="F29" i="1133"/>
  <c r="F28" i="1133"/>
  <c r="F27" i="1133"/>
  <c r="F26" i="1133"/>
  <c r="F25" i="1133"/>
  <c r="F24" i="1133"/>
  <c r="F23" i="1133"/>
  <c r="F22" i="1133"/>
  <c r="F21" i="1133"/>
  <c r="F20" i="1133"/>
  <c r="F19" i="1133"/>
  <c r="F18" i="1133"/>
  <c r="F17" i="1133"/>
  <c r="F16" i="1133"/>
  <c r="F15" i="1133"/>
  <c r="F13" i="1133"/>
  <c r="F12" i="1133"/>
  <c r="F11" i="1133"/>
  <c r="F10" i="1133"/>
  <c r="F9" i="1133"/>
  <c r="F8" i="1133"/>
  <c r="F7" i="1133"/>
  <c r="F6" i="1133"/>
  <c r="E5" i="1133"/>
  <c r="B5" i="1133"/>
  <c r="F5" i="1133" s="1"/>
  <c r="F33" i="1133" s="1"/>
  <c r="F89" i="1132"/>
  <c r="F85" i="1132"/>
  <c r="F82" i="1132"/>
  <c r="F78" i="1132"/>
  <c r="F76" i="1132"/>
  <c r="F75" i="1132"/>
  <c r="F74" i="1132"/>
  <c r="F73" i="1132"/>
  <c r="F72" i="1132"/>
  <c r="F70" i="1132"/>
  <c r="F69" i="1132"/>
  <c r="F68" i="1132"/>
  <c r="F67" i="1132"/>
  <c r="F66" i="1132"/>
  <c r="F63" i="1132"/>
  <c r="F62" i="1132"/>
  <c r="F61" i="1132"/>
  <c r="F60" i="1132"/>
  <c r="F59" i="1132"/>
  <c r="F58" i="1132"/>
  <c r="F57" i="1132"/>
  <c r="F56" i="1132"/>
  <c r="F55" i="1132"/>
  <c r="F54" i="1132"/>
  <c r="F53" i="1132"/>
  <c r="F52" i="1132"/>
  <c r="F51" i="1132"/>
  <c r="F50" i="1132"/>
  <c r="F49" i="1132"/>
  <c r="F48" i="1132"/>
  <c r="F47" i="1132"/>
  <c r="F46" i="1132"/>
  <c r="F45" i="1132"/>
  <c r="F44" i="1132"/>
  <c r="F43" i="1132"/>
  <c r="F42" i="1132"/>
  <c r="F41" i="1132"/>
  <c r="F39" i="1132"/>
  <c r="F38" i="1132"/>
  <c r="F37" i="1132"/>
  <c r="F36" i="1132"/>
  <c r="F35" i="1132"/>
  <c r="F34" i="1132"/>
  <c r="F33" i="1132"/>
  <c r="F32" i="1132"/>
  <c r="F31" i="1132"/>
  <c r="F30" i="1132"/>
  <c r="F29" i="1132"/>
  <c r="F28" i="1132"/>
  <c r="F27" i="1132"/>
  <c r="F25" i="1132"/>
  <c r="F24" i="1132"/>
  <c r="F23" i="1132"/>
  <c r="F22" i="1132"/>
  <c r="F21" i="1132"/>
  <c r="E20" i="1132"/>
  <c r="D20" i="1132"/>
  <c r="B20" i="1132"/>
  <c r="F19" i="1132"/>
  <c r="F18" i="1132"/>
  <c r="F17" i="1132"/>
  <c r="F16" i="1132"/>
  <c r="F15" i="1132"/>
  <c r="F14" i="1132"/>
  <c r="F13" i="1132"/>
  <c r="F11" i="1132"/>
  <c r="F10" i="1132"/>
  <c r="F9" i="1132"/>
  <c r="F8" i="1132"/>
  <c r="E7" i="1132"/>
  <c r="B7" i="1132"/>
  <c r="F6" i="1132"/>
  <c r="F5" i="1132"/>
  <c r="E30" i="1131"/>
  <c r="C24" i="1131"/>
  <c r="C18" i="1131"/>
  <c r="C30" i="1131" s="1"/>
  <c r="E17" i="1131"/>
  <c r="E32" i="1131" s="1"/>
  <c r="C17" i="1131"/>
  <c r="E29" i="1130"/>
  <c r="E30" i="1130" s="1"/>
  <c r="C24" i="1130"/>
  <c r="C19" i="1130"/>
  <c r="C29" i="1130" s="1"/>
  <c r="E18" i="1130"/>
  <c r="C9" i="1130"/>
  <c r="C18" i="1130"/>
  <c r="E4" i="1130"/>
  <c r="C145" i="1129"/>
  <c r="C140" i="1129"/>
  <c r="C133" i="1129"/>
  <c r="C129" i="1129"/>
  <c r="C153" i="1129" s="1"/>
  <c r="C114" i="1129"/>
  <c r="C96" i="1129"/>
  <c r="C93" i="1129"/>
  <c r="C128" i="1129" s="1"/>
  <c r="C154" i="1129" s="1"/>
  <c r="C91" i="1129"/>
  <c r="C79" i="1129"/>
  <c r="C75" i="1129"/>
  <c r="C72" i="1129"/>
  <c r="C67" i="1129"/>
  <c r="C86" i="1129" s="1"/>
  <c r="C159" i="1129" s="1"/>
  <c r="C63" i="1129"/>
  <c r="C57" i="1129"/>
  <c r="C52" i="1129"/>
  <c r="C46" i="1129"/>
  <c r="C45" i="1129"/>
  <c r="C34" i="1129" s="1"/>
  <c r="C27" i="1129"/>
  <c r="C26" i="1129" s="1"/>
  <c r="C19" i="1129"/>
  <c r="C12" i="1129"/>
  <c r="C5" i="1129"/>
  <c r="C152" i="1128"/>
  <c r="C151" i="1128"/>
  <c r="C150" i="1128"/>
  <c r="C149" i="1128"/>
  <c r="C148" i="1128"/>
  <c r="C147" i="1128"/>
  <c r="C146" i="1128"/>
  <c r="F145" i="1128"/>
  <c r="E145" i="1128"/>
  <c r="D145" i="1128"/>
  <c r="C145" i="1128"/>
  <c r="C144" i="1128"/>
  <c r="C143" i="1128"/>
  <c r="C142" i="1128"/>
  <c r="C141" i="1128"/>
  <c r="F140" i="1128"/>
  <c r="E140" i="1128"/>
  <c r="D140" i="1128"/>
  <c r="C140" i="1128"/>
  <c r="C139" i="1128"/>
  <c r="C138" i="1128"/>
  <c r="C137" i="1128"/>
  <c r="C136" i="1128"/>
  <c r="C135" i="1128"/>
  <c r="C134" i="1128"/>
  <c r="F133" i="1128"/>
  <c r="E133" i="1128"/>
  <c r="D133" i="1128"/>
  <c r="C133" i="1128"/>
  <c r="C132" i="1128"/>
  <c r="C131" i="1128"/>
  <c r="C130" i="1128"/>
  <c r="F129" i="1128"/>
  <c r="F153" i="1128" s="1"/>
  <c r="E129" i="1128"/>
  <c r="E153" i="1128" s="1"/>
  <c r="D129" i="1128"/>
  <c r="D153" i="1128" s="1"/>
  <c r="C153" i="1128" s="1"/>
  <c r="C127" i="1128"/>
  <c r="C126" i="1128"/>
  <c r="C125" i="1128"/>
  <c r="C124" i="1128"/>
  <c r="C123" i="1128"/>
  <c r="C122" i="1128"/>
  <c r="C121" i="1128"/>
  <c r="C120" i="1128"/>
  <c r="C119" i="1128"/>
  <c r="C118" i="1128"/>
  <c r="C117" i="1128"/>
  <c r="C116" i="1128"/>
  <c r="F115" i="1128"/>
  <c r="F114" i="1128" s="1"/>
  <c r="C114" i="1128" s="1"/>
  <c r="C115" i="1128"/>
  <c r="E114" i="1128"/>
  <c r="D114" i="1128"/>
  <c r="C113" i="1128"/>
  <c r="C112" i="1128"/>
  <c r="C111" i="1128"/>
  <c r="D110" i="1128"/>
  <c r="C110" i="1128" s="1"/>
  <c r="C109" i="1128"/>
  <c r="C108" i="1128"/>
  <c r="C107" i="1128"/>
  <c r="C106" i="1128"/>
  <c r="C105" i="1128"/>
  <c r="C104" i="1128"/>
  <c r="C103" i="1128"/>
  <c r="C102" i="1128"/>
  <c r="C101" i="1128"/>
  <c r="C100" i="1128"/>
  <c r="C99" i="1128"/>
  <c r="D98" i="1128"/>
  <c r="C98" i="1128"/>
  <c r="C97" i="1128"/>
  <c r="F96" i="1128"/>
  <c r="C96" i="1128"/>
  <c r="F95" i="1128"/>
  <c r="C95" i="1128"/>
  <c r="F94" i="1128"/>
  <c r="F93" i="1128" s="1"/>
  <c r="F128" i="1128" s="1"/>
  <c r="C94" i="1128"/>
  <c r="E93" i="1128"/>
  <c r="E128" i="1128" s="1"/>
  <c r="E154" i="1128" s="1"/>
  <c r="C91" i="1128"/>
  <c r="C85" i="1128"/>
  <c r="C84" i="1128"/>
  <c r="C83" i="1128"/>
  <c r="C82" i="1128"/>
  <c r="C81" i="1128"/>
  <c r="C80" i="1128"/>
  <c r="F79" i="1128"/>
  <c r="E79" i="1128"/>
  <c r="D79" i="1128"/>
  <c r="C79" i="1128" s="1"/>
  <c r="C78" i="1128"/>
  <c r="C77" i="1128"/>
  <c r="C76" i="1128"/>
  <c r="F75" i="1128"/>
  <c r="E75" i="1128"/>
  <c r="D75" i="1128"/>
  <c r="C75" i="1128"/>
  <c r="C74" i="1128"/>
  <c r="C73" i="1128"/>
  <c r="F72" i="1128"/>
  <c r="E72" i="1128"/>
  <c r="D72" i="1128"/>
  <c r="C72" i="1128"/>
  <c r="C71" i="1128"/>
  <c r="C70" i="1128"/>
  <c r="C69" i="1128"/>
  <c r="C68" i="1128"/>
  <c r="F67" i="1128"/>
  <c r="E67" i="1128"/>
  <c r="D67" i="1128"/>
  <c r="C67" i="1128"/>
  <c r="C66" i="1128"/>
  <c r="C65" i="1128"/>
  <c r="C64" i="1128"/>
  <c r="F63" i="1128"/>
  <c r="F86" i="1128" s="1"/>
  <c r="E63" i="1128"/>
  <c r="E86" i="1128" s="1"/>
  <c r="D63" i="1128"/>
  <c r="D86" i="1128" s="1"/>
  <c r="C61" i="1128"/>
  <c r="C60" i="1128"/>
  <c r="C59" i="1128"/>
  <c r="C58" i="1128"/>
  <c r="F57" i="1128"/>
  <c r="E57" i="1128"/>
  <c r="D57" i="1128"/>
  <c r="C57" i="1128" s="1"/>
  <c r="C56" i="1128"/>
  <c r="C55" i="1128"/>
  <c r="D54" i="1128"/>
  <c r="C54" i="1128" s="1"/>
  <c r="C53" i="1128"/>
  <c r="F52" i="1128"/>
  <c r="E52" i="1128"/>
  <c r="C51" i="1128"/>
  <c r="C50" i="1128"/>
  <c r="C49" i="1128"/>
  <c r="C48" i="1128"/>
  <c r="C47" i="1128"/>
  <c r="F46" i="1128"/>
  <c r="E46" i="1128"/>
  <c r="D46" i="1128"/>
  <c r="C46" i="1128" s="1"/>
  <c r="C45" i="1128"/>
  <c r="C44" i="1128"/>
  <c r="C43" i="1128"/>
  <c r="C42" i="1128"/>
  <c r="C41" i="1128"/>
  <c r="E40" i="1128"/>
  <c r="D40" i="1128"/>
  <c r="C40" i="1128" s="1"/>
  <c r="C39" i="1128"/>
  <c r="C38" i="1128"/>
  <c r="C37" i="1128"/>
  <c r="E36" i="1128"/>
  <c r="C36" i="1128"/>
  <c r="C35" i="1128"/>
  <c r="F34" i="1128"/>
  <c r="E34" i="1128"/>
  <c r="D34" i="1128"/>
  <c r="C34" i="1128" s="1"/>
  <c r="C33" i="1128"/>
  <c r="C32" i="1128"/>
  <c r="C31" i="1128"/>
  <c r="C30" i="1128"/>
  <c r="C29" i="1128"/>
  <c r="C28" i="1128"/>
  <c r="F27" i="1128"/>
  <c r="F26" i="1128" s="1"/>
  <c r="C26" i="1128" s="1"/>
  <c r="D27" i="1128"/>
  <c r="C27" i="1128"/>
  <c r="E26" i="1128"/>
  <c r="D26" i="1128"/>
  <c r="C25" i="1128"/>
  <c r="C24" i="1128"/>
  <c r="C23" i="1128"/>
  <c r="C22" i="1128"/>
  <c r="C21" i="1128"/>
  <c r="C20" i="1128"/>
  <c r="F19" i="1128"/>
  <c r="E19" i="1128"/>
  <c r="D19" i="1128"/>
  <c r="C19" i="1128"/>
  <c r="C18" i="1128"/>
  <c r="C17" i="1128"/>
  <c r="C16" i="1128"/>
  <c r="C15" i="1128"/>
  <c r="C14" i="1128"/>
  <c r="C13" i="1128"/>
  <c r="F12" i="1128"/>
  <c r="E12" i="1128"/>
  <c r="D12" i="1128"/>
  <c r="C12" i="1128" s="1"/>
  <c r="C11" i="1128"/>
  <c r="D10" i="1128"/>
  <c r="C10" i="1128"/>
  <c r="C9" i="1128"/>
  <c r="C8" i="1128"/>
  <c r="C7" i="1128"/>
  <c r="C6" i="1128"/>
  <c r="F5" i="1128"/>
  <c r="F62" i="1128" s="1"/>
  <c r="F87" i="1128" s="1"/>
  <c r="E5" i="1128"/>
  <c r="E62" i="1128" s="1"/>
  <c r="D5" i="1128"/>
  <c r="C5" i="1128"/>
  <c r="C152" i="1127"/>
  <c r="C151" i="1127"/>
  <c r="C150" i="1127"/>
  <c r="C149" i="1127"/>
  <c r="C148" i="1127"/>
  <c r="C147" i="1127"/>
  <c r="C146" i="1127"/>
  <c r="F145" i="1127"/>
  <c r="E145" i="1127"/>
  <c r="D145" i="1127"/>
  <c r="C145" i="1127"/>
  <c r="C144" i="1127"/>
  <c r="C143" i="1127"/>
  <c r="C142" i="1127"/>
  <c r="C141" i="1127"/>
  <c r="F140" i="1127"/>
  <c r="E140" i="1127"/>
  <c r="D140" i="1127"/>
  <c r="C140" i="1127"/>
  <c r="C139" i="1127"/>
  <c r="C138" i="1127"/>
  <c r="C137" i="1127"/>
  <c r="C136" i="1127"/>
  <c r="C135" i="1127"/>
  <c r="C134" i="1127"/>
  <c r="F133" i="1127"/>
  <c r="E133" i="1127"/>
  <c r="D133" i="1127"/>
  <c r="C133" i="1127"/>
  <c r="C132" i="1127"/>
  <c r="C131" i="1127"/>
  <c r="C130" i="1127"/>
  <c r="F129" i="1127"/>
  <c r="F153" i="1127" s="1"/>
  <c r="E129" i="1127"/>
  <c r="E153" i="1127" s="1"/>
  <c r="D129" i="1127"/>
  <c r="D153" i="1127" s="1"/>
  <c r="C127" i="1127"/>
  <c r="H127" i="1126" s="1"/>
  <c r="I127" i="1126" s="1"/>
  <c r="C126" i="1127"/>
  <c r="C125" i="1127"/>
  <c r="C124" i="1127"/>
  <c r="C123" i="1127"/>
  <c r="C122" i="1127"/>
  <c r="C121" i="1127"/>
  <c r="C120" i="1127"/>
  <c r="C119" i="1127"/>
  <c r="H119" i="1126" s="1"/>
  <c r="I119" i="1126" s="1"/>
  <c r="C118" i="1127"/>
  <c r="H118" i="1126" s="1"/>
  <c r="C117" i="1127"/>
  <c r="H117" i="1126" s="1"/>
  <c r="C116" i="1127"/>
  <c r="H116" i="1126" s="1"/>
  <c r="F115" i="1127"/>
  <c r="C115" i="1127"/>
  <c r="H115" i="1126" s="1"/>
  <c r="F114" i="1127"/>
  <c r="E114" i="1127"/>
  <c r="D114" i="1127"/>
  <c r="C114" i="1127" s="1"/>
  <c r="C113" i="1127"/>
  <c r="H113" i="1126" s="1"/>
  <c r="C112" i="1127"/>
  <c r="H112" i="1126" s="1"/>
  <c r="F111" i="1127"/>
  <c r="D110" i="1127"/>
  <c r="C110" i="1127"/>
  <c r="C109" i="1127"/>
  <c r="C108" i="1127"/>
  <c r="C107" i="1127"/>
  <c r="C106" i="1127"/>
  <c r="C105" i="1127"/>
  <c r="C104" i="1127"/>
  <c r="C103" i="1127"/>
  <c r="C102" i="1127"/>
  <c r="C101" i="1127"/>
  <c r="C100" i="1127"/>
  <c r="C99" i="1127"/>
  <c r="H99" i="1126" s="1"/>
  <c r="C97" i="1127"/>
  <c r="H97" i="1126" s="1"/>
  <c r="F96" i="1127"/>
  <c r="E96" i="1127"/>
  <c r="C96" i="1127"/>
  <c r="H96" i="1126" s="1"/>
  <c r="F95" i="1127"/>
  <c r="E95" i="1127"/>
  <c r="C95" i="1127"/>
  <c r="H95" i="1126" s="1"/>
  <c r="F94" i="1127"/>
  <c r="E94" i="1127"/>
  <c r="C94" i="1127"/>
  <c r="H94" i="1126" s="1"/>
  <c r="F93" i="1127"/>
  <c r="F128" i="1127" s="1"/>
  <c r="F154" i="1127" s="1"/>
  <c r="E93" i="1127"/>
  <c r="E128" i="1127" s="1"/>
  <c r="E154" i="1127" s="1"/>
  <c r="C91" i="1127"/>
  <c r="C85" i="1127"/>
  <c r="C84" i="1127"/>
  <c r="C83" i="1127"/>
  <c r="C82" i="1127"/>
  <c r="C81" i="1127"/>
  <c r="C80" i="1127"/>
  <c r="F79" i="1127"/>
  <c r="E79" i="1127"/>
  <c r="D79" i="1127"/>
  <c r="C79" i="1127" s="1"/>
  <c r="C78" i="1127"/>
  <c r="C77" i="1127"/>
  <c r="C76" i="1127"/>
  <c r="F75" i="1127"/>
  <c r="E75" i="1127"/>
  <c r="D75" i="1127"/>
  <c r="C75" i="1127"/>
  <c r="C74" i="1127"/>
  <c r="E73" i="1127"/>
  <c r="D73" i="1127"/>
  <c r="C73" i="1127"/>
  <c r="F72" i="1127"/>
  <c r="E72" i="1127"/>
  <c r="D72" i="1127"/>
  <c r="C72" i="1127"/>
  <c r="C71" i="1127"/>
  <c r="C70" i="1127"/>
  <c r="C69" i="1127"/>
  <c r="C68" i="1127"/>
  <c r="F67" i="1127"/>
  <c r="E67" i="1127"/>
  <c r="D67" i="1127"/>
  <c r="C67" i="1127"/>
  <c r="C66" i="1127"/>
  <c r="C65" i="1127"/>
  <c r="C64" i="1127"/>
  <c r="F63" i="1127"/>
  <c r="F86" i="1127" s="1"/>
  <c r="E63" i="1127"/>
  <c r="E86" i="1127" s="1"/>
  <c r="D63" i="1127"/>
  <c r="D86" i="1127" s="1"/>
  <c r="C86" i="1127" s="1"/>
  <c r="C61" i="1127"/>
  <c r="C60" i="1127"/>
  <c r="C59" i="1127"/>
  <c r="C58" i="1127"/>
  <c r="F57" i="1127"/>
  <c r="E57" i="1127"/>
  <c r="D57" i="1127"/>
  <c r="C57" i="1127" s="1"/>
  <c r="C56" i="1127"/>
  <c r="C55" i="1127"/>
  <c r="C54" i="1127"/>
  <c r="C53" i="1127"/>
  <c r="F52" i="1127"/>
  <c r="E52" i="1127"/>
  <c r="D52" i="1127"/>
  <c r="C52" i="1127" s="1"/>
  <c r="C51" i="1127"/>
  <c r="C50" i="1127"/>
  <c r="C49" i="1127"/>
  <c r="C48" i="1127"/>
  <c r="C47" i="1127"/>
  <c r="F46" i="1127"/>
  <c r="E46" i="1127"/>
  <c r="D46" i="1127"/>
  <c r="C46" i="1127" s="1"/>
  <c r="C45" i="1127"/>
  <c r="C44" i="1127"/>
  <c r="C43" i="1127"/>
  <c r="C42" i="1127"/>
  <c r="C41" i="1127"/>
  <c r="E40" i="1127"/>
  <c r="D40" i="1127"/>
  <c r="C40" i="1127" s="1"/>
  <c r="C39" i="1127"/>
  <c r="C38" i="1127"/>
  <c r="D37" i="1127"/>
  <c r="C37" i="1127" s="1"/>
  <c r="E36" i="1127"/>
  <c r="D36" i="1127"/>
  <c r="C36" i="1127"/>
  <c r="C35" i="1127"/>
  <c r="F34" i="1127"/>
  <c r="E34" i="1127"/>
  <c r="D34" i="1127"/>
  <c r="C34" i="1127" s="1"/>
  <c r="D33" i="1127"/>
  <c r="C33" i="1127" s="1"/>
  <c r="D32" i="1127"/>
  <c r="C32" i="1127"/>
  <c r="C31" i="1127"/>
  <c r="C30" i="1127"/>
  <c r="C29" i="1127"/>
  <c r="C28" i="1127"/>
  <c r="D27" i="1127"/>
  <c r="C27" i="1127"/>
  <c r="F26" i="1127"/>
  <c r="E26" i="1127"/>
  <c r="D26" i="1127"/>
  <c r="C26" i="1127" s="1"/>
  <c r="C25" i="1127"/>
  <c r="C24" i="1127"/>
  <c r="C23" i="1127"/>
  <c r="C22" i="1127"/>
  <c r="C21" i="1127"/>
  <c r="C20" i="1127"/>
  <c r="F19" i="1127"/>
  <c r="E19" i="1127"/>
  <c r="D19" i="1127"/>
  <c r="C19" i="1127" s="1"/>
  <c r="C18" i="1127"/>
  <c r="E17" i="1127"/>
  <c r="C17" i="1127"/>
  <c r="C16" i="1127"/>
  <c r="C15" i="1127"/>
  <c r="C14" i="1127"/>
  <c r="C13" i="1127"/>
  <c r="F12" i="1127"/>
  <c r="E12" i="1127"/>
  <c r="D12" i="1127"/>
  <c r="C12" i="1127" s="1"/>
  <c r="C11" i="1127"/>
  <c r="D10" i="1127"/>
  <c r="C10" i="1127"/>
  <c r="C9" i="1127"/>
  <c r="D8" i="1127"/>
  <c r="C8" i="1127" s="1"/>
  <c r="C7" i="1127"/>
  <c r="C6" i="1127"/>
  <c r="F5" i="1127"/>
  <c r="F62" i="1127" s="1"/>
  <c r="F87" i="1127" s="1"/>
  <c r="E5" i="1127"/>
  <c r="E62" i="1127" s="1"/>
  <c r="E87" i="1127" s="1"/>
  <c r="D5" i="1127"/>
  <c r="E5" i="1126"/>
  <c r="F5" i="1126"/>
  <c r="F62" i="1126" s="1"/>
  <c r="C6" i="1126"/>
  <c r="I6" i="1126"/>
  <c r="C7" i="1126"/>
  <c r="I7" i="1126"/>
  <c r="D8" i="1126"/>
  <c r="C8" i="1126" s="1"/>
  <c r="I8" i="1126" s="1"/>
  <c r="D9" i="1126"/>
  <c r="C9" i="1126" s="1"/>
  <c r="I9" i="1126" s="1"/>
  <c r="D10" i="1126"/>
  <c r="C10" i="1126" s="1"/>
  <c r="I10" i="1126" s="1"/>
  <c r="C11" i="1126"/>
  <c r="I11" i="1126"/>
  <c r="F12" i="1126"/>
  <c r="C13" i="1126"/>
  <c r="I13" i="1126"/>
  <c r="C14" i="1126"/>
  <c r="I14" i="1126"/>
  <c r="C15" i="1126"/>
  <c r="I15" i="1126"/>
  <c r="C16" i="1126"/>
  <c r="I16" i="1126"/>
  <c r="D12" i="1126"/>
  <c r="E17" i="1126"/>
  <c r="E12" i="1126" s="1"/>
  <c r="C18" i="1126"/>
  <c r="E19" i="1126"/>
  <c r="F19" i="1126"/>
  <c r="C20" i="1126"/>
  <c r="I20" i="1126"/>
  <c r="C21" i="1126"/>
  <c r="I21" i="1126"/>
  <c r="C22" i="1126"/>
  <c r="I22" i="1126"/>
  <c r="C23" i="1126"/>
  <c r="I23" i="1126"/>
  <c r="C24" i="1126"/>
  <c r="D19" i="1126"/>
  <c r="C19" i="1126" s="1"/>
  <c r="I19" i="1126" s="1"/>
  <c r="C25" i="1126"/>
  <c r="E26" i="1126"/>
  <c r="F26" i="1126"/>
  <c r="C28" i="1126"/>
  <c r="D28" i="1126"/>
  <c r="D27" i="1126" s="1"/>
  <c r="C29" i="1126"/>
  <c r="I29" i="1126"/>
  <c r="C30" i="1126"/>
  <c r="I30" i="1126"/>
  <c r="C31" i="1126"/>
  <c r="I31" i="1126"/>
  <c r="D32" i="1126"/>
  <c r="C32" i="1126" s="1"/>
  <c r="I32" i="1126" s="1"/>
  <c r="D33" i="1126"/>
  <c r="C33" i="1126" s="1"/>
  <c r="D34" i="1126"/>
  <c r="F34" i="1126"/>
  <c r="C35" i="1126"/>
  <c r="I35" i="1126"/>
  <c r="D36" i="1126"/>
  <c r="E36" i="1126"/>
  <c r="E34" i="1126" s="1"/>
  <c r="F36" i="1126"/>
  <c r="C37" i="1126"/>
  <c r="D37" i="1126"/>
  <c r="C38" i="1126"/>
  <c r="I38" i="1126"/>
  <c r="C39" i="1126"/>
  <c r="I39" i="1126"/>
  <c r="D40" i="1126"/>
  <c r="E40" i="1126"/>
  <c r="C40" i="1126" s="1"/>
  <c r="F40" i="1126"/>
  <c r="C41" i="1126"/>
  <c r="I41" i="1126"/>
  <c r="C42" i="1126"/>
  <c r="I42" i="1126"/>
  <c r="C43" i="1126"/>
  <c r="I43" i="1126"/>
  <c r="C44" i="1126"/>
  <c r="I44" i="1126"/>
  <c r="C45" i="1126"/>
  <c r="D46" i="1126"/>
  <c r="E46" i="1126"/>
  <c r="C46" i="1126" s="1"/>
  <c r="F46" i="1126"/>
  <c r="C47" i="1126"/>
  <c r="I47" i="1126"/>
  <c r="C48" i="1126"/>
  <c r="I48" i="1126"/>
  <c r="C49" i="1126"/>
  <c r="I49" i="1126"/>
  <c r="C50" i="1126"/>
  <c r="I50" i="1126"/>
  <c r="C51" i="1126"/>
  <c r="I51" i="1126"/>
  <c r="D52" i="1126"/>
  <c r="C52" i="1126" s="1"/>
  <c r="E52" i="1126"/>
  <c r="F52" i="1126"/>
  <c r="C53" i="1126"/>
  <c r="I53" i="1126"/>
  <c r="C54" i="1126"/>
  <c r="D54" i="1126"/>
  <c r="C55" i="1126"/>
  <c r="C56" i="1126"/>
  <c r="I56" i="1126"/>
  <c r="D57" i="1126"/>
  <c r="E57" i="1126"/>
  <c r="C57" i="1126" s="1"/>
  <c r="F57" i="1126"/>
  <c r="C58" i="1126"/>
  <c r="I58" i="1126"/>
  <c r="C59" i="1126"/>
  <c r="I59" i="1126"/>
  <c r="C60" i="1126"/>
  <c r="I60" i="1126"/>
  <c r="C61" i="1126"/>
  <c r="I61" i="1126"/>
  <c r="D63" i="1126"/>
  <c r="E63" i="1126"/>
  <c r="F63" i="1126"/>
  <c r="C64" i="1126"/>
  <c r="I64" i="1126"/>
  <c r="C65" i="1126"/>
  <c r="I65" i="1126"/>
  <c r="C66" i="1126"/>
  <c r="I66" i="1126"/>
  <c r="D67" i="1126"/>
  <c r="E67" i="1126"/>
  <c r="F67" i="1126"/>
  <c r="C68" i="1126"/>
  <c r="I68" i="1126"/>
  <c r="C69" i="1126"/>
  <c r="I69" i="1126"/>
  <c r="C70" i="1126"/>
  <c r="I70" i="1126"/>
  <c r="C71" i="1126"/>
  <c r="I71" i="1126"/>
  <c r="F72" i="1126"/>
  <c r="D73" i="1126"/>
  <c r="E73" i="1126"/>
  <c r="E72" i="1126" s="1"/>
  <c r="F73" i="1126"/>
  <c r="C74" i="1126"/>
  <c r="I74" i="1126"/>
  <c r="D75" i="1126"/>
  <c r="E75" i="1126"/>
  <c r="C75" i="1126" s="1"/>
  <c r="F75" i="1126"/>
  <c r="C76" i="1126"/>
  <c r="I76" i="1126"/>
  <c r="C77" i="1126"/>
  <c r="I77" i="1126"/>
  <c r="C78" i="1126"/>
  <c r="I78" i="1126"/>
  <c r="D79" i="1126"/>
  <c r="E79" i="1126"/>
  <c r="F79" i="1126"/>
  <c r="C80" i="1126"/>
  <c r="I80" i="1126"/>
  <c r="C81" i="1126"/>
  <c r="I81" i="1126"/>
  <c r="C82" i="1126"/>
  <c r="I82" i="1126"/>
  <c r="C83" i="1126"/>
  <c r="I83" i="1126"/>
  <c r="C84" i="1126"/>
  <c r="I84" i="1126"/>
  <c r="C85" i="1126"/>
  <c r="I85" i="1126"/>
  <c r="F86" i="1126"/>
  <c r="F87" i="1126"/>
  <c r="C91" i="1126"/>
  <c r="E94" i="1126"/>
  <c r="E93" i="1126" s="1"/>
  <c r="E128" i="1126" s="1"/>
  <c r="E154" i="1126" s="1"/>
  <c r="F94" i="1126"/>
  <c r="E95" i="1126"/>
  <c r="C95" i="1126" s="1"/>
  <c r="F95" i="1126"/>
  <c r="E96" i="1126"/>
  <c r="C96" i="1126" s="1"/>
  <c r="F96" i="1126"/>
  <c r="C97" i="1126"/>
  <c r="C98" i="1126"/>
  <c r="C99" i="1126"/>
  <c r="C100" i="1126"/>
  <c r="I100" i="1126"/>
  <c r="C101" i="1126"/>
  <c r="I101" i="1126"/>
  <c r="C102" i="1126"/>
  <c r="I102" i="1126"/>
  <c r="C103" i="1126"/>
  <c r="I103" i="1126"/>
  <c r="C104" i="1126"/>
  <c r="I104" i="1126"/>
  <c r="C105" i="1126"/>
  <c r="I105" i="1126"/>
  <c r="C106" i="1126"/>
  <c r="I106" i="1126"/>
  <c r="C107" i="1126"/>
  <c r="I107" i="1126"/>
  <c r="C108" i="1126"/>
  <c r="I108" i="1126"/>
  <c r="C109" i="1126"/>
  <c r="I109" i="1126"/>
  <c r="C110" i="1126"/>
  <c r="D110" i="1126"/>
  <c r="F111" i="1126"/>
  <c r="C113" i="1126"/>
  <c r="I113" i="1126"/>
  <c r="E114" i="1126"/>
  <c r="F114" i="1126"/>
  <c r="C115" i="1126"/>
  <c r="F115" i="1126"/>
  <c r="C116" i="1126"/>
  <c r="C117" i="1126"/>
  <c r="C118" i="1126"/>
  <c r="C120" i="1126"/>
  <c r="I120" i="1126"/>
  <c r="C121" i="1126"/>
  <c r="I121" i="1126"/>
  <c r="C122" i="1126"/>
  <c r="I122" i="1126"/>
  <c r="C123" i="1126"/>
  <c r="I123" i="1126"/>
  <c r="C124" i="1126"/>
  <c r="I124" i="1126"/>
  <c r="C125" i="1126"/>
  <c r="I125" i="1126"/>
  <c r="C126" i="1126"/>
  <c r="I126" i="1126"/>
  <c r="C127" i="1126"/>
  <c r="E129" i="1126"/>
  <c r="F129" i="1126"/>
  <c r="F153" i="1126" s="1"/>
  <c r="D130" i="1126"/>
  <c r="C130" i="1126" s="1"/>
  <c r="I130" i="1126" s="1"/>
  <c r="C131" i="1126"/>
  <c r="I131" i="1126"/>
  <c r="C132" i="1126"/>
  <c r="I132" i="1126"/>
  <c r="D133" i="1126"/>
  <c r="C133" i="1126" s="1"/>
  <c r="E133" i="1126"/>
  <c r="F133" i="1126"/>
  <c r="C134" i="1126"/>
  <c r="I134" i="1126"/>
  <c r="C135" i="1126"/>
  <c r="I135" i="1126"/>
  <c r="C136" i="1126"/>
  <c r="I136" i="1126"/>
  <c r="C137" i="1126"/>
  <c r="I137" i="1126"/>
  <c r="C138" i="1126"/>
  <c r="I138" i="1126"/>
  <c r="C139" i="1126"/>
  <c r="I139" i="1126"/>
  <c r="D140" i="1126"/>
  <c r="C140" i="1126" s="1"/>
  <c r="I140" i="1126" s="1"/>
  <c r="E140" i="1126"/>
  <c r="F140" i="1126"/>
  <c r="C141" i="1126"/>
  <c r="I141" i="1126"/>
  <c r="C142" i="1126"/>
  <c r="I142" i="1126"/>
  <c r="C143" i="1126"/>
  <c r="I143" i="1126"/>
  <c r="C144" i="1126"/>
  <c r="I144" i="1126"/>
  <c r="D145" i="1126"/>
  <c r="C145" i="1126" s="1"/>
  <c r="I145" i="1126" s="1"/>
  <c r="E145" i="1126"/>
  <c r="F145" i="1126"/>
  <c r="C146" i="1126"/>
  <c r="I146" i="1126"/>
  <c r="C147" i="1126"/>
  <c r="I147" i="1126"/>
  <c r="C148" i="1126"/>
  <c r="I148" i="1126"/>
  <c r="C149" i="1126"/>
  <c r="I149" i="1126"/>
  <c r="C150" i="1126"/>
  <c r="I150" i="1126"/>
  <c r="C151" i="1126"/>
  <c r="I151" i="1126"/>
  <c r="C152" i="1126"/>
  <c r="I152" i="1126"/>
  <c r="E153" i="1126"/>
  <c r="N27" i="1156" l="1"/>
  <c r="L27" i="1156"/>
  <c r="J27" i="1156"/>
  <c r="C58" i="1139"/>
  <c r="E58" i="1138" s="1"/>
  <c r="E46" i="1138"/>
  <c r="E37" i="1135"/>
  <c r="C128" i="1136"/>
  <c r="D93" i="1135"/>
  <c r="E93" i="1135" s="1"/>
  <c r="C128" i="1135"/>
  <c r="C155" i="1135" s="1"/>
  <c r="F93" i="1135"/>
  <c r="E60" i="1135"/>
  <c r="E70" i="1135"/>
  <c r="E72" i="1135"/>
  <c r="E83" i="1135"/>
  <c r="E97" i="1135"/>
  <c r="E98" i="1135"/>
  <c r="E99" i="1135"/>
  <c r="E134" i="1135"/>
  <c r="H114" i="1126"/>
  <c r="E27" i="1135"/>
  <c r="E30" i="1135"/>
  <c r="E31" i="1135"/>
  <c r="E39" i="1135"/>
  <c r="E40" i="1135"/>
  <c r="E48" i="1135"/>
  <c r="E49" i="1135"/>
  <c r="E58" i="1135"/>
  <c r="E102" i="1135"/>
  <c r="E110" i="1135"/>
  <c r="E111" i="1135"/>
  <c r="E112" i="1135"/>
  <c r="E113" i="1135"/>
  <c r="E114" i="1135"/>
  <c r="E115" i="1135"/>
  <c r="E116" i="1135"/>
  <c r="E117" i="1135"/>
  <c r="E118" i="1135"/>
  <c r="E120" i="1135"/>
  <c r="E130" i="1135"/>
  <c r="E138" i="1135"/>
  <c r="E140" i="1135"/>
  <c r="E146" i="1135"/>
  <c r="E148" i="1135"/>
  <c r="E52" i="1135"/>
  <c r="E63" i="1135"/>
  <c r="E67" i="1135"/>
  <c r="E76" i="1135"/>
  <c r="E77" i="1135"/>
  <c r="E87" i="1135"/>
  <c r="E94" i="1135"/>
  <c r="E95" i="1135"/>
  <c r="E96" i="1135"/>
  <c r="E143" i="1135"/>
  <c r="E152" i="1135"/>
  <c r="D62" i="1127"/>
  <c r="C32" i="1131"/>
  <c r="I55" i="1126"/>
  <c r="I18" i="1126"/>
  <c r="I118" i="1126"/>
  <c r="I116" i="1126"/>
  <c r="I75" i="1126"/>
  <c r="I54" i="1126"/>
  <c r="I52" i="1126"/>
  <c r="I46" i="1126"/>
  <c r="I45" i="1126"/>
  <c r="I37" i="1126"/>
  <c r="I28" i="1126"/>
  <c r="I24" i="1126"/>
  <c r="E8" i="1135"/>
  <c r="E10" i="1135"/>
  <c r="E15" i="1135"/>
  <c r="E18" i="1135"/>
  <c r="E20" i="1135"/>
  <c r="E22" i="1135"/>
  <c r="E24" i="1135"/>
  <c r="E34" i="1135"/>
  <c r="E44" i="1135"/>
  <c r="E50" i="1135"/>
  <c r="E54" i="1135"/>
  <c r="E57" i="1135"/>
  <c r="E61" i="1135"/>
  <c r="E69" i="1135"/>
  <c r="F74" i="1135"/>
  <c r="F78" i="1135"/>
  <c r="E80" i="1135"/>
  <c r="E82" i="1135"/>
  <c r="E85" i="1135"/>
  <c r="E100" i="1135"/>
  <c r="E104" i="1135"/>
  <c r="E109" i="1135"/>
  <c r="E122" i="1135"/>
  <c r="E126" i="1135"/>
  <c r="E131" i="1135"/>
  <c r="E133" i="1135"/>
  <c r="E136" i="1135"/>
  <c r="E141" i="1135"/>
  <c r="E145" i="1135"/>
  <c r="E150" i="1135"/>
  <c r="F39" i="1138"/>
  <c r="F41" i="1138"/>
  <c r="F46" i="1138"/>
  <c r="F47" i="1138"/>
  <c r="F48" i="1138"/>
  <c r="F49" i="1138"/>
  <c r="F52" i="1138"/>
  <c r="I133" i="1126"/>
  <c r="I117" i="1126"/>
  <c r="I115" i="1126"/>
  <c r="I96" i="1126"/>
  <c r="I95" i="1126"/>
  <c r="I57" i="1126"/>
  <c r="I40" i="1126"/>
  <c r="I33" i="1126"/>
  <c r="I25" i="1126"/>
  <c r="E21" i="1135"/>
  <c r="E26" i="1135"/>
  <c r="E32" i="1135"/>
  <c r="E41" i="1135"/>
  <c r="E43" i="1135"/>
  <c r="E46" i="1135"/>
  <c r="N52" i="1159"/>
  <c r="G12" i="1159"/>
  <c r="G52" i="1159" s="1"/>
  <c r="G54" i="1159" s="1"/>
  <c r="O26" i="1156"/>
  <c r="S26" i="1156" s="1"/>
  <c r="O5" i="1156"/>
  <c r="S5" i="1156" s="1"/>
  <c r="O14" i="1156"/>
  <c r="O6" i="1156"/>
  <c r="S6" i="1156" s="1"/>
  <c r="O16" i="1156"/>
  <c r="S16" i="1156" s="1"/>
  <c r="E89" i="1155"/>
  <c r="G89" i="1155"/>
  <c r="D64" i="1155"/>
  <c r="D89" i="1155" s="1"/>
  <c r="D88" i="1155"/>
  <c r="G156" i="1155"/>
  <c r="D156" i="1155"/>
  <c r="C156" i="1155"/>
  <c r="E116" i="1155"/>
  <c r="E130" i="1155" s="1"/>
  <c r="E156" i="1155" s="1"/>
  <c r="E121" i="1155"/>
  <c r="F37" i="1138"/>
  <c r="C38" i="1138"/>
  <c r="F38" i="1138" s="1"/>
  <c r="C58" i="1138"/>
  <c r="F8" i="1138"/>
  <c r="C65" i="1136"/>
  <c r="F8" i="1135"/>
  <c r="E9" i="1135"/>
  <c r="F11" i="1135"/>
  <c r="F12" i="1135"/>
  <c r="F13" i="1135"/>
  <c r="E14" i="1135"/>
  <c r="E17" i="1135"/>
  <c r="E19" i="1135"/>
  <c r="F22" i="1135"/>
  <c r="E23" i="1135"/>
  <c r="E25" i="1135"/>
  <c r="F27" i="1135"/>
  <c r="E28" i="1135"/>
  <c r="C29" i="1135"/>
  <c r="E33" i="1135"/>
  <c r="F35" i="1135"/>
  <c r="F36" i="1135"/>
  <c r="F37" i="1135"/>
  <c r="E38" i="1135"/>
  <c r="E42" i="1135"/>
  <c r="E45" i="1135"/>
  <c r="E47" i="1135"/>
  <c r="E51" i="1135"/>
  <c r="E53" i="1135"/>
  <c r="F55" i="1135"/>
  <c r="E56" i="1135"/>
  <c r="E59" i="1135"/>
  <c r="E62" i="1135"/>
  <c r="E64" i="1135"/>
  <c r="C65" i="1135"/>
  <c r="C89" i="1135"/>
  <c r="E66" i="1135"/>
  <c r="E68" i="1135"/>
  <c r="F70" i="1135"/>
  <c r="E71" i="1135"/>
  <c r="E73" i="1135"/>
  <c r="E75" i="1135"/>
  <c r="E78" i="1135"/>
  <c r="F79" i="1135"/>
  <c r="F81" i="1135"/>
  <c r="F154" i="1135"/>
  <c r="E154" i="1135"/>
  <c r="E84" i="1135"/>
  <c r="E86" i="1135"/>
  <c r="E88" i="1135"/>
  <c r="E101" i="1135"/>
  <c r="E103" i="1135"/>
  <c r="F105" i="1135"/>
  <c r="E106" i="1135"/>
  <c r="E108" i="1135"/>
  <c r="F110" i="1135"/>
  <c r="F111" i="1135"/>
  <c r="F112" i="1135"/>
  <c r="F113" i="1135"/>
  <c r="F114" i="1135"/>
  <c r="F115" i="1135"/>
  <c r="F116" i="1135"/>
  <c r="F117" i="1135"/>
  <c r="F118" i="1135"/>
  <c r="E119" i="1135"/>
  <c r="E121" i="1135"/>
  <c r="E123" i="1135"/>
  <c r="E125" i="1135"/>
  <c r="E127" i="1135"/>
  <c r="E129" i="1135"/>
  <c r="E132" i="1135"/>
  <c r="E135" i="1135"/>
  <c r="E137" i="1135"/>
  <c r="E139" i="1135"/>
  <c r="E142" i="1135"/>
  <c r="E144" i="1135"/>
  <c r="F146" i="1135"/>
  <c r="E147" i="1135"/>
  <c r="E149" i="1135"/>
  <c r="E151" i="1135"/>
  <c r="E153" i="1135"/>
  <c r="B33" i="1133"/>
  <c r="F7" i="1132"/>
  <c r="F20" i="1132"/>
  <c r="C31" i="1131"/>
  <c r="E31" i="1131"/>
  <c r="E31" i="1130"/>
  <c r="C31" i="1130"/>
  <c r="C30" i="1130"/>
  <c r="C62" i="1129"/>
  <c r="E87" i="1128"/>
  <c r="C86" i="1128"/>
  <c r="C159" i="1128" s="1"/>
  <c r="F154" i="1128"/>
  <c r="D52" i="1128"/>
  <c r="C52" i="1128" s="1"/>
  <c r="C63" i="1128"/>
  <c r="D93" i="1128"/>
  <c r="C129" i="1128"/>
  <c r="D87" i="1127"/>
  <c r="C87" i="1127" s="1"/>
  <c r="C62" i="1127"/>
  <c r="C153" i="1127"/>
  <c r="C159" i="1127" s="1"/>
  <c r="C63" i="1127"/>
  <c r="D111" i="1127"/>
  <c r="C129" i="1127"/>
  <c r="C5" i="1127"/>
  <c r="D129" i="1126"/>
  <c r="D114" i="1126"/>
  <c r="C114" i="1126" s="1"/>
  <c r="I114" i="1126" s="1"/>
  <c r="I110" i="1126"/>
  <c r="I99" i="1126"/>
  <c r="I97" i="1126"/>
  <c r="F93" i="1126"/>
  <c r="F128" i="1126" s="1"/>
  <c r="F154" i="1126" s="1"/>
  <c r="C67" i="1126"/>
  <c r="I67" i="1126" s="1"/>
  <c r="C34" i="1126"/>
  <c r="I34" i="1126" s="1"/>
  <c r="D26" i="1126"/>
  <c r="C26" i="1126" s="1"/>
  <c r="I26" i="1126" s="1"/>
  <c r="C27" i="1126"/>
  <c r="I27" i="1126" s="1"/>
  <c r="E62" i="1126"/>
  <c r="E87" i="1126" s="1"/>
  <c r="D111" i="1126"/>
  <c r="C111" i="1126" s="1"/>
  <c r="C112" i="1126"/>
  <c r="I112" i="1126" s="1"/>
  <c r="I98" i="1126"/>
  <c r="C94" i="1126"/>
  <c r="I94" i="1126" s="1"/>
  <c r="C79" i="1126"/>
  <c r="I79" i="1126" s="1"/>
  <c r="C73" i="1126"/>
  <c r="I73" i="1126" s="1"/>
  <c r="D72" i="1126"/>
  <c r="C72" i="1126" s="1"/>
  <c r="I72" i="1126" s="1"/>
  <c r="E86" i="1126"/>
  <c r="C12" i="1126"/>
  <c r="I12" i="1126" s="1"/>
  <c r="C63" i="1126"/>
  <c r="I63" i="1126" s="1"/>
  <c r="C36" i="1126"/>
  <c r="I36" i="1126" s="1"/>
  <c r="C17" i="1126"/>
  <c r="I17" i="1126" s="1"/>
  <c r="D5" i="1126"/>
  <c r="F58" i="1138" l="1"/>
  <c r="C155" i="1136"/>
  <c r="D155" i="1135" s="1"/>
  <c r="E155" i="1135" s="1"/>
  <c r="D128" i="1135"/>
  <c r="F128" i="1135" s="1"/>
  <c r="C90" i="1136"/>
  <c r="D90" i="1135" s="1"/>
  <c r="D65" i="1135"/>
  <c r="E65" i="1135" s="1"/>
  <c r="F92" i="1132"/>
  <c r="N54" i="1159"/>
  <c r="O52" i="1159"/>
  <c r="O27" i="1156"/>
  <c r="S14" i="1156"/>
  <c r="C42" i="1138"/>
  <c r="F42" i="1138" s="1"/>
  <c r="F155" i="1135"/>
  <c r="C90" i="1135"/>
  <c r="F29" i="1135"/>
  <c r="E29" i="1135"/>
  <c r="F89" i="1135"/>
  <c r="E89" i="1135"/>
  <c r="E33" i="1131"/>
  <c r="C33" i="1131"/>
  <c r="E32" i="1130"/>
  <c r="C32" i="1130"/>
  <c r="C158" i="1129"/>
  <c r="C87" i="1129"/>
  <c r="D128" i="1128"/>
  <c r="C93" i="1128"/>
  <c r="D62" i="1128"/>
  <c r="C111" i="1127"/>
  <c r="H111" i="1126" s="1"/>
  <c r="I111" i="1126" s="1"/>
  <c r="D93" i="1127"/>
  <c r="C5" i="1126"/>
  <c r="I5" i="1126" s="1"/>
  <c r="D62" i="1126"/>
  <c r="D86" i="1126"/>
  <c r="C86" i="1126" s="1"/>
  <c r="D93" i="1126"/>
  <c r="C129" i="1126"/>
  <c r="I129" i="1126" s="1"/>
  <c r="D153" i="1126"/>
  <c r="C153" i="1126" s="1"/>
  <c r="I153" i="1126" s="1"/>
  <c r="F65" i="1135" l="1"/>
  <c r="E128" i="1135"/>
  <c r="F90" i="1135"/>
  <c r="E90" i="1135"/>
  <c r="D87" i="1128"/>
  <c r="C87" i="1128" s="1"/>
  <c r="C62" i="1128"/>
  <c r="D154" i="1128"/>
  <c r="C154" i="1128" s="1"/>
  <c r="C128" i="1128"/>
  <c r="D128" i="1127"/>
  <c r="C93" i="1127"/>
  <c r="H93" i="1126" s="1"/>
  <c r="C93" i="1126"/>
  <c r="D128" i="1126"/>
  <c r="C62" i="1126"/>
  <c r="D87" i="1126"/>
  <c r="C87" i="1126" s="1"/>
  <c r="I87" i="1126" s="1"/>
  <c r="C159" i="1126"/>
  <c r="I86" i="1126"/>
  <c r="I93" i="1126" l="1"/>
  <c r="C158" i="1128"/>
  <c r="D154" i="1127"/>
  <c r="C154" i="1127" s="1"/>
  <c r="H154" i="1126" s="1"/>
  <c r="C128" i="1127"/>
  <c r="C128" i="1126"/>
  <c r="D154" i="1126"/>
  <c r="C154" i="1126" s="1"/>
  <c r="I62" i="1126"/>
  <c r="D51" i="1083"/>
  <c r="D44" i="1083"/>
  <c r="C44" i="1083"/>
  <c r="B44" i="1083"/>
  <c r="E43" i="1083"/>
  <c r="E42" i="1083"/>
  <c r="E41" i="1083"/>
  <c r="E40" i="1083"/>
  <c r="E39" i="1083"/>
  <c r="E38" i="1083"/>
  <c r="E37" i="1083"/>
  <c r="E44" i="1083" s="1"/>
  <c r="D34" i="1083"/>
  <c r="C34" i="1083"/>
  <c r="B34" i="1083"/>
  <c r="E33" i="1083"/>
  <c r="E32" i="1083"/>
  <c r="E31" i="1083"/>
  <c r="E30" i="1083"/>
  <c r="E29" i="1083"/>
  <c r="E28" i="1083"/>
  <c r="E27" i="1083"/>
  <c r="E34" i="1083" s="1"/>
  <c r="D22" i="1083"/>
  <c r="E21" i="1083"/>
  <c r="E20" i="1083"/>
  <c r="E19" i="1083"/>
  <c r="E18" i="1083"/>
  <c r="E17" i="1083"/>
  <c r="C16" i="1083"/>
  <c r="C22" i="1083" s="1"/>
  <c r="B16" i="1083"/>
  <c r="B22" i="1083" s="1"/>
  <c r="E15" i="1083"/>
  <c r="D12" i="1083"/>
  <c r="C12" i="1083"/>
  <c r="B12" i="1083"/>
  <c r="E11" i="1083"/>
  <c r="E10" i="1083"/>
  <c r="E9" i="1083"/>
  <c r="E8" i="1083"/>
  <c r="E7" i="1083"/>
  <c r="E6" i="1083"/>
  <c r="E5" i="1083"/>
  <c r="E12" i="1083" s="1"/>
  <c r="C158" i="1127" l="1"/>
  <c r="H128" i="1126"/>
  <c r="I128" i="1126" s="1"/>
  <c r="C158" i="1126"/>
  <c r="I154" i="1126"/>
  <c r="H159" i="1126"/>
  <c r="E22" i="1083"/>
  <c r="E16" i="1083"/>
  <c r="D29" i="1074" l="1"/>
</calcChain>
</file>

<file path=xl/sharedStrings.xml><?xml version="1.0" encoding="utf-8"?>
<sst xmlns="http://schemas.openxmlformats.org/spreadsheetml/2006/main" count="4447" uniqueCount="748">
  <si>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</si>
  <si>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</si>
  <si>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</si>
  <si>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</si>
  <si>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</si>
  <si>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</si>
  <si>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Pályázati önerő: közművelődés: 200 eFt, könyvtári: 200 eFt</t>
  </si>
  <si>
    <t>Helyi adók</t>
  </si>
  <si>
    <t>Jövedelem adó</t>
  </si>
  <si>
    <t>Vagyoni típusú adók</t>
  </si>
  <si>
    <t xml:space="preserve">Hosszabb id. közfogl. </t>
  </si>
  <si>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</si>
  <si>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</si>
  <si>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</si>
  <si>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</si>
  <si>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</si>
  <si>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</si>
  <si>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</si>
  <si>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</si>
  <si>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</si>
  <si>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</si>
  <si>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</si>
  <si>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</si>
  <si>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</si>
  <si>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</si>
  <si>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</si>
  <si>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</si>
  <si>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</si>
  <si>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</si>
  <si>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</si>
  <si>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</si>
  <si>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</si>
  <si>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</si>
  <si>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</si>
  <si>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</si>
  <si>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</si>
  <si>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</si>
  <si>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</si>
  <si>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</si>
  <si>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</si>
  <si>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</si>
  <si>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</si>
  <si>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</si>
  <si>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</si>
  <si>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</si>
  <si>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</si>
  <si>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</si>
  <si>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</si>
  <si>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</si>
  <si>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</si>
  <si>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</si>
  <si>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</si>
  <si>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</si>
  <si>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</si>
  <si>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</si>
  <si>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</si>
  <si>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</si>
  <si>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</si>
  <si>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</si>
  <si>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</si>
  <si>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</si>
  <si>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</si>
  <si>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</si>
  <si>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</si>
  <si>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</si>
  <si>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</si>
  <si>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</si>
  <si>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</si>
  <si>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</si>
  <si>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</si>
  <si>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</si>
  <si>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</si>
  <si>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</si>
  <si>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</si>
  <si>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</si>
  <si>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</si>
  <si>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</si>
  <si>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</si>
  <si>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</si>
  <si>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</si>
  <si>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</si>
  <si>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</si>
  <si>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</si>
  <si>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</si>
  <si>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</si>
  <si>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</si>
  <si>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</si>
  <si>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</si>
  <si>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</si>
  <si>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</si>
  <si>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</si>
  <si>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</si>
  <si>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</si>
  <si>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</si>
  <si>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</si>
  <si>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</si>
  <si>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</si>
  <si>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</si>
  <si>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</si>
  <si>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</si>
  <si>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</si>
  <si>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</si>
  <si>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</si>
  <si>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</si>
  <si>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</si>
  <si>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</si>
  <si>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</si>
  <si>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</si>
  <si>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</si>
  <si>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</si>
  <si>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</si>
  <si>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</si>
  <si>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</si>
  <si>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</si>
  <si>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</si>
  <si>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</si>
  <si>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</si>
  <si>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</si>
  <si>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</si>
  <si>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</si>
  <si>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</si>
  <si>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</si>
  <si>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</si>
  <si>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</si>
  <si>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</si>
  <si>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</si>
  <si>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</si>
  <si>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</si>
  <si>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</si>
  <si>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</si>
  <si>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</si>
  <si>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</si>
  <si>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</si>
  <si>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</si>
  <si>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</si>
  <si>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</si>
  <si>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</si>
  <si>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</si>
  <si>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</si>
  <si>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</si>
  <si>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</si>
  <si>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</si>
  <si>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</si>
  <si>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</si>
  <si>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</si>
  <si>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</si>
  <si>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</si>
  <si>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</si>
  <si>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</si>
  <si>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</si>
  <si>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</si>
  <si>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</si>
  <si>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</si>
  <si>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</si>
  <si>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</si>
  <si>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</si>
  <si>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</si>
  <si>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</si>
  <si>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</si>
  <si>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</si>
  <si>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</si>
  <si>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</si>
  <si>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</si>
  <si>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</si>
  <si>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</si>
  <si>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</si>
  <si>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</si>
  <si>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</si>
  <si>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</si>
  <si>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</si>
  <si>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</si>
  <si>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</si>
  <si>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</si>
  <si>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</si>
  <si>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</si>
  <si>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</si>
  <si>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</si>
  <si>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</si>
  <si>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</si>
  <si>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</si>
  <si>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</si>
  <si>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</si>
  <si>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</si>
  <si>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</si>
  <si>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</si>
  <si>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</si>
  <si>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</si>
  <si>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</si>
  <si>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</si>
  <si>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</si>
  <si>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</si>
  <si>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</si>
  <si>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</si>
  <si>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</si>
  <si>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</si>
  <si>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</si>
  <si>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</si>
  <si>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</si>
  <si>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</si>
  <si>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</si>
  <si>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</si>
  <si>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</si>
  <si>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</si>
  <si>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</si>
  <si>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</si>
  <si>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</si>
  <si>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</si>
  <si>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</si>
  <si>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</si>
  <si>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</si>
  <si>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</si>
  <si>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</si>
  <si>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</si>
  <si>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</si>
  <si>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</si>
  <si>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</si>
  <si>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</si>
  <si>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</si>
  <si>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</si>
  <si>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</si>
  <si>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</si>
  <si>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</si>
  <si>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</si>
  <si>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</si>
  <si>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</si>
  <si>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</si>
  <si>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</si>
  <si>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</si>
  <si>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</si>
  <si>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</si>
  <si>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</si>
  <si>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</si>
  <si>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</si>
  <si>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</si>
  <si>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</si>
  <si>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</si>
  <si>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</si>
  <si>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</si>
  <si>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</si>
  <si>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</si>
  <si>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</si>
  <si>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</si>
  <si>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</si>
  <si>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</si>
  <si>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</si>
  <si>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</si>
  <si>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</si>
  <si>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</si>
  <si>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</si>
  <si>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</si>
  <si>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</si>
  <si>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</si>
  <si>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</si>
  <si>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</si>
  <si>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</si>
  <si>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</si>
  <si>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</si>
  <si>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</si>
  <si>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</si>
  <si>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</si>
  <si>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</si>
  <si>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</si>
  <si>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</si>
  <si>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</si>
  <si>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</si>
  <si>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</si>
  <si>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</si>
  <si>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</si>
  <si>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</si>
  <si>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</si>
  <si>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</si>
  <si>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</si>
  <si>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</si>
  <si>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</si>
  <si>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</si>
  <si>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</si>
  <si>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</si>
  <si>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</si>
  <si>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</si>
  <si>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</si>
  <si>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</si>
  <si>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</si>
  <si>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</si>
  <si>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</si>
  <si>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</si>
  <si>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</si>
  <si>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</si>
  <si>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</si>
  <si>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</si>
  <si>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</si>
  <si>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</si>
  <si>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</si>
  <si>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</si>
  <si>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</si>
  <si>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</si>
  <si>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</si>
  <si>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</si>
  <si>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</si>
  <si>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</si>
  <si>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</si>
  <si>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</si>
  <si>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</si>
  <si>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</si>
  <si>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</si>
  <si>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</si>
  <si>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</si>
  <si>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</si>
  <si>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</si>
  <si>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</si>
  <si>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</si>
  <si>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</si>
  <si>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</si>
  <si>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</si>
  <si>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</si>
  <si>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</si>
  <si>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</si>
  <si>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</si>
  <si>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</si>
  <si>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</si>
  <si>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</si>
  <si>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</si>
  <si>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</si>
  <si>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</si>
  <si>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</si>
  <si>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</si>
  <si>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</si>
  <si>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</si>
  <si>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</si>
  <si>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</si>
  <si>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</si>
  <si>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</si>
  <si>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</si>
  <si>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</si>
  <si>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</si>
  <si>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</si>
  <si>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</si>
  <si>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</si>
  <si>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</si>
  <si>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</si>
  <si>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</si>
  <si>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</si>
  <si>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</si>
  <si>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</si>
  <si>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</si>
  <si>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</si>
  <si>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</si>
  <si>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</si>
  <si>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</si>
  <si>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</si>
  <si>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</si>
  <si>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</si>
  <si>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</si>
  <si>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</si>
  <si>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</si>
  <si>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</si>
  <si>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</si>
  <si>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</si>
  <si>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</si>
  <si>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</si>
  <si>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</si>
  <si>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</si>
  <si>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</si>
  <si>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</si>
  <si>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</si>
  <si>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</si>
  <si>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</si>
  <si>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</si>
  <si>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</si>
  <si>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</si>
  <si>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</si>
  <si>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</si>
  <si>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</si>
  <si>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</si>
  <si>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</si>
  <si>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</si>
  <si>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</si>
  <si>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</si>
  <si>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</si>
  <si>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</si>
  <si>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</si>
  <si>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</si>
  <si>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</si>
  <si>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</si>
  <si>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</si>
  <si>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</si>
  <si>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</si>
  <si>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</si>
  <si>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</si>
  <si>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</si>
  <si>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</si>
  <si>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</si>
  <si>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</si>
  <si>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</si>
  <si>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</si>
  <si>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</si>
  <si>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</si>
  <si>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</si>
  <si>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</si>
  <si>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</si>
  <si>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</si>
  <si>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</si>
  <si>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</si>
  <si>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</si>
  <si>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</si>
  <si>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</si>
  <si>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</si>
  <si>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</si>
  <si>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</si>
  <si>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</si>
  <si>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</si>
  <si>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</si>
  <si>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</si>
  <si>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</si>
  <si>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</si>
  <si>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</si>
  <si>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</si>
  <si>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</si>
  <si>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</si>
  <si>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</si>
  <si>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</si>
  <si>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</si>
  <si>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</si>
  <si>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</si>
  <si>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</si>
  <si>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</si>
  <si>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</si>
  <si>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</si>
  <si>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</si>
  <si>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</si>
  <si>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</si>
  <si>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</si>
  <si>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</si>
  <si>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</si>
  <si>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</si>
  <si>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</si>
  <si>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</si>
  <si>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</si>
  <si>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</si>
  <si>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</si>
  <si>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</si>
  <si>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</si>
  <si>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</si>
  <si>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</si>
  <si>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</si>
  <si>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</si>
  <si>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</si>
  <si>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</si>
  <si>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</si>
  <si>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</si>
  <si>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</si>
  <si>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</si>
  <si>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</si>
  <si>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</si>
  <si>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</si>
  <si>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</si>
  <si>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</si>
  <si>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</si>
  <si>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</si>
  <si>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</si>
  <si>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</si>
  <si>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</si>
  <si>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</si>
  <si>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</si>
  <si>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Polgármesteri hivatal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</si>
  <si>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</si>
  <si>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</si>
  <si>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</si>
  <si>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</si>
  <si>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</si>
  <si>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</si>
  <si>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</si>
  <si>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</si>
  <si>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</si>
  <si>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</si>
  <si>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</si>
  <si>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</si>
  <si>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</si>
  <si>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</si>
  <si>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</si>
  <si>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</si>
  <si>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</si>
  <si>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</si>
  <si>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</si>
  <si>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</si>
  <si>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</si>
  <si>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</si>
  <si>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</si>
  <si>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</si>
  <si>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</si>
  <si>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</si>
  <si>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</si>
  <si>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</si>
  <si>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</si>
  <si>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</si>
  <si>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</si>
  <si>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</si>
  <si>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</si>
  <si>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</si>
  <si>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</si>
  <si>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</si>
  <si>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</si>
  <si>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</si>
  <si>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</si>
  <si>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</si>
  <si>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</si>
  <si>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</si>
  <si>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</si>
  <si>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</si>
  <si>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</si>
  <si>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</si>
  <si>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</si>
  <si>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</si>
  <si>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</si>
  <si>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</si>
  <si>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</si>
  <si>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</si>
  <si>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</si>
  <si>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</si>
  <si>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</si>
  <si>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</si>
  <si>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</si>
  <si>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</si>
  <si>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</si>
  <si>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</si>
  <si>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</si>
  <si>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</si>
  <si>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</si>
  <si>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</si>
  <si>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</si>
  <si>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</si>
  <si>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</si>
  <si>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</si>
  <si>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</si>
  <si>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</si>
  <si>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</si>
  <si>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</si>
  <si>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</si>
  <si>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</si>
  <si>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</si>
  <si>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</si>
  <si>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</si>
  <si>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</si>
  <si>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</si>
  <si>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</si>
  <si>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</si>
  <si>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</si>
  <si>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</si>
  <si>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</si>
  <si>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</si>
  <si>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</si>
  <si>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</si>
  <si>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</si>
  <si>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</si>
  <si>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</si>
  <si>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</si>
  <si>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</si>
  <si>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</si>
  <si>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</si>
  <si>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</si>
  <si>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</si>
  <si>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</si>
  <si>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</si>
  <si>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</si>
  <si>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</si>
  <si>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</si>
  <si>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</si>
  <si>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</si>
  <si>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</si>
  <si>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</si>
  <si>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</si>
  <si>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</si>
  <si>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</si>
  <si>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Maradvány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</si>
  <si>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</si>
  <si>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</si>
  <si>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</si>
  <si>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</si>
  <si>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</si>
  <si>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</si>
  <si>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</si>
  <si>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</si>
  <si>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</si>
  <si>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</si>
  <si>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</si>
  <si>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</si>
  <si>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</si>
  <si>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</si>
  <si>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</si>
  <si>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</si>
  <si>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</si>
  <si>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</si>
  <si>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</si>
  <si>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</si>
  <si>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</si>
  <si>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</si>
  <si>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</si>
  <si>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</si>
  <si>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</si>
  <si>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</si>
  <si>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</si>
  <si>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</si>
  <si>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</si>
  <si>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Hozzájárulás  (Ft)</t>
  </si>
  <si>
    <t>Egyesített Közműv. Int. és Könyv.</t>
  </si>
  <si>
    <t>- Üdülő VKT bevétel terhére kiadási tartalék</t>
  </si>
  <si>
    <t>Beruházási tartalék</t>
  </si>
  <si>
    <t>Belvíz pályázat tartalék</t>
  </si>
  <si>
    <t>Turizmus fejlesztési támogatások és tevékenységek</t>
  </si>
  <si>
    <t>Nyírvidék Kft. Támogatás</t>
  </si>
  <si>
    <t>Váci Mihály Gimnázium energetikai korszerűsítés</t>
  </si>
  <si>
    <t>- Felhalmozási támogatás</t>
  </si>
  <si>
    <t>Köztemető fenntartás és működtetés</t>
  </si>
  <si>
    <t>Tiszavasvári Egészségügyi Szolg. Kft. (saját tőke vissz.)</t>
  </si>
  <si>
    <t>Dr. Tolna Klári háziorvosi praxis műk.tám.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</si>
  <si>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</si>
  <si>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</si>
  <si>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Fordított ÁFA</t>
  </si>
  <si>
    <t>2018. évi előirányzat</t>
  </si>
  <si>
    <t>2018.évi előirányzat</t>
  </si>
  <si>
    <t>Felhasználás
2017. XII.31-ig</t>
  </si>
  <si>
    <t xml:space="preserve">
2018. év utáni szükséglet
</t>
  </si>
  <si>
    <t>2018. év utáni szükséglet
(6=2 - 4 - 5)</t>
  </si>
  <si>
    <t>2018. előtt</t>
  </si>
  <si>
    <t>2018 után</t>
  </si>
  <si>
    <t xml:space="preserve">2018. évi költségvetése </t>
  </si>
  <si>
    <t xml:space="preserve"> KIADÁSOK</t>
  </si>
  <si>
    <t xml:space="preserve">2018. évi költségvetésében rendelkezésre álló tartalékok </t>
  </si>
  <si>
    <t>2017. évi módosított előirányzat</t>
  </si>
  <si>
    <t>Előirányzat-felhasználási terv
2018. évre</t>
  </si>
  <si>
    <t>Az önkormányzat 2018. évi költségvetésének</t>
  </si>
  <si>
    <t>2018 év</t>
  </si>
  <si>
    <t>2018. év</t>
  </si>
  <si>
    <t>Váci Mihály Gimn.energetikai korszerüsítése</t>
  </si>
  <si>
    <t>Varázsceruza Óvoda III. ütem felújítás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</si>
  <si>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</si>
  <si>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</si>
  <si>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</si>
  <si>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</si>
  <si>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</si>
  <si>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</si>
  <si>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Minimanó Óvoda elektromos felúj.+festés+ fűtéskorszerűsítés</t>
  </si>
  <si>
    <t>Szennyvízbekötés</t>
  </si>
  <si>
    <t>Váci Mihály Gimn. energetikai korszerűsítés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</si>
  <si>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</si>
  <si>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</si>
  <si>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</si>
  <si>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</si>
  <si>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</si>
  <si>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Térfigyelő rendszer kiépítése (2015: 374.185)</t>
  </si>
  <si>
    <t>Mezőőr telefon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</si>
  <si>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</si>
  <si>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</si>
  <si>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</si>
  <si>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</si>
  <si>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508.000, kút létesítés: 1.830.070)</t>
  </si>
  <si>
    <t>Fólia létesítése</t>
  </si>
  <si>
    <t>kis értékű informatikai eszközbeszerzés</t>
  </si>
  <si>
    <t>ASP-hez eszközbeszerzés</t>
  </si>
  <si>
    <t>számítógép beszerzés</t>
  </si>
  <si>
    <t>Petőfi út járda terv, anyag, szolgáltatás</t>
  </si>
  <si>
    <t>Tervek beszerzése</t>
  </si>
  <si>
    <t>- irattári szekrény készítés</t>
  </si>
  <si>
    <t>2018</t>
  </si>
  <si>
    <t>-  2 db klíma beszerzése</t>
  </si>
  <si>
    <t>- 6 db forgószék beszerzése</t>
  </si>
  <si>
    <t>- szőnyeg vásárlás</t>
  </si>
  <si>
    <t>- laptop és nyomtató beszerzése</t>
  </si>
  <si>
    <t>- 6 db kártyaolvasó beszerzése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</si>
  <si>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</si>
  <si>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</si>
  <si>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</si>
  <si>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</si>
  <si>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</si>
  <si>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</si>
  <si>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</si>
  <si>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</si>
  <si>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</si>
  <si>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</si>
  <si>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</si>
  <si>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</si>
  <si>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</si>
  <si>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</si>
  <si>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</si>
  <si>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</si>
  <si>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</si>
  <si>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</si>
  <si>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</si>
  <si>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</si>
  <si>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</si>
  <si>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Család- és Gyermekjóléti Szolgálat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</si>
  <si>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</si>
  <si>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</si>
  <si>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</si>
  <si>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</si>
  <si>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</si>
  <si>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EFOP 3.2.9-16. pályázatból megvalósítandó beruházások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</si>
  <si>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</si>
  <si>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</si>
  <si>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</si>
  <si>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</si>
  <si>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</si>
  <si>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</si>
  <si>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</si>
  <si>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</si>
  <si>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- 1 db porszívó beszerzése</t>
  </si>
  <si>
    <t>- konyhai eszközök beszerzése</t>
  </si>
  <si>
    <t>- bölcsődei textíliák beszerzése</t>
  </si>
  <si>
    <t>Minimanó Óvoda villámhárító felújítása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</si>
  <si>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</si>
  <si>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2017-2018</t>
  </si>
  <si>
    <t>Gyakorlati képz. - szoc. gondozó és ápoló (fő)</t>
  </si>
  <si>
    <t>EFOP 3.2.9-16 pályázat keretében foglalkoztatottak létszáma (fő)</t>
  </si>
  <si>
    <t>Talajterhelési díj bevétele</t>
  </si>
  <si>
    <t>- Temető üzemeltetési tartalék</t>
  </si>
  <si>
    <t>2016. évi tény</t>
  </si>
  <si>
    <t>Tiva-Szolg feladatellátási szerződés alapján támogatás</t>
  </si>
  <si>
    <t xml:space="preserve">BURSA </t>
  </si>
  <si>
    <t>Tiszavasvári SE TAO pályázat önerő-2017</t>
  </si>
  <si>
    <t>Tiszavasvári SE TAO pályázat önerő-2018 labdarúgás</t>
  </si>
  <si>
    <t>Tiszavasvári SE TAO pályázat önerő-2018 kézilabda</t>
  </si>
  <si>
    <t>Tiszavasvári Sportklub TAO pályázat önerő-2018</t>
  </si>
  <si>
    <t>K I M U T A T Á S
a 2018. évben céljelleggel juttatandó támogatásokról</t>
  </si>
  <si>
    <t xml:space="preserve">"
Tiszavasvári Város Önkormányzata
2018. ÉVI KÖLTSÉGVETÉSÉNEK PÉNZÜGYI MÉRLEGE"    
</t>
  </si>
  <si>
    <t>Járóbeteg szakrendelére tárgyi eszköz beszerzés</t>
  </si>
  <si>
    <t>Mezőőri járulék nyilvántartó program beszerzés</t>
  </si>
  <si>
    <t>KEF kis nértékű tárgyi eszköz beszerzés</t>
  </si>
  <si>
    <t>- egyéb kis értékű tárgyi eszközök beszerzése</t>
  </si>
  <si>
    <t>- 1 db laptop beszerzése szoftverrel</t>
  </si>
  <si>
    <t>- 1 db monitor beszerzése</t>
  </si>
  <si>
    <t>Idős ellátás 1 db monitor beszerzése (iroda)</t>
  </si>
  <si>
    <t>Fogyatékos ellátás 1 db nyomtató beszerzése</t>
  </si>
  <si>
    <t>Bentlakásos ellátások beruházási keretösszege</t>
  </si>
  <si>
    <t>- spirálozó és lamináló gép beszerzése</t>
  </si>
  <si>
    <t>Megváltozott munkaképességű munkavállalók foglalkoztatása (fő)</t>
  </si>
  <si>
    <t>- Kormányhivatal által előírt eszközök beszerzése</t>
  </si>
  <si>
    <t>- beépített tároló szekrény és egyéb bútorok beszerzése</t>
  </si>
  <si>
    <t>1 db fűkasza beszerzése</t>
  </si>
  <si>
    <t>Esély otthon pályázat egyéb tárgyi eszköz beszerzés</t>
  </si>
  <si>
    <t>Esély otthon pályázat ingatlan felújítás</t>
  </si>
  <si>
    <t>Pénzbeli ösztönző támogatás</t>
  </si>
  <si>
    <t xml:space="preserve">EU-s projekt neve, azonosítója: Esély és otthon - mindkettő lehetséges! Komplex beavatkozások megvalósítása a fiatalok elvándorlásának csökkentése érdekében Tiszavasváriban. EFOP-1.2.11-16-2017-00009 </t>
  </si>
  <si>
    <t>Önkormányzaton kívüli EU-s projektekhez történő hozzájárulás 2018. évi előirányzat</t>
  </si>
  <si>
    <t>Egyéb működési kiadás</t>
  </si>
  <si>
    <t>Kornisné Központ rezsi csökkentésre vonatkozó szerződés alapján kiadások</t>
  </si>
  <si>
    <t>Dr. Sveda Brigitta támogatás</t>
  </si>
  <si>
    <t>A gyermekek, fiatalok és családok életm. jav. progr.</t>
  </si>
  <si>
    <t>egyéb tárgyi eszköz beszerzés (pl: festmény, függöny, klíma, bútor)</t>
  </si>
  <si>
    <t>Mezőőr kamera állvány, 4 db vadkamera+akkumulátor, sátor és egyéb kisértékű tárgyi eszközök beszerzése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</si>
</sst>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#,##0.0_ ;\-#,##0.0\ "/>
  </numFmts>
  <fonts count="9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3"/>
      <name val="Times New Roman CE"/>
      <family val="1"/>
      <charset val="238"/>
    </font>
    <font>
      <b/>
      <sz val="9"/>
      <color indexed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u/>
      <sz val="1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rgb="FFFF0000"/>
      <name val="Times New Roman CE"/>
      <charset val="238"/>
    </font>
    <font>
      <b/>
      <u/>
      <sz val="10"/>
      <name val="Times New Roman CE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b/>
      <i/>
      <sz val="8"/>
      <color rgb="FFFF0000"/>
      <name val="Times New Roman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2" borderId="0" applyNumberFormat="0" applyBorder="0" applyAlignment="0" applyProtection="0"/>
    <xf numFmtId="0" fontId="37" fillId="6" borderId="0" applyNumberFormat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40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10" fillId="0" borderId="0"/>
    <xf numFmtId="0" fontId="40" fillId="0" borderId="0"/>
    <xf numFmtId="0" fontId="10" fillId="0" borderId="0"/>
    <xf numFmtId="0" fontId="45" fillId="0" borderId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</cellStyleXfs>
  <cellXfs count="105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20" applyFont="1" applyFill="1" applyBorder="1" applyAlignment="1" applyProtection="1">
      <alignment horizontal="center" vertical="center" wrapText="1"/>
    </xf>
    <xf numFmtId="0" fontId="6" fillId="0" borderId="0" xfId="20" applyFont="1" applyFill="1" applyBorder="1" applyAlignment="1" applyProtection="1">
      <alignment vertical="center" wrapText="1"/>
    </xf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19" fillId="0" borderId="5" xfId="20" applyFont="1" applyFill="1" applyBorder="1" applyAlignment="1" applyProtection="1">
      <alignment horizontal="left" vertical="center" wrapText="1" indent="1"/>
    </xf>
    <xf numFmtId="0" fontId="19" fillId="0" borderId="6" xfId="20" applyFont="1" applyFill="1" applyBorder="1" applyAlignment="1" applyProtection="1">
      <alignment horizontal="left" vertical="center" wrapText="1" indent="1"/>
    </xf>
    <xf numFmtId="49" fontId="19" fillId="0" borderId="7" xfId="20" applyNumberFormat="1" applyFont="1" applyFill="1" applyBorder="1" applyAlignment="1" applyProtection="1">
      <alignment horizontal="left" vertical="center" wrapText="1" indent="1"/>
    </xf>
    <xf numFmtId="49" fontId="19" fillId="0" borderId="8" xfId="20" applyNumberFormat="1" applyFont="1" applyFill="1" applyBorder="1" applyAlignment="1" applyProtection="1">
      <alignment horizontal="left" vertical="center" wrapText="1" indent="1"/>
    </xf>
    <xf numFmtId="49" fontId="19" fillId="0" borderId="9" xfId="20" applyNumberFormat="1" applyFont="1" applyFill="1" applyBorder="1" applyAlignment="1" applyProtection="1">
      <alignment horizontal="left" vertical="center" wrapText="1" indent="1"/>
    </xf>
    <xf numFmtId="49" fontId="19" fillId="0" borderId="10" xfId="20" applyNumberFormat="1" applyFont="1" applyFill="1" applyBorder="1" applyAlignment="1" applyProtection="1">
      <alignment horizontal="left" vertical="center" wrapText="1" indent="1"/>
    </xf>
    <xf numFmtId="49" fontId="19" fillId="0" borderId="11" xfId="20" applyNumberFormat="1" applyFont="1" applyFill="1" applyBorder="1" applyAlignment="1" applyProtection="1">
      <alignment horizontal="left" vertical="center" wrapText="1" indent="1"/>
    </xf>
    <xf numFmtId="49" fontId="19" fillId="0" borderId="12" xfId="20" applyNumberFormat="1" applyFont="1" applyFill="1" applyBorder="1" applyAlignment="1" applyProtection="1">
      <alignment horizontal="left" vertical="center" wrapText="1" indent="1"/>
    </xf>
    <xf numFmtId="0" fontId="19" fillId="0" borderId="0" xfId="20" applyFont="1" applyFill="1" applyBorder="1" applyAlignment="1" applyProtection="1">
      <alignment horizontal="left" vertical="center" wrapText="1" indent="1"/>
    </xf>
    <xf numFmtId="0" fontId="17" fillId="0" borderId="13" xfId="20" applyFont="1" applyFill="1" applyBorder="1" applyAlignment="1" applyProtection="1">
      <alignment horizontal="left" vertical="center" wrapText="1" indent="1"/>
    </xf>
    <xf numFmtId="0" fontId="17" fillId="0" borderId="14" xfId="20" applyFont="1" applyFill="1" applyBorder="1" applyAlignment="1" applyProtection="1">
      <alignment horizontal="left" vertical="center" wrapText="1" indent="1"/>
    </xf>
    <xf numFmtId="0" fontId="17" fillId="0" borderId="15" xfId="20" applyFont="1" applyFill="1" applyBorder="1" applyAlignment="1" applyProtection="1">
      <alignment horizontal="left" vertical="center" wrapText="1" indent="1"/>
    </xf>
    <xf numFmtId="0" fontId="7" fillId="0" borderId="13" xfId="20" applyFont="1" applyFill="1" applyBorder="1" applyAlignment="1" applyProtection="1">
      <alignment horizontal="center" vertical="center" wrapText="1"/>
    </xf>
    <xf numFmtId="0" fontId="7" fillId="0" borderId="14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vertical="center" wrapText="1"/>
    </xf>
    <xf numFmtId="0" fontId="17" fillId="0" borderId="16" xfId="20" applyFont="1" applyFill="1" applyBorder="1" applyAlignment="1" applyProtection="1">
      <alignment vertical="center" wrapText="1"/>
    </xf>
    <xf numFmtId="0" fontId="25" fillId="0" borderId="4" xfId="0" applyFont="1" applyBorder="1" applyAlignment="1" applyProtection="1">
      <alignment horizontal="left" vertical="center" indent="1"/>
      <protection locked="0"/>
    </xf>
    <xf numFmtId="3" fontId="25" fillId="0" borderId="17" xfId="0" applyNumberFormat="1" applyFont="1" applyBorder="1" applyAlignment="1" applyProtection="1">
      <alignment horizontal="right" vertical="center" indent="1"/>
      <protection locked="0"/>
    </xf>
    <xf numFmtId="0" fontId="25" fillId="0" borderId="2" xfId="0" applyFont="1" applyBorder="1" applyAlignment="1" applyProtection="1">
      <alignment horizontal="left" vertical="center" indent="1"/>
      <protection locked="0"/>
    </xf>
    <xf numFmtId="3" fontId="25" fillId="0" borderId="18" xfId="0" applyNumberFormat="1" applyFont="1" applyBorder="1" applyAlignment="1" applyProtection="1">
      <alignment horizontal="right" vertical="center" indent="1"/>
      <protection locked="0"/>
    </xf>
    <xf numFmtId="0" fontId="25" fillId="0" borderId="6" xfId="0" applyFont="1" applyBorder="1" applyAlignment="1" applyProtection="1">
      <alignment horizontal="left" vertical="center" indent="1"/>
      <protection locked="0"/>
    </xf>
    <xf numFmtId="0" fontId="17" fillId="0" borderId="13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horizontal="center" vertical="center" wrapText="1"/>
    </xf>
    <xf numFmtId="0" fontId="17" fillId="0" borderId="19" xfId="20" applyFont="1" applyFill="1" applyBorder="1" applyAlignment="1" applyProtection="1">
      <alignment horizontal="center" vertical="center" wrapText="1"/>
    </xf>
    <xf numFmtId="0" fontId="7" fillId="0" borderId="14" xfId="22" applyFont="1" applyFill="1" applyBorder="1" applyAlignment="1" applyProtection="1">
      <alignment horizontal="left" vertical="center" indent="1"/>
    </xf>
    <xf numFmtId="0" fontId="7" fillId="0" borderId="19" xfId="2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5" fillId="0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2" applyFill="1" applyProtection="1"/>
    <xf numFmtId="0" fontId="19" fillId="0" borderId="13" xfId="22" applyFont="1" applyFill="1" applyBorder="1" applyAlignment="1" applyProtection="1">
      <alignment horizontal="left" vertical="center" indent="1"/>
    </xf>
    <xf numFmtId="0" fontId="10" fillId="0" borderId="0" xfId="22" applyFill="1" applyAlignment="1" applyProtection="1">
      <alignment vertical="center"/>
    </xf>
    <xf numFmtId="0" fontId="19" fillId="0" borderId="7" xfId="22" applyFont="1" applyFill="1" applyBorder="1" applyAlignment="1" applyProtection="1">
      <alignment horizontal="left" vertical="center" indent="1"/>
    </xf>
    <xf numFmtId="0" fontId="19" fillId="0" borderId="8" xfId="22" applyFont="1" applyFill="1" applyBorder="1" applyAlignment="1" applyProtection="1">
      <alignment horizontal="left" vertical="center" indent="1"/>
    </xf>
    <xf numFmtId="164" fontId="19" fillId="0" borderId="2" xfId="22" applyNumberFormat="1" applyFont="1" applyFill="1" applyBorder="1" applyAlignment="1" applyProtection="1">
      <alignment vertical="center"/>
      <protection locked="0"/>
    </xf>
    <xf numFmtId="0" fontId="10" fillId="0" borderId="0" xfId="22" applyFill="1" applyAlignment="1" applyProtection="1">
      <alignment vertical="center"/>
      <protection locked="0"/>
    </xf>
    <xf numFmtId="164" fontId="17" fillId="0" borderId="14" xfId="22" applyNumberFormat="1" applyFont="1" applyFill="1" applyBorder="1" applyAlignment="1" applyProtection="1">
      <alignment vertical="center"/>
    </xf>
    <xf numFmtId="164" fontId="17" fillId="0" borderId="19" xfId="22" applyNumberFormat="1" applyFont="1" applyFill="1" applyBorder="1" applyAlignment="1" applyProtection="1">
      <alignment vertical="center"/>
    </xf>
    <xf numFmtId="0" fontId="17" fillId="0" borderId="13" xfId="22" applyFont="1" applyFill="1" applyBorder="1" applyAlignment="1" applyProtection="1">
      <alignment horizontal="left" vertical="center" indent="1"/>
    </xf>
    <xf numFmtId="164" fontId="17" fillId="0" borderId="14" xfId="22" applyNumberFormat="1" applyFont="1" applyFill="1" applyBorder="1" applyProtection="1"/>
    <xf numFmtId="164" fontId="17" fillId="0" borderId="19" xfId="22" applyNumberFormat="1" applyFont="1" applyFill="1" applyBorder="1" applyProtection="1"/>
    <xf numFmtId="0" fontId="10" fillId="0" borderId="0" xfId="22" applyFill="1" applyProtection="1">
      <protection locked="0"/>
    </xf>
    <xf numFmtId="0" fontId="13" fillId="0" borderId="0" xfId="22" applyFont="1" applyFill="1" applyProtection="1"/>
    <xf numFmtId="0" fontId="30" fillId="0" borderId="0" xfId="22" applyFont="1" applyFill="1" applyProtection="1">
      <protection locked="0"/>
    </xf>
    <xf numFmtId="0" fontId="20" fillId="0" borderId="0" xfId="22" applyFont="1" applyFill="1" applyProtection="1">
      <protection locked="0"/>
    </xf>
    <xf numFmtId="164" fontId="7" fillId="7" borderId="14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20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5" fillId="0" borderId="25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indent="6"/>
    </xf>
    <xf numFmtId="0" fontId="19" fillId="0" borderId="2" xfId="20" applyFont="1" applyFill="1" applyBorder="1" applyAlignment="1" applyProtection="1">
      <alignment horizontal="left" vertical="center" wrapText="1" indent="6"/>
    </xf>
    <xf numFmtId="0" fontId="19" fillId="0" borderId="6" xfId="20" applyFont="1" applyFill="1" applyBorder="1" applyAlignment="1" applyProtection="1">
      <alignment horizontal="left" vertical="center" wrapText="1" indent="6"/>
    </xf>
    <xf numFmtId="0" fontId="19" fillId="0" borderId="21" xfId="20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5" fillId="0" borderId="8" xfId="0" applyFont="1" applyBorder="1" applyAlignment="1" applyProtection="1">
      <alignment horizontal="right" vertical="center" indent="1"/>
    </xf>
    <xf numFmtId="164" fontId="13" fillId="8" borderId="27" xfId="0" applyNumberFormat="1" applyFont="1" applyFill="1" applyBorder="1" applyAlignment="1" applyProtection="1">
      <alignment horizontal="left" vertical="center" wrapText="1" indent="2"/>
    </xf>
    <xf numFmtId="3" fontId="27" fillId="0" borderId="19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17" xfId="0" applyNumberFormat="1" applyFont="1" applyFill="1" applyBorder="1" applyAlignment="1" applyProtection="1">
      <alignment vertical="center"/>
    </xf>
    <xf numFmtId="49" fontId="29" fillId="0" borderId="8" xfId="0" quotePrefix="1" applyNumberFormat="1" applyFont="1" applyFill="1" applyBorder="1" applyAlignment="1" applyProtection="1">
      <alignment horizontal="left" vertical="center" indent="1"/>
    </xf>
    <xf numFmtId="3" fontId="29" fillId="0" borderId="18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18" xfId="0" applyNumberFormat="1" applyFont="1" applyFill="1" applyBorder="1" applyAlignment="1" applyProtection="1">
      <alignment vertical="center"/>
    </xf>
    <xf numFmtId="49" fontId="26" fillId="0" borderId="13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0" fontId="19" fillId="0" borderId="2" xfId="22" applyFont="1" applyFill="1" applyBorder="1" applyAlignment="1" applyProtection="1">
      <alignment horizontal="left" vertical="center" indent="1"/>
    </xf>
    <xf numFmtId="0" fontId="19" fillId="0" borderId="3" xfId="22" applyFont="1" applyFill="1" applyBorder="1" applyAlignment="1" applyProtection="1">
      <alignment horizontal="left" vertical="center" wrapText="1" indent="1"/>
    </xf>
    <xf numFmtId="0" fontId="19" fillId="0" borderId="2" xfId="22" applyFont="1" applyFill="1" applyBorder="1" applyAlignment="1" applyProtection="1">
      <alignment horizontal="left" vertical="center" wrapText="1" indent="1"/>
    </xf>
    <xf numFmtId="0" fontId="7" fillId="0" borderId="14" xfId="22" applyFont="1" applyFill="1" applyBorder="1" applyAlignment="1" applyProtection="1">
      <alignment horizontal="left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39" xfId="0" applyFont="1" applyBorder="1" applyAlignment="1" applyProtection="1">
      <alignment horizontal="left" vertical="center" wrapText="1" indent="1"/>
    </xf>
    <xf numFmtId="164" fontId="17" fillId="0" borderId="28" xfId="20" applyNumberFormat="1" applyFont="1" applyFill="1" applyBorder="1" applyAlignment="1" applyProtection="1">
      <alignment horizontal="right" vertical="center" wrapText="1" indent="1"/>
    </xf>
    <xf numFmtId="164" fontId="17" fillId="0" borderId="19" xfId="20" applyNumberFormat="1" applyFont="1" applyFill="1" applyBorder="1" applyAlignment="1" applyProtection="1">
      <alignment horizontal="right" vertical="center" wrapText="1" indent="1"/>
    </xf>
    <xf numFmtId="164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20" applyNumberFormat="1" applyFont="1" applyFill="1" applyBorder="1" applyAlignment="1" applyProtection="1">
      <alignment horizontal="right" vertical="center" wrapText="1" indent="1"/>
    </xf>
    <xf numFmtId="164" fontId="6" fillId="0" borderId="0" xfId="20" applyNumberFormat="1" applyFont="1" applyFill="1" applyBorder="1" applyAlignment="1" applyProtection="1">
      <alignment horizontal="right" vertical="center" wrapText="1" indent="1"/>
    </xf>
    <xf numFmtId="164" fontId="19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left" vertical="center" wrapText="1" indent="1"/>
    </xf>
    <xf numFmtId="164" fontId="19" fillId="0" borderId="43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9" fillId="0" borderId="9" xfId="0" applyNumberFormat="1" applyFont="1" applyFill="1" applyBorder="1" applyAlignment="1" applyProtection="1">
      <alignment horizontal="left" vertical="center" wrapText="1" indent="2"/>
    </xf>
    <xf numFmtId="164" fontId="19" fillId="0" borderId="10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4" fontId="7" fillId="0" borderId="32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16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 wrapText="1"/>
    </xf>
    <xf numFmtId="0" fontId="21" fillId="0" borderId="25" xfId="0" applyFont="1" applyBorder="1" applyAlignment="1" applyProtection="1">
      <alignment horizontal="left" vertical="center" wrapText="1" indent="1"/>
    </xf>
    <xf numFmtId="0" fontId="10" fillId="0" borderId="0" xfId="20" applyFont="1" applyFill="1" applyProtection="1"/>
    <xf numFmtId="0" fontId="10" fillId="0" borderId="0" xfId="20" applyFont="1" applyFill="1" applyAlignment="1" applyProtection="1">
      <alignment horizontal="right" vertical="center" inden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7" fillId="0" borderId="15" xfId="20" applyFont="1" applyFill="1" applyBorder="1" applyAlignment="1" applyProtection="1">
      <alignment horizontal="center" vertical="center" wrapText="1"/>
    </xf>
    <xf numFmtId="0" fontId="17" fillId="0" borderId="16" xfId="20" applyFont="1" applyFill="1" applyBorder="1" applyAlignment="1" applyProtection="1">
      <alignment horizontal="center" vertical="center" wrapText="1"/>
    </xf>
    <xf numFmtId="0" fontId="17" fillId="0" borderId="28" xfId="20" applyFont="1" applyFill="1" applyBorder="1" applyAlignment="1" applyProtection="1">
      <alignment horizontal="center" vertical="center" wrapText="1"/>
    </xf>
    <xf numFmtId="164" fontId="19" fillId="0" borderId="20" xfId="20" applyNumberFormat="1" applyFont="1" applyFill="1" applyBorder="1" applyAlignment="1" applyProtection="1">
      <alignment horizontal="righ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6"/>
    </xf>
    <xf numFmtId="0" fontId="10" fillId="0" borderId="0" xfId="20" applyFill="1" applyProtection="1"/>
    <xf numFmtId="0" fontId="19" fillId="0" borderId="0" xfId="20" applyFont="1" applyFill="1" applyProtection="1"/>
    <xf numFmtId="0" fontId="13" fillId="0" borderId="0" xfId="20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5" xfId="0" applyFont="1" applyBorder="1" applyAlignment="1" applyProtection="1">
      <alignment wrapText="1"/>
    </xf>
    <xf numFmtId="0" fontId="10" fillId="0" borderId="0" xfId="20" applyFill="1" applyAlignment="1" applyProtection="1"/>
    <xf numFmtId="164" fontId="21" fillId="0" borderId="19" xfId="0" quotePrefix="1" applyNumberFormat="1" applyFont="1" applyBorder="1" applyAlignment="1" applyProtection="1">
      <alignment horizontal="right" vertical="center" wrapText="1" indent="1"/>
    </xf>
    <xf numFmtId="0" fontId="20" fillId="0" borderId="0" xfId="20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20" applyNumberFormat="1" applyFont="1" applyFill="1" applyBorder="1" applyAlignment="1" applyProtection="1">
      <alignment horizontal="center" vertical="center" wrapText="1"/>
    </xf>
    <xf numFmtId="49" fontId="19" fillId="0" borderId="8" xfId="20" applyNumberFormat="1" applyFont="1" applyFill="1" applyBorder="1" applyAlignment="1" applyProtection="1">
      <alignment horizontal="center" vertical="center" wrapText="1"/>
    </xf>
    <xf numFmtId="49" fontId="19" fillId="0" borderId="10" xfId="20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39" xfId="0" applyFont="1" applyBorder="1" applyAlignment="1" applyProtection="1">
      <alignment horizontal="center" wrapText="1"/>
    </xf>
    <xf numFmtId="49" fontId="19" fillId="0" borderId="11" xfId="20" applyNumberFormat="1" applyFont="1" applyFill="1" applyBorder="1" applyAlignment="1" applyProtection="1">
      <alignment horizontal="center" vertical="center" wrapText="1"/>
    </xf>
    <xf numFmtId="49" fontId="19" fillId="0" borderId="7" xfId="20" applyNumberFormat="1" applyFont="1" applyFill="1" applyBorder="1" applyAlignment="1" applyProtection="1">
      <alignment horizontal="center" vertical="center" wrapText="1"/>
    </xf>
    <xf numFmtId="49" fontId="19" fillId="0" borderId="12" xfId="20" applyNumberFormat="1" applyFont="1" applyFill="1" applyBorder="1" applyAlignment="1" applyProtection="1">
      <alignment horizontal="center" vertical="center" wrapText="1"/>
    </xf>
    <xf numFmtId="0" fontId="23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20" applyFont="1" applyFill="1" applyBorder="1" applyAlignment="1" applyProtection="1">
      <alignment horizontal="left" vertical="center" wrapText="1" indent="1"/>
    </xf>
    <xf numFmtId="0" fontId="25" fillId="0" borderId="2" xfId="20" applyFont="1" applyFill="1" applyBorder="1" applyAlignment="1" applyProtection="1">
      <alignment horizontal="left" vertical="center" wrapText="1" inden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22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0" fontId="25" fillId="0" borderId="16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164" fontId="32" fillId="0" borderId="2" xfId="0" applyNumberFormat="1" applyFont="1" applyFill="1" applyBorder="1" applyAlignment="1" applyProtection="1">
      <alignment vertical="center" wrapText="1"/>
      <protection locked="0"/>
    </xf>
    <xf numFmtId="49" fontId="3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6" xfId="0" applyNumberFormat="1" applyFont="1" applyFill="1" applyBorder="1" applyAlignment="1" applyProtection="1">
      <alignment vertical="center" wrapText="1"/>
      <protection locked="0"/>
    </xf>
    <xf numFmtId="49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" xfId="22" applyNumberFormat="1" applyFont="1" applyFill="1" applyBorder="1" applyAlignment="1" applyProtection="1">
      <alignment vertical="center"/>
      <protection locked="0"/>
    </xf>
    <xf numFmtId="164" fontId="25" fillId="0" borderId="3" xfId="22" applyNumberFormat="1" applyFont="1" applyFill="1" applyBorder="1" applyAlignment="1" applyProtection="1">
      <alignment vertical="center"/>
      <protection locked="0"/>
    </xf>
    <xf numFmtId="0" fontId="22" fillId="0" borderId="2" xfId="0" quotePrefix="1" applyFont="1" applyBorder="1" applyAlignment="1" applyProtection="1">
      <alignment horizontal="left" wrapText="1" indent="1"/>
    </xf>
    <xf numFmtId="0" fontId="17" fillId="0" borderId="13" xfId="20" applyFont="1" applyFill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vertical="center" wrapText="1"/>
    </xf>
    <xf numFmtId="0" fontId="22" fillId="0" borderId="6" xfId="0" applyFont="1" applyBorder="1" applyAlignment="1" applyProtection="1">
      <alignment vertical="center" wrapText="1"/>
    </xf>
    <xf numFmtId="0" fontId="23" fillId="0" borderId="39" xfId="0" applyFont="1" applyBorder="1" applyAlignment="1" applyProtection="1">
      <alignment vertical="center" wrapText="1"/>
    </xf>
    <xf numFmtId="0" fontId="19" fillId="0" borderId="21" xfId="20" applyFont="1" applyFill="1" applyBorder="1" applyAlignment="1" applyProtection="1">
      <alignment horizontal="left" vertical="center" wrapText="1" indent="7"/>
    </xf>
    <xf numFmtId="0" fontId="17" fillId="0" borderId="39" xfId="20" applyFont="1" applyFill="1" applyBorder="1" applyAlignment="1" applyProtection="1">
      <alignment horizontal="left" vertical="center" wrapText="1" indent="1"/>
    </xf>
    <xf numFmtId="0" fontId="17" fillId="0" borderId="25" xfId="20" applyFont="1" applyFill="1" applyBorder="1" applyAlignment="1" applyProtection="1">
      <alignment vertical="center" wrapText="1"/>
    </xf>
    <xf numFmtId="164" fontId="17" fillId="0" borderId="26" xfId="2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9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4" fillId="0" borderId="13" xfId="20" applyNumberFormat="1" applyFont="1" applyFill="1" applyBorder="1" applyAlignment="1" applyProtection="1">
      <alignment horizontal="center" vertical="center" wrapText="1"/>
    </xf>
    <xf numFmtId="0" fontId="44" fillId="0" borderId="0" xfId="0" applyFont="1" applyFill="1"/>
    <xf numFmtId="164" fontId="53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20" applyNumberFormat="1" applyFont="1" applyFill="1" applyBorder="1" applyAlignment="1" applyProtection="1">
      <alignment horizontal="right" vertical="center" wrapText="1" indent="1"/>
    </xf>
    <xf numFmtId="164" fontId="56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22" applyNumberFormat="1" applyFont="1" applyFill="1" applyBorder="1" applyAlignment="1" applyProtection="1">
      <alignment vertical="center"/>
      <protection locked="0"/>
    </xf>
    <xf numFmtId="164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0" fontId="54" fillId="0" borderId="0" xfId="0" applyFont="1" applyFill="1" applyAlignment="1">
      <alignment vertical="center" wrapText="1"/>
    </xf>
    <xf numFmtId="164" fontId="2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Fill="1" applyAlignment="1" applyProtection="1">
      <alignment vertical="center" wrapText="1"/>
    </xf>
    <xf numFmtId="164" fontId="53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4" fontId="56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ill="1"/>
    <xf numFmtId="0" fontId="19" fillId="0" borderId="0" xfId="20" applyFont="1" applyFill="1"/>
    <xf numFmtId="164" fontId="17" fillId="0" borderId="44" xfId="20" applyNumberFormat="1" applyFont="1" applyFill="1" applyBorder="1" applyAlignment="1" applyProtection="1">
      <alignment horizontal="right" vertical="center" wrapText="1" indent="1"/>
    </xf>
    <xf numFmtId="0" fontId="13" fillId="0" borderId="0" xfId="20" applyFont="1" applyFill="1"/>
    <xf numFmtId="164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20" applyNumberFormat="1" applyFont="1" applyFill="1" applyBorder="1" applyAlignment="1" applyProtection="1">
      <alignment horizontal="right" vertical="center" wrapText="1" indent="1"/>
    </xf>
    <xf numFmtId="164" fontId="25" fillId="0" borderId="2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0" applyFont="1" applyFill="1" applyBorder="1" applyAlignment="1" applyProtection="1">
      <alignment horizontal="center" vertical="center" wrapText="1"/>
    </xf>
    <xf numFmtId="0" fontId="6" fillId="0" borderId="51" xfId="20" applyFont="1" applyFill="1" applyBorder="1" applyAlignment="1" applyProtection="1">
      <alignment vertical="center" wrapText="1"/>
    </xf>
    <xf numFmtId="164" fontId="17" fillId="0" borderId="52" xfId="20" applyNumberFormat="1" applyFont="1" applyFill="1" applyBorder="1" applyAlignment="1" applyProtection="1">
      <alignment horizontal="right" vertical="center" wrapText="1" indent="1"/>
    </xf>
    <xf numFmtId="164" fontId="19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4" xfId="0" applyNumberFormat="1" applyFont="1" applyBorder="1" applyAlignment="1" applyProtection="1">
      <alignment horizontal="right" vertical="center" wrapText="1" indent="1"/>
    </xf>
    <xf numFmtId="164" fontId="21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0" applyFont="1" applyFill="1"/>
    <xf numFmtId="164" fontId="25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3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54" fillId="0" borderId="0" xfId="0" applyNumberFormat="1" applyFont="1" applyFill="1" applyAlignment="1">
      <alignment horizontal="center" vertical="center" wrapText="1"/>
    </xf>
    <xf numFmtId="164" fontId="58" fillId="0" borderId="0" xfId="0" applyNumberFormat="1" applyFont="1" applyFill="1" applyAlignment="1">
      <alignment horizontal="center" vertical="center" wrapText="1"/>
    </xf>
    <xf numFmtId="164" fontId="17" fillId="0" borderId="27" xfId="20" applyNumberFormat="1" applyFont="1" applyFill="1" applyBorder="1" applyAlignment="1" applyProtection="1">
      <alignment horizontal="right" vertical="center" wrapText="1" indent="1"/>
    </xf>
    <xf numFmtId="0" fontId="22" fillId="0" borderId="64" xfId="0" applyFont="1" applyBorder="1" applyAlignment="1" applyProtection="1">
      <alignment horizontal="left" wrapText="1" indent="1"/>
    </xf>
    <xf numFmtId="0" fontId="22" fillId="0" borderId="49" xfId="0" applyFont="1" applyBorder="1" applyAlignment="1" applyProtection="1">
      <alignment horizontal="left" wrapText="1" indent="1"/>
    </xf>
    <xf numFmtId="0" fontId="22" fillId="0" borderId="65" xfId="0" applyFont="1" applyBorder="1" applyAlignment="1" applyProtection="1">
      <alignment horizontal="left" wrapText="1" indent="1"/>
    </xf>
    <xf numFmtId="164" fontId="53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0" xfId="20" applyNumberFormat="1" applyFont="1" applyFill="1" applyBorder="1" applyAlignment="1" applyProtection="1">
      <alignment horizontal="right" vertical="center" wrapText="1" indent="1"/>
    </xf>
    <xf numFmtId="164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center" vertical="center" wrapText="1"/>
    </xf>
    <xf numFmtId="164" fontId="17" fillId="0" borderId="1" xfId="0" applyNumberFormat="1" applyFont="1" applyFill="1" applyBorder="1" applyAlignment="1" applyProtection="1">
      <alignment horizontal="center" vertical="center" wrapText="1"/>
    </xf>
    <xf numFmtId="164" fontId="17" fillId="0" borderId="40" xfId="0" applyNumberFormat="1" applyFont="1" applyFill="1" applyBorder="1" applyAlignment="1" applyProtection="1">
      <alignment horizontal="center" vertical="center" wrapText="1"/>
    </xf>
    <xf numFmtId="49" fontId="3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3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20" applyNumberFormat="1" applyFont="1" applyFill="1" applyBorder="1" applyAlignment="1" applyProtection="1">
      <alignment horizontal="right" vertical="center" wrapText="1" indent="1"/>
    </xf>
    <xf numFmtId="164" fontId="25" fillId="0" borderId="18" xfId="20" applyNumberFormat="1" applyFont="1" applyFill="1" applyBorder="1" applyAlignment="1" applyProtection="1">
      <alignment horizontal="right" vertical="center" wrapText="1" indent="1"/>
    </xf>
    <xf numFmtId="164" fontId="25" fillId="0" borderId="23" xfId="20" applyNumberFormat="1" applyFont="1" applyFill="1" applyBorder="1" applyAlignment="1" applyProtection="1">
      <alignment horizontal="right" vertical="center" wrapText="1" indent="1"/>
    </xf>
    <xf numFmtId="0" fontId="25" fillId="0" borderId="8" xfId="23" applyFont="1" applyBorder="1" applyAlignment="1">
      <alignment horizontal="left"/>
    </xf>
    <xf numFmtId="0" fontId="17" fillId="0" borderId="67" xfId="20" applyFont="1" applyFill="1" applyBorder="1" applyAlignment="1" applyProtection="1">
      <alignment horizontal="center" vertical="center" wrapText="1"/>
    </xf>
    <xf numFmtId="164" fontId="26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8" xfId="20" applyNumberFormat="1" applyFont="1" applyFill="1" applyBorder="1" applyAlignment="1" applyProtection="1">
      <alignment horizontal="right" vertical="center" wrapText="1" indent="1"/>
    </xf>
    <xf numFmtId="164" fontId="19" fillId="0" borderId="23" xfId="20" applyNumberFormat="1" applyFont="1" applyFill="1" applyBorder="1" applyAlignment="1" applyProtection="1">
      <alignment horizontal="right" vertical="center" wrapText="1" indent="1"/>
    </xf>
    <xf numFmtId="164" fontId="19" fillId="0" borderId="19" xfId="20" applyNumberFormat="1" applyFont="1" applyFill="1" applyBorder="1" applyAlignment="1" applyProtection="1">
      <alignment horizontal="right" vertical="center" wrapText="1" indent="1"/>
    </xf>
    <xf numFmtId="164" fontId="17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4" fontId="10" fillId="0" borderId="0" xfId="20" applyNumberFormat="1" applyFill="1" applyProtection="1"/>
    <xf numFmtId="49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61" fillId="0" borderId="2" xfId="0" applyNumberFormat="1" applyFont="1" applyFill="1" applyBorder="1" applyAlignment="1" applyProtection="1">
      <alignment vertical="center"/>
      <protection locked="0"/>
    </xf>
    <xf numFmtId="0" fontId="13" fillId="0" borderId="0" xfId="24" applyFont="1"/>
    <xf numFmtId="0" fontId="40" fillId="0" borderId="0" xfId="24"/>
    <xf numFmtId="0" fontId="47" fillId="0" borderId="0" xfId="24" applyFont="1" applyAlignment="1">
      <alignment horizontal="centerContinuous"/>
    </xf>
    <xf numFmtId="0" fontId="47" fillId="0" borderId="0" xfId="21" applyFont="1" applyAlignment="1">
      <alignment horizontal="centerContinuous"/>
    </xf>
    <xf numFmtId="0" fontId="46" fillId="0" borderId="0" xfId="24" applyFont="1" applyAlignment="1">
      <alignment horizontal="centerContinuous"/>
    </xf>
    <xf numFmtId="0" fontId="46" fillId="0" borderId="0" xfId="21" applyFont="1" applyFill="1" applyAlignment="1">
      <alignment horizontal="centerContinuous"/>
    </xf>
    <xf numFmtId="0" fontId="42" fillId="0" borderId="0" xfId="24" applyFont="1" applyAlignment="1">
      <alignment horizontal="centerContinuous"/>
    </xf>
    <xf numFmtId="0" fontId="52" fillId="0" borderId="0" xfId="24" applyFont="1" applyAlignment="1">
      <alignment horizontal="right"/>
    </xf>
    <xf numFmtId="0" fontId="17" fillId="0" borderId="2" xfId="24" applyFont="1" applyBorder="1" applyAlignment="1">
      <alignment horizontal="center"/>
    </xf>
    <xf numFmtId="0" fontId="17" fillId="0" borderId="18" xfId="24" applyFont="1" applyBorder="1" applyAlignment="1">
      <alignment horizontal="center"/>
    </xf>
    <xf numFmtId="0" fontId="25" fillId="0" borderId="8" xfId="24" applyFont="1" applyBorder="1" applyAlignment="1">
      <alignment horizontal="left"/>
    </xf>
    <xf numFmtId="0" fontId="40" fillId="0" borderId="0" xfId="24" applyFont="1"/>
    <xf numFmtId="3" fontId="40" fillId="0" borderId="0" xfId="24" applyNumberFormat="1"/>
    <xf numFmtId="0" fontId="55" fillId="0" borderId="0" xfId="24" applyFont="1"/>
    <xf numFmtId="0" fontId="3" fillId="0" borderId="0" xfId="19" applyFont="1"/>
    <xf numFmtId="0" fontId="40" fillId="0" borderId="0" xfId="19"/>
    <xf numFmtId="0" fontId="8" fillId="0" borderId="0" xfId="19" applyFont="1" applyAlignment="1">
      <alignment horizontal="center"/>
    </xf>
    <xf numFmtId="0" fontId="42" fillId="0" borderId="0" xfId="19" applyFont="1" applyAlignment="1">
      <alignment horizontal="centerContinuous"/>
    </xf>
    <xf numFmtId="0" fontId="6" fillId="0" borderId="63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3" fillId="0" borderId="52" xfId="19" applyFont="1" applyBorder="1" applyAlignment="1">
      <alignment vertical="center"/>
    </xf>
    <xf numFmtId="0" fontId="40" fillId="0" borderId="0" xfId="19" applyAlignment="1">
      <alignment vertical="center"/>
    </xf>
    <xf numFmtId="0" fontId="40" fillId="0" borderId="0" xfId="19" applyFill="1" applyBorder="1"/>
    <xf numFmtId="0" fontId="40" fillId="0" borderId="0" xfId="19" applyBorder="1"/>
    <xf numFmtId="0" fontId="40" fillId="0" borderId="0" xfId="18"/>
    <xf numFmtId="0" fontId="19" fillId="0" borderId="0" xfId="18" applyFont="1"/>
    <xf numFmtId="0" fontId="17" fillId="0" borderId="0" xfId="18" applyFont="1"/>
    <xf numFmtId="0" fontId="60" fillId="0" borderId="0" xfId="18" applyFont="1"/>
    <xf numFmtId="0" fontId="13" fillId="0" borderId="0" xfId="18" applyFont="1"/>
    <xf numFmtId="0" fontId="25" fillId="0" borderId="0" xfId="18" applyFont="1"/>
    <xf numFmtId="0" fontId="18" fillId="0" borderId="0" xfId="18" applyFont="1" applyAlignment="1">
      <alignment horizontal="right"/>
    </xf>
    <xf numFmtId="49" fontId="42" fillId="0" borderId="0" xfId="18" applyNumberFormat="1" applyFont="1" applyAlignment="1">
      <alignment horizontal="centerContinuous"/>
    </xf>
    <xf numFmtId="0" fontId="19" fillId="0" borderId="0" xfId="18" applyFont="1" applyAlignment="1">
      <alignment horizontal="centerContinuous"/>
    </xf>
    <xf numFmtId="0" fontId="17" fillId="0" borderId="0" xfId="18" applyFont="1" applyAlignment="1">
      <alignment horizontal="centerContinuous"/>
    </xf>
    <xf numFmtId="0" fontId="13" fillId="0" borderId="0" xfId="18" applyFont="1" applyAlignment="1">
      <alignment horizontal="centerContinuous"/>
    </xf>
    <xf numFmtId="0" fontId="4" fillId="0" borderId="0" xfId="18" applyFont="1" applyAlignment="1">
      <alignment horizontal="centerContinuous"/>
    </xf>
    <xf numFmtId="0" fontId="42" fillId="0" borderId="0" xfId="18" applyFont="1" applyAlignment="1">
      <alignment horizontal="centerContinuous"/>
    </xf>
    <xf numFmtId="0" fontId="48" fillId="0" borderId="0" xfId="18" applyFont="1" applyAlignment="1">
      <alignment horizontal="centerContinuous"/>
    </xf>
    <xf numFmtId="0" fontId="6" fillId="0" borderId="63" xfId="18" applyFont="1" applyBorder="1"/>
    <xf numFmtId="0" fontId="6" fillId="0" borderId="51" xfId="18" applyFont="1" applyBorder="1" applyAlignment="1">
      <alignment horizontal="center"/>
    </xf>
    <xf numFmtId="0" fontId="31" fillId="0" borderId="43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7" fillId="0" borderId="6" xfId="18" applyFont="1" applyBorder="1" applyAlignment="1">
      <alignment horizontal="center"/>
    </xf>
    <xf numFmtId="0" fontId="7" fillId="0" borderId="23" xfId="18" applyFont="1" applyBorder="1" applyAlignment="1">
      <alignment horizontal="center"/>
    </xf>
    <xf numFmtId="0" fontId="7" fillId="0" borderId="38" xfId="18" applyFont="1" applyBorder="1" applyAlignment="1">
      <alignment horizontal="center"/>
    </xf>
    <xf numFmtId="0" fontId="16" fillId="0" borderId="60" xfId="18" applyFont="1" applyBorder="1"/>
    <xf numFmtId="0" fontId="7" fillId="0" borderId="7" xfId="18" applyFont="1" applyBorder="1" applyAlignment="1">
      <alignment horizontal="center"/>
    </xf>
    <xf numFmtId="0" fontId="7" fillId="0" borderId="1" xfId="18" applyFont="1" applyBorder="1" applyAlignment="1">
      <alignment horizontal="center"/>
    </xf>
    <xf numFmtId="0" fontId="7" fillId="0" borderId="40" xfId="18" applyFont="1" applyBorder="1" applyAlignment="1">
      <alignment horizontal="center"/>
    </xf>
    <xf numFmtId="0" fontId="7" fillId="0" borderId="0" xfId="18" applyFont="1" applyBorder="1" applyAlignment="1">
      <alignment horizontal="center"/>
    </xf>
    <xf numFmtId="3" fontId="32" fillId="0" borderId="55" xfId="18" applyNumberFormat="1" applyFont="1" applyBorder="1" applyAlignment="1">
      <alignment horizontal="center"/>
    </xf>
    <xf numFmtId="3" fontId="32" fillId="0" borderId="4" xfId="18" applyNumberFormat="1" applyFont="1" applyBorder="1" applyAlignment="1">
      <alignment horizontal="center"/>
    </xf>
    <xf numFmtId="3" fontId="32" fillId="0" borderId="4" xfId="18" applyNumberFormat="1" applyFont="1" applyBorder="1" applyAlignment="1">
      <alignment horizontal="right"/>
    </xf>
    <xf numFmtId="3" fontId="7" fillId="0" borderId="17" xfId="18" applyNumberFormat="1" applyFont="1" applyBorder="1"/>
    <xf numFmtId="3" fontId="7" fillId="0" borderId="51" xfId="18" applyNumberFormat="1" applyFont="1" applyBorder="1"/>
    <xf numFmtId="3" fontId="32" fillId="0" borderId="11" xfId="18" applyNumberFormat="1" applyFont="1" applyBorder="1" applyAlignment="1">
      <alignment horizontal="right"/>
    </xf>
    <xf numFmtId="3" fontId="32" fillId="0" borderId="4" xfId="18" applyNumberFormat="1" applyFont="1" applyBorder="1" applyAlignment="1"/>
    <xf numFmtId="3" fontId="26" fillId="0" borderId="17" xfId="18" applyNumberFormat="1" applyFont="1" applyBorder="1"/>
    <xf numFmtId="0" fontId="41" fillId="0" borderId="0" xfId="18" applyFont="1"/>
    <xf numFmtId="3" fontId="32" fillId="0" borderId="5" xfId="18" applyNumberFormat="1" applyFont="1" applyBorder="1"/>
    <xf numFmtId="3" fontId="32" fillId="0" borderId="2" xfId="18" applyNumberFormat="1" applyFont="1" applyBorder="1"/>
    <xf numFmtId="3" fontId="7" fillId="0" borderId="18" xfId="18" applyNumberFormat="1" applyFont="1" applyBorder="1"/>
    <xf numFmtId="3" fontId="7" fillId="0" borderId="38" xfId="18" applyNumberFormat="1" applyFont="1" applyBorder="1"/>
    <xf numFmtId="3" fontId="32" fillId="0" borderId="8" xfId="18" applyNumberFormat="1" applyFont="1" applyBorder="1"/>
    <xf numFmtId="3" fontId="26" fillId="0" borderId="18" xfId="18" applyNumberFormat="1" applyFont="1" applyBorder="1"/>
    <xf numFmtId="0" fontId="32" fillId="0" borderId="42" xfId="18" applyFont="1" applyBorder="1"/>
    <xf numFmtId="3" fontId="7" fillId="0" borderId="0" xfId="18" applyNumberFormat="1" applyFont="1" applyBorder="1"/>
    <xf numFmtId="3" fontId="32" fillId="0" borderId="2" xfId="18" applyNumberFormat="1" applyFont="1" applyFill="1" applyBorder="1"/>
    <xf numFmtId="3" fontId="7" fillId="0" borderId="49" xfId="18" applyNumberFormat="1" applyFont="1" applyBorder="1"/>
    <xf numFmtId="49" fontId="32" fillId="0" borderId="42" xfId="18" applyNumberFormat="1" applyFont="1" applyBorder="1"/>
    <xf numFmtId="3" fontId="52" fillId="0" borderId="2" xfId="18" applyNumberFormat="1" applyFont="1" applyBorder="1"/>
    <xf numFmtId="3" fontId="52" fillId="0" borderId="5" xfId="18" applyNumberFormat="1" applyFont="1" applyBorder="1"/>
    <xf numFmtId="3" fontId="18" fillId="0" borderId="38" xfId="18" applyNumberFormat="1" applyFont="1" applyBorder="1"/>
    <xf numFmtId="3" fontId="52" fillId="0" borderId="8" xfId="18" applyNumberFormat="1" applyFont="1" applyBorder="1"/>
    <xf numFmtId="49" fontId="52" fillId="0" borderId="42" xfId="18" applyNumberFormat="1" applyFont="1" applyBorder="1"/>
    <xf numFmtId="3" fontId="18" fillId="0" borderId="18" xfId="18" applyNumberFormat="1" applyFont="1" applyBorder="1"/>
    <xf numFmtId="3" fontId="31" fillId="0" borderId="18" xfId="18" applyNumberFormat="1" applyFont="1" applyBorder="1"/>
    <xf numFmtId="3" fontId="32" fillId="0" borderId="73" xfId="18" applyNumberFormat="1" applyFont="1" applyBorder="1"/>
    <xf numFmtId="3" fontId="32" fillId="0" borderId="6" xfId="18" applyNumberFormat="1" applyFont="1" applyBorder="1"/>
    <xf numFmtId="3" fontId="52" fillId="0" borderId="6" xfId="18" applyNumberFormat="1" applyFont="1" applyBorder="1"/>
    <xf numFmtId="3" fontId="26" fillId="0" borderId="23" xfId="18" applyNumberFormat="1" applyFont="1" applyBorder="1"/>
    <xf numFmtId="3" fontId="18" fillId="0" borderId="56" xfId="18" applyNumberFormat="1" applyFont="1" applyBorder="1"/>
    <xf numFmtId="3" fontId="32" fillId="0" borderId="10" xfId="18" applyNumberFormat="1" applyFont="1" applyBorder="1"/>
    <xf numFmtId="3" fontId="32" fillId="0" borderId="73" xfId="18" applyNumberFormat="1" applyFont="1" applyFill="1" applyBorder="1"/>
    <xf numFmtId="3" fontId="32" fillId="0" borderId="6" xfId="18" applyNumberFormat="1" applyFont="1" applyFill="1" applyBorder="1"/>
    <xf numFmtId="0" fontId="7" fillId="0" borderId="41" xfId="18" applyFont="1" applyBorder="1"/>
    <xf numFmtId="3" fontId="7" fillId="0" borderId="55" xfId="18" applyNumberFormat="1" applyFont="1" applyBorder="1"/>
    <xf numFmtId="3" fontId="7" fillId="0" borderId="11" xfId="18" applyNumberFormat="1" applyFont="1" applyBorder="1"/>
    <xf numFmtId="3" fontId="7" fillId="0" borderId="58" xfId="18" applyNumberFormat="1" applyFont="1" applyBorder="1"/>
    <xf numFmtId="3" fontId="40" fillId="0" borderId="0" xfId="18" applyNumberFormat="1"/>
    <xf numFmtId="0" fontId="16" fillId="0" borderId="42" xfId="18" quotePrefix="1" applyFont="1" applyBorder="1"/>
    <xf numFmtId="3" fontId="16" fillId="0" borderId="5" xfId="18" applyNumberFormat="1" applyFont="1" applyBorder="1"/>
    <xf numFmtId="3" fontId="16" fillId="0" borderId="2" xfId="18" applyNumberFormat="1" applyFont="1" applyBorder="1"/>
    <xf numFmtId="3" fontId="7" fillId="0" borderId="8" xfId="18" applyNumberFormat="1" applyFont="1" applyBorder="1"/>
    <xf numFmtId="3" fontId="26" fillId="0" borderId="2" xfId="18" applyNumberFormat="1" applyFont="1" applyBorder="1"/>
    <xf numFmtId="3" fontId="16" fillId="0" borderId="18" xfId="18" applyNumberFormat="1" applyFont="1" applyBorder="1"/>
    <xf numFmtId="0" fontId="7" fillId="0" borderId="74" xfId="18" applyFont="1" applyBorder="1"/>
    <xf numFmtId="3" fontId="7" fillId="0" borderId="54" xfId="18" applyNumberFormat="1" applyFont="1" applyBorder="1"/>
    <xf numFmtId="3" fontId="7" fillId="0" borderId="21" xfId="18" applyNumberFormat="1" applyFont="1" applyBorder="1"/>
    <xf numFmtId="3" fontId="7" fillId="0" borderId="74" xfId="18" applyNumberFormat="1" applyFont="1" applyBorder="1"/>
    <xf numFmtId="3" fontId="7" fillId="0" borderId="22" xfId="18" applyNumberFormat="1" applyFont="1" applyBorder="1"/>
    <xf numFmtId="0" fontId="50" fillId="0" borderId="0" xfId="18" quotePrefix="1" applyFont="1" applyBorder="1"/>
    <xf numFmtId="3" fontId="16" fillId="0" borderId="0" xfId="18" applyNumberFormat="1" applyFont="1" applyBorder="1"/>
    <xf numFmtId="3" fontId="18" fillId="0" borderId="0" xfId="18" applyNumberFormat="1" applyFont="1" applyBorder="1"/>
    <xf numFmtId="3" fontId="16" fillId="0" borderId="0" xfId="18" applyNumberFormat="1" applyFont="1" applyFill="1" applyBorder="1"/>
    <xf numFmtId="3" fontId="50" fillId="0" borderId="0" xfId="18" applyNumberFormat="1" applyFont="1" applyFill="1" applyBorder="1"/>
    <xf numFmtId="3" fontId="50" fillId="0" borderId="0" xfId="18" applyNumberFormat="1" applyFont="1" applyBorder="1"/>
    <xf numFmtId="3" fontId="51" fillId="0" borderId="0" xfId="18" applyNumberFormat="1" applyFont="1" applyBorder="1"/>
    <xf numFmtId="0" fontId="25" fillId="0" borderId="8" xfId="20" applyFont="1" applyFill="1" applyBorder="1" applyAlignment="1" applyProtection="1">
      <alignment horizontal="left"/>
      <protection locked="0"/>
    </xf>
    <xf numFmtId="164" fontId="54" fillId="0" borderId="0" xfId="0" applyNumberFormat="1" applyFont="1" applyFill="1" applyAlignment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164" fontId="49" fillId="0" borderId="18" xfId="0" applyNumberFormat="1" applyFont="1" applyFill="1" applyBorder="1" applyAlignment="1" applyProtection="1">
      <alignment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44" fillId="0" borderId="0" xfId="0" applyFont="1" applyFill="1" applyAlignment="1" applyProtection="1">
      <alignment vertical="center" wrapText="1"/>
    </xf>
    <xf numFmtId="0" fontId="26" fillId="0" borderId="15" xfId="22" applyFont="1" applyFill="1" applyBorder="1" applyAlignment="1" applyProtection="1">
      <alignment horizontal="center" vertical="center" wrapText="1"/>
      <protection locked="0"/>
    </xf>
    <xf numFmtId="0" fontId="26" fillId="0" borderId="16" xfId="22" applyFont="1" applyFill="1" applyBorder="1" applyAlignment="1" applyProtection="1">
      <alignment horizontal="center" vertical="center"/>
      <protection locked="0"/>
    </xf>
    <xf numFmtId="0" fontId="26" fillId="0" borderId="28" xfId="22" applyFont="1" applyFill="1" applyBorder="1" applyAlignment="1" applyProtection="1">
      <alignment horizontal="center" vertical="center"/>
      <protection locked="0"/>
    </xf>
    <xf numFmtId="164" fontId="25" fillId="0" borderId="18" xfId="22" applyNumberFormat="1" applyFont="1" applyFill="1" applyBorder="1" applyAlignment="1" applyProtection="1">
      <alignment vertical="center"/>
    </xf>
    <xf numFmtId="0" fontId="7" fillId="0" borderId="39" xfId="18" applyFont="1" applyBorder="1" applyAlignment="1">
      <alignment horizontal="center"/>
    </xf>
    <xf numFmtId="0" fontId="7" fillId="0" borderId="25" xfId="18" applyFont="1" applyBorder="1" applyAlignment="1">
      <alignment horizontal="center"/>
    </xf>
    <xf numFmtId="0" fontId="7" fillId="0" borderId="26" xfId="18" applyFont="1" applyBorder="1" applyAlignment="1">
      <alignment horizontal="center"/>
    </xf>
    <xf numFmtId="0" fontId="32" fillId="0" borderId="58" xfId="18" applyFont="1" applyBorder="1"/>
    <xf numFmtId="0" fontId="32" fillId="0" borderId="56" xfId="18" applyFont="1" applyBorder="1"/>
    <xf numFmtId="0" fontId="32" fillId="0" borderId="38" xfId="18" applyFont="1" applyBorder="1"/>
    <xf numFmtId="164" fontId="61" fillId="0" borderId="18" xfId="20" applyNumberFormat="1" applyFont="1" applyFill="1" applyBorder="1" applyAlignment="1" applyProtection="1">
      <alignment horizontal="right" vertical="center" wrapText="1" indent="1"/>
    </xf>
    <xf numFmtId="164" fontId="19" fillId="0" borderId="28" xfId="2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6" fillId="0" borderId="0" xfId="0" applyNumberFormat="1" applyFont="1" applyFill="1" applyAlignment="1">
      <alignment vertical="center" wrapText="1"/>
    </xf>
    <xf numFmtId="164" fontId="61" fillId="0" borderId="2" xfId="0" applyNumberFormat="1" applyFont="1" applyFill="1" applyBorder="1" applyAlignment="1" applyProtection="1">
      <alignment vertical="center" wrapText="1"/>
      <protection locked="0"/>
    </xf>
    <xf numFmtId="164" fontId="61" fillId="0" borderId="18" xfId="0" applyNumberFormat="1" applyFont="1" applyFill="1" applyBorder="1" applyAlignment="1" applyProtection="1">
      <alignment vertical="center" wrapText="1"/>
    </xf>
    <xf numFmtId="164" fontId="68" fillId="0" borderId="0" xfId="0" applyNumberFormat="1" applyFont="1" applyFill="1" applyAlignment="1">
      <alignment vertical="center" wrapText="1"/>
    </xf>
    <xf numFmtId="164" fontId="70" fillId="0" borderId="18" xfId="0" applyNumberFormat="1" applyFont="1" applyFill="1" applyBorder="1" applyAlignment="1" applyProtection="1">
      <alignment vertical="center" wrapText="1"/>
    </xf>
    <xf numFmtId="164" fontId="71" fillId="0" borderId="0" xfId="0" applyNumberFormat="1" applyFont="1" applyFill="1" applyAlignment="1">
      <alignment vertical="center" wrapText="1"/>
    </xf>
    <xf numFmtId="164" fontId="72" fillId="0" borderId="0" xfId="0" applyNumberFormat="1" applyFont="1" applyFill="1" applyAlignment="1">
      <alignment vertical="center" wrapText="1"/>
    </xf>
    <xf numFmtId="164" fontId="74" fillId="0" borderId="0" xfId="0" applyNumberFormat="1" applyFont="1" applyFill="1" applyAlignment="1">
      <alignment vertical="center" wrapText="1"/>
    </xf>
    <xf numFmtId="164" fontId="62" fillId="0" borderId="0" xfId="0" applyNumberFormat="1" applyFont="1" applyFill="1" applyAlignment="1">
      <alignment vertical="center" wrapText="1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49" fontId="2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73" fillId="0" borderId="6" xfId="0" applyNumberFormat="1" applyFont="1" applyFill="1" applyBorder="1" applyAlignment="1" applyProtection="1">
      <alignment vertical="center" wrapText="1"/>
      <protection locked="0"/>
    </xf>
    <xf numFmtId="49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32" fillId="0" borderId="1" xfId="0" applyNumberFormat="1" applyFont="1" applyFill="1" applyBorder="1" applyAlignment="1" applyProtection="1">
      <alignment vertical="center" wrapText="1"/>
      <protection locked="0"/>
    </xf>
    <xf numFmtId="49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0" applyFont="1" applyAlignment="1" applyProtection="1">
      <alignment horizontal="right" vertical="top"/>
    </xf>
    <xf numFmtId="49" fontId="76" fillId="0" borderId="17" xfId="0" applyNumberFormat="1" applyFont="1" applyFill="1" applyBorder="1" applyAlignment="1" applyProtection="1">
      <alignment horizontal="right" vertical="center"/>
    </xf>
    <xf numFmtId="49" fontId="76" fillId="0" borderId="45" xfId="0" applyNumberFormat="1" applyFont="1" applyFill="1" applyBorder="1" applyAlignment="1" applyProtection="1">
      <alignment horizontal="right" vertical="center"/>
    </xf>
    <xf numFmtId="0" fontId="77" fillId="0" borderId="0" xfId="0" applyFont="1" applyFill="1" applyAlignment="1" applyProtection="1">
      <alignment horizontal="right"/>
    </xf>
    <xf numFmtId="0" fontId="76" fillId="0" borderId="28" xfId="0" applyFont="1" applyFill="1" applyBorder="1" applyAlignment="1" applyProtection="1">
      <alignment horizontal="center" vertical="center" wrapText="1"/>
    </xf>
    <xf numFmtId="0" fontId="69" fillId="0" borderId="19" xfId="0" applyFont="1" applyFill="1" applyBorder="1" applyAlignment="1" applyProtection="1">
      <alignment horizontal="center" vertical="center" wrapText="1"/>
    </xf>
    <xf numFmtId="164" fontId="76" fillId="0" borderId="32" xfId="0" applyNumberFormat="1" applyFont="1" applyFill="1" applyBorder="1" applyAlignment="1" applyProtection="1">
      <alignment horizontal="center" vertical="center" wrapText="1"/>
    </xf>
    <xf numFmtId="164" fontId="65" fillId="0" borderId="19" xfId="0" applyNumberFormat="1" applyFont="1" applyFill="1" applyBorder="1" applyAlignment="1" applyProtection="1">
      <alignment horizontal="right" vertical="center" wrapText="1" indent="1"/>
    </xf>
    <xf numFmtId="164" fontId="6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6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4" xfId="0" applyNumberFormat="1" applyFont="1" applyFill="1" applyBorder="1" applyAlignment="1" applyProtection="1">
      <alignment horizontal="right" vertical="center" wrapText="1" indent="1"/>
    </xf>
    <xf numFmtId="0" fontId="66" fillId="0" borderId="0" xfId="0" applyFont="1" applyFill="1" applyAlignment="1" applyProtection="1">
      <alignment horizontal="right" vertical="center" wrapText="1" indent="1"/>
    </xf>
    <xf numFmtId="3" fontId="7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0" xfId="0" applyFont="1" applyFill="1" applyAlignment="1" applyProtection="1">
      <alignment vertical="center" wrapText="1"/>
    </xf>
    <xf numFmtId="4" fontId="7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8" xfId="0" applyFont="1" applyFill="1" applyBorder="1" applyAlignment="1" applyProtection="1">
      <alignment horizontal="left" vertical="center"/>
    </xf>
    <xf numFmtId="0" fontId="66" fillId="0" borderId="2" xfId="0" applyFont="1" applyFill="1" applyBorder="1" applyAlignment="1" applyProtection="1">
      <alignment vertical="center" wrapText="1"/>
    </xf>
    <xf numFmtId="164" fontId="69" fillId="0" borderId="19" xfId="0" applyNumberFormat="1" applyFont="1" applyFill="1" applyBorder="1" applyAlignment="1" applyProtection="1">
      <alignment horizontal="right" vertical="center" wrapText="1" indent="1"/>
    </xf>
    <xf numFmtId="16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2" fillId="0" borderId="5" xfId="18" applyNumberFormat="1" applyFont="1" applyFill="1" applyBorder="1"/>
    <xf numFmtId="3" fontId="73" fillId="0" borderId="2" xfId="18" applyNumberFormat="1" applyFont="1" applyBorder="1"/>
    <xf numFmtId="0" fontId="20" fillId="0" borderId="0" xfId="0" applyFont="1" applyAlignment="1">
      <alignment horizontal="center" wrapText="1"/>
    </xf>
    <xf numFmtId="3" fontId="25" fillId="0" borderId="0" xfId="20" applyNumberFormat="1" applyFont="1" applyFill="1" applyProtection="1"/>
    <xf numFmtId="0" fontId="25" fillId="0" borderId="0" xfId="20" applyFont="1" applyFill="1" applyProtection="1"/>
    <xf numFmtId="3" fontId="24" fillId="0" borderId="27" xfId="20" applyNumberFormat="1" applyFont="1" applyFill="1" applyBorder="1" applyProtection="1"/>
    <xf numFmtId="3" fontId="25" fillId="0" borderId="20" xfId="20" applyNumberFormat="1" applyFont="1" applyFill="1" applyBorder="1" applyProtection="1"/>
    <xf numFmtId="3" fontId="25" fillId="0" borderId="18" xfId="20" applyNumberFormat="1" applyFont="1" applyFill="1" applyBorder="1" applyProtection="1"/>
    <xf numFmtId="3" fontId="25" fillId="0" borderId="23" xfId="20" applyNumberFormat="1" applyFont="1" applyFill="1" applyBorder="1" applyProtection="1"/>
    <xf numFmtId="164" fontId="61" fillId="0" borderId="20" xfId="20" applyNumberFormat="1" applyFont="1" applyFill="1" applyBorder="1" applyAlignment="1" applyProtection="1">
      <alignment horizontal="center" vertical="center" wrapText="1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19" fillId="0" borderId="8" xfId="0" applyNumberFormat="1" applyFont="1" applyFill="1" applyBorder="1" applyAlignment="1" applyProtection="1">
      <alignment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3" fontId="19" fillId="0" borderId="0" xfId="0" applyNumberFormat="1" applyFont="1" applyFill="1" applyAlignment="1">
      <alignment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7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 wrapText="1"/>
    </xf>
    <xf numFmtId="3" fontId="17" fillId="0" borderId="27" xfId="0" applyNumberFormat="1" applyFont="1" applyFill="1" applyBorder="1" applyAlignment="1">
      <alignment horizontal="right" vertical="center" wrapText="1"/>
    </xf>
    <xf numFmtId="3" fontId="19" fillId="0" borderId="20" xfId="0" applyNumberFormat="1" applyFont="1" applyFill="1" applyBorder="1" applyAlignment="1">
      <alignment horizontal="right" vertical="center" wrapText="1"/>
    </xf>
    <xf numFmtId="3" fontId="19" fillId="0" borderId="18" xfId="0" applyNumberFormat="1" applyFont="1" applyFill="1" applyBorder="1" applyAlignment="1">
      <alignment horizontal="right" vertical="center" wrapText="1"/>
    </xf>
    <xf numFmtId="3" fontId="19" fillId="0" borderId="23" xfId="0" applyNumberFormat="1" applyFont="1" applyFill="1" applyBorder="1" applyAlignment="1">
      <alignment horizontal="right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19" fillId="0" borderId="0" xfId="0" applyNumberFormat="1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/>
    </xf>
    <xf numFmtId="3" fontId="17" fillId="0" borderId="0" xfId="0" applyNumberFormat="1" applyFont="1" applyFill="1" applyAlignment="1" applyProtection="1">
      <alignment horizontal="center" vertical="center" wrapText="1"/>
    </xf>
    <xf numFmtId="3" fontId="46" fillId="0" borderId="2" xfId="0" applyNumberFormat="1" applyFont="1" applyFill="1" applyBorder="1" applyAlignment="1" applyProtection="1">
      <alignment vertical="center" wrapText="1"/>
    </xf>
    <xf numFmtId="3" fontId="46" fillId="0" borderId="0" xfId="0" applyNumberFormat="1" applyFont="1" applyFill="1" applyAlignment="1" applyProtection="1">
      <alignment vertical="center" wrapText="1"/>
    </xf>
    <xf numFmtId="165" fontId="68" fillId="0" borderId="22" xfId="25" applyNumberFormat="1" applyFont="1" applyFill="1" applyBorder="1" applyAlignment="1" applyProtection="1">
      <alignment horizontal="right" vertical="center" wrapText="1" indent="1"/>
    </xf>
    <xf numFmtId="3" fontId="65" fillId="0" borderId="21" xfId="25" applyNumberFormat="1" applyFont="1" applyBorder="1" applyAlignment="1">
      <alignment horizontal="right"/>
    </xf>
    <xf numFmtId="165" fontId="8" fillId="0" borderId="0" xfId="25" applyNumberFormat="1" applyFont="1" applyAlignment="1">
      <alignment horizontal="center"/>
    </xf>
    <xf numFmtId="165" fontId="13" fillId="0" borderId="0" xfId="25" applyNumberFormat="1" applyFont="1"/>
    <xf numFmtId="165" fontId="3" fillId="0" borderId="0" xfId="25" applyNumberFormat="1" applyFont="1"/>
    <xf numFmtId="165" fontId="42" fillId="0" borderId="0" xfId="25" applyNumberFormat="1" applyFont="1" applyAlignment="1">
      <alignment horizontal="centerContinuous"/>
    </xf>
    <xf numFmtId="165" fontId="8" fillId="0" borderId="0" xfId="25" applyNumberFormat="1" applyFont="1" applyAlignment="1">
      <alignment horizontal="right"/>
    </xf>
    <xf numFmtId="165" fontId="6" fillId="0" borderId="27" xfId="25" applyNumberFormat="1" applyFont="1" applyBorder="1" applyAlignment="1">
      <alignment horizontal="center" vertical="center"/>
    </xf>
    <xf numFmtId="165" fontId="1" fillId="0" borderId="36" xfId="25" applyNumberFormat="1" applyFont="1" applyBorder="1" applyAlignment="1"/>
    <xf numFmtId="165" fontId="13" fillId="0" borderId="0" xfId="25" applyNumberFormat="1" applyFont="1" applyBorder="1" applyAlignment="1"/>
    <xf numFmtId="0" fontId="1" fillId="0" borderId="47" xfId="19" quotePrefix="1" applyFont="1" applyBorder="1"/>
    <xf numFmtId="0" fontId="1" fillId="0" borderId="71" xfId="19" applyFont="1" applyBorder="1"/>
    <xf numFmtId="165" fontId="13" fillId="0" borderId="0" xfId="25" applyNumberFormat="1" applyFont="1" applyBorder="1"/>
    <xf numFmtId="0" fontId="1" fillId="0" borderId="47" xfId="19" applyFont="1" applyBorder="1"/>
    <xf numFmtId="165" fontId="43" fillId="0" borderId="0" xfId="25" applyNumberFormat="1" applyFont="1" applyBorder="1" applyAlignment="1"/>
    <xf numFmtId="0" fontId="20" fillId="0" borderId="0" xfId="22" applyFont="1" applyFill="1" applyBorder="1" applyAlignment="1" applyProtection="1">
      <alignment horizontal="center"/>
    </xf>
    <xf numFmtId="3" fontId="25" fillId="0" borderId="0" xfId="22" applyNumberFormat="1" applyFont="1" applyFill="1" applyProtection="1">
      <protection locked="0"/>
    </xf>
    <xf numFmtId="0" fontId="5" fillId="0" borderId="0" xfId="0" applyFont="1" applyFill="1" applyBorder="1" applyAlignment="1">
      <alignment horizontal="right"/>
    </xf>
    <xf numFmtId="0" fontId="26" fillId="0" borderId="0" xfId="22" applyFont="1" applyFill="1" applyBorder="1" applyAlignment="1" applyProtection="1">
      <alignment horizontal="center" vertical="center"/>
      <protection locked="0"/>
    </xf>
    <xf numFmtId="0" fontId="18" fillId="0" borderId="0" xfId="22" applyFont="1" applyFill="1" applyBorder="1" applyAlignment="1" applyProtection="1">
      <alignment horizontal="left" vertical="center" indent="1"/>
    </xf>
    <xf numFmtId="3" fontId="25" fillId="0" borderId="0" xfId="22" applyNumberFormat="1" applyFont="1" applyFill="1" applyAlignment="1" applyProtection="1">
      <alignment vertical="center"/>
    </xf>
    <xf numFmtId="164" fontId="61" fillId="0" borderId="0" xfId="22" applyNumberFormat="1" applyFont="1" applyFill="1" applyBorder="1" applyAlignment="1" applyProtection="1">
      <alignment vertical="center"/>
    </xf>
    <xf numFmtId="3" fontId="25" fillId="0" borderId="11" xfId="22" applyNumberFormat="1" applyFont="1" applyFill="1" applyBorder="1" applyAlignment="1" applyProtection="1">
      <alignment vertical="center"/>
    </xf>
    <xf numFmtId="3" fontId="25" fillId="0" borderId="17" xfId="22" applyNumberFormat="1" applyFont="1" applyFill="1" applyBorder="1" applyAlignment="1" applyProtection="1">
      <alignment vertical="center"/>
      <protection locked="0"/>
    </xf>
    <xf numFmtId="164" fontId="24" fillId="0" borderId="18" xfId="22" applyNumberFormat="1" applyFont="1" applyFill="1" applyBorder="1" applyAlignment="1" applyProtection="1">
      <alignment vertical="center"/>
    </xf>
    <xf numFmtId="3" fontId="25" fillId="0" borderId="8" xfId="22" applyNumberFormat="1" applyFont="1" applyFill="1" applyBorder="1" applyAlignment="1" applyProtection="1">
      <alignment vertical="center"/>
      <protection locked="0"/>
    </xf>
    <xf numFmtId="3" fontId="25" fillId="0" borderId="18" xfId="22" applyNumberFormat="1" applyFont="1" applyFill="1" applyBorder="1" applyAlignment="1" applyProtection="1">
      <alignment vertical="center"/>
      <protection locked="0"/>
    </xf>
    <xf numFmtId="164" fontId="24" fillId="0" borderId="0" xfId="22" applyNumberFormat="1" applyFont="1" applyFill="1" applyBorder="1" applyAlignment="1" applyProtection="1">
      <alignment vertical="center"/>
    </xf>
    <xf numFmtId="164" fontId="25" fillId="0" borderId="0" xfId="22" applyNumberFormat="1" applyFont="1" applyFill="1" applyBorder="1" applyAlignment="1" applyProtection="1">
      <alignment vertical="center"/>
    </xf>
    <xf numFmtId="3" fontId="25" fillId="0" borderId="10" xfId="22" applyNumberFormat="1" applyFont="1" applyFill="1" applyBorder="1" applyAlignment="1" applyProtection="1">
      <alignment vertical="center"/>
      <protection locked="0"/>
    </xf>
    <xf numFmtId="3" fontId="25" fillId="0" borderId="23" xfId="22" applyNumberFormat="1" applyFont="1" applyFill="1" applyBorder="1" applyAlignment="1" applyProtection="1">
      <alignment vertical="center"/>
      <protection locked="0"/>
    </xf>
    <xf numFmtId="164" fontId="17" fillId="0" borderId="0" xfId="22" applyNumberFormat="1" applyFont="1" applyFill="1" applyBorder="1" applyAlignment="1" applyProtection="1">
      <alignment vertical="center"/>
    </xf>
    <xf numFmtId="3" fontId="25" fillId="0" borderId="27" xfId="22" applyNumberFormat="1" applyFont="1" applyFill="1" applyBorder="1" applyAlignment="1" applyProtection="1">
      <alignment vertical="center"/>
    </xf>
    <xf numFmtId="3" fontId="25" fillId="0" borderId="27" xfId="22" applyNumberFormat="1" applyFont="1" applyFill="1" applyBorder="1" applyAlignment="1" applyProtection="1">
      <alignment vertical="center"/>
      <protection locked="0"/>
    </xf>
    <xf numFmtId="3" fontId="25" fillId="0" borderId="0" xfId="22" applyNumberFormat="1" applyFont="1" applyFill="1" applyAlignment="1" applyProtection="1">
      <alignment vertical="center"/>
      <protection locked="0"/>
    </xf>
    <xf numFmtId="0" fontId="19" fillId="0" borderId="11" xfId="22" applyFont="1" applyFill="1" applyBorder="1" applyAlignment="1" applyProtection="1">
      <alignment horizontal="left" vertical="center" indent="1"/>
    </xf>
    <xf numFmtId="0" fontId="19" fillId="0" borderId="4" xfId="22" applyFont="1" applyFill="1" applyBorder="1" applyAlignment="1" applyProtection="1">
      <alignment horizontal="left" vertical="center" indent="1"/>
    </xf>
    <xf numFmtId="164" fontId="25" fillId="0" borderId="4" xfId="22" applyNumberFormat="1" applyFont="1" applyFill="1" applyBorder="1" applyAlignment="1" applyProtection="1">
      <alignment vertical="center"/>
      <protection locked="0"/>
    </xf>
    <xf numFmtId="3" fontId="25" fillId="0" borderId="11" xfId="22" applyNumberFormat="1" applyFont="1" applyFill="1" applyBorder="1" applyAlignment="1" applyProtection="1">
      <alignment vertical="center"/>
      <protection locked="0"/>
    </xf>
    <xf numFmtId="3" fontId="24" fillId="0" borderId="8" xfId="22" applyNumberFormat="1" applyFont="1" applyFill="1" applyBorder="1" applyAlignment="1" applyProtection="1">
      <alignment vertical="center"/>
      <protection locked="0"/>
    </xf>
    <xf numFmtId="164" fontId="17" fillId="0" borderId="0" xfId="22" applyNumberFormat="1" applyFont="1" applyFill="1" applyBorder="1" applyProtection="1"/>
    <xf numFmtId="0" fontId="10" fillId="0" borderId="0" xfId="22" applyFill="1" applyBorder="1" applyProtection="1"/>
    <xf numFmtId="0" fontId="10" fillId="0" borderId="0" xfId="22" applyFill="1" applyBorder="1" applyProtection="1">
      <protection locked="0"/>
    </xf>
    <xf numFmtId="0" fontId="25" fillId="0" borderId="2" xfId="0" applyFont="1" applyBorder="1" applyAlignment="1" applyProtection="1">
      <alignment horizontal="left" vertical="center" wrapText="1" indent="1"/>
      <protection locked="0"/>
    </xf>
    <xf numFmtId="0" fontId="1" fillId="0" borderId="42" xfId="18" applyFont="1" applyBorder="1"/>
    <xf numFmtId="49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2" xfId="20" applyFont="1" applyFill="1" applyBorder="1" applyProtection="1">
      <protection locked="0"/>
    </xf>
    <xf numFmtId="16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</xf>
    <xf numFmtId="164" fontId="73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73" fillId="0" borderId="21" xfId="0" applyNumberFormat="1" applyFont="1" applyFill="1" applyBorder="1" applyAlignment="1" applyProtection="1">
      <alignment vertical="center" wrapText="1"/>
      <protection locked="0"/>
    </xf>
    <xf numFmtId="49" fontId="73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3" fontId="24" fillId="0" borderId="14" xfId="0" applyNumberFormat="1" applyFont="1" applyFill="1" applyBorder="1" applyAlignment="1" applyProtection="1">
      <alignment vertical="center"/>
    </xf>
    <xf numFmtId="3" fontId="24" fillId="0" borderId="19" xfId="0" applyNumberFormat="1" applyFont="1" applyFill="1" applyBorder="1" applyAlignment="1" applyProtection="1">
      <alignment vertical="center"/>
    </xf>
    <xf numFmtId="164" fontId="6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81" fillId="0" borderId="0" xfId="0" applyFont="1" applyFill="1" applyAlignment="1" applyProtection="1">
      <alignment horizontal="right" vertical="center" wrapText="1" indent="1"/>
    </xf>
    <xf numFmtId="164" fontId="65" fillId="0" borderId="0" xfId="0" applyNumberFormat="1" applyFont="1" applyFill="1" applyBorder="1" applyAlignment="1" applyProtection="1">
      <alignment horizontal="right" vertical="center" wrapText="1" indent="1"/>
    </xf>
    <xf numFmtId="0" fontId="64" fillId="0" borderId="0" xfId="0" applyFont="1" applyFill="1" applyAlignment="1" applyProtection="1">
      <alignment horizontal="right" vertical="center" wrapText="1" indent="1"/>
    </xf>
    <xf numFmtId="3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2" xfId="25" applyNumberFormat="1" applyFont="1" applyFill="1" applyBorder="1" applyAlignment="1" applyProtection="1">
      <alignment horizontal="right" vertical="center" wrapText="1" indent="1"/>
    </xf>
    <xf numFmtId="0" fontId="81" fillId="0" borderId="0" xfId="0" applyFont="1" applyFill="1" applyAlignment="1" applyProtection="1">
      <alignment vertical="center" wrapText="1"/>
    </xf>
    <xf numFmtId="3" fontId="22" fillId="0" borderId="0" xfId="24" applyNumberFormat="1" applyFont="1"/>
    <xf numFmtId="3" fontId="79" fillId="0" borderId="0" xfId="24" applyNumberFormat="1" applyFont="1"/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8" xfId="0" applyNumberFormat="1" applyFont="1" applyFill="1" applyBorder="1" applyAlignment="1" applyProtection="1">
      <alignment vertical="center" wrapText="1"/>
    </xf>
    <xf numFmtId="0" fontId="1" fillId="0" borderId="47" xfId="19" applyFont="1" applyBorder="1" applyAlignment="1">
      <alignment horizontal="left"/>
    </xf>
    <xf numFmtId="0" fontId="1" fillId="0" borderId="71" xfId="19" quotePrefix="1" applyFont="1" applyBorder="1" applyAlignment="1">
      <alignment horizontal="left"/>
    </xf>
    <xf numFmtId="0" fontId="74" fillId="0" borderId="0" xfId="0" applyFont="1" applyFill="1" applyAlignment="1" applyProtection="1">
      <alignment vertical="center" wrapText="1"/>
    </xf>
    <xf numFmtId="0" fontId="0" fillId="11" borderId="0" xfId="0" applyFill="1" applyAlignment="1" applyProtection="1">
      <alignment vertical="center" wrapText="1"/>
    </xf>
    <xf numFmtId="164" fontId="25" fillId="0" borderId="20" xfId="20" applyNumberFormat="1" applyFont="1" applyFill="1" applyBorder="1" applyAlignment="1" applyProtection="1">
      <alignment horizontal="center" vertical="center" wrapText="1"/>
    </xf>
    <xf numFmtId="164" fontId="25" fillId="1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10" borderId="50" xfId="2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20" applyNumberFormat="1" applyFont="1" applyFill="1" applyBorder="1" applyAlignment="1" applyProtection="1">
      <alignment horizontal="center" vertical="center" wrapText="1"/>
    </xf>
    <xf numFmtId="0" fontId="17" fillId="0" borderId="69" xfId="20" applyFont="1" applyFill="1" applyBorder="1" applyAlignment="1" applyProtection="1">
      <alignment vertical="center" wrapText="1"/>
    </xf>
    <xf numFmtId="0" fontId="24" fillId="0" borderId="67" xfId="20" applyFont="1" applyFill="1" applyBorder="1" applyAlignment="1" applyProtection="1">
      <alignment horizontal="left" vertical="center" wrapText="1" indent="1"/>
    </xf>
    <xf numFmtId="164" fontId="24" fillId="0" borderId="40" xfId="20" applyNumberFormat="1" applyFont="1" applyFill="1" applyBorder="1" applyAlignment="1" applyProtection="1">
      <alignment horizontal="center" vertical="center" wrapText="1"/>
    </xf>
    <xf numFmtId="164" fontId="24" fillId="0" borderId="27" xfId="20" applyNumberFormat="1" applyFont="1" applyFill="1" applyBorder="1" applyAlignment="1" applyProtection="1">
      <alignment horizontal="center" vertical="center" wrapText="1"/>
    </xf>
    <xf numFmtId="0" fontId="21" fillId="0" borderId="69" xfId="0" applyFont="1" applyBorder="1" applyAlignment="1" applyProtection="1">
      <alignment horizontal="lef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0" fontId="82" fillId="0" borderId="41" xfId="0" applyFont="1" applyFill="1" applyBorder="1" applyAlignment="1">
      <alignment vertical="center"/>
    </xf>
    <xf numFmtId="164" fontId="13" fillId="0" borderId="8" xfId="0" applyNumberFormat="1" applyFont="1" applyFill="1" applyBorder="1" applyAlignment="1" applyProtection="1">
      <alignment vertical="center" wrapText="1"/>
      <protection locked="0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164" fontId="8" fillId="0" borderId="2" xfId="0" applyNumberFormat="1" applyFont="1" applyFill="1" applyBorder="1" applyAlignment="1" applyProtection="1">
      <alignment vertical="center" wrapText="1"/>
      <protection locked="0"/>
    </xf>
    <xf numFmtId="164" fontId="35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80" fillId="0" borderId="18" xfId="0" applyNumberFormat="1" applyFont="1" applyFill="1" applyBorder="1" applyAlignment="1" applyProtection="1">
      <alignment vertical="center" wrapText="1"/>
    </xf>
    <xf numFmtId="0" fontId="79" fillId="0" borderId="42" xfId="0" quotePrefix="1" applyFont="1" applyFill="1" applyBorder="1" applyAlignment="1">
      <alignment vertical="center"/>
    </xf>
    <xf numFmtId="164" fontId="66" fillId="0" borderId="11" xfId="0" applyNumberFormat="1" applyFont="1" applyFill="1" applyBorder="1" applyAlignment="1" applyProtection="1">
      <alignment horizontal="left" vertical="center" wrapText="1"/>
      <protection locked="0"/>
    </xf>
    <xf numFmtId="3" fontId="64" fillId="0" borderId="4" xfId="0" applyNumberFormat="1" applyFont="1" applyFill="1" applyBorder="1" applyAlignment="1" applyProtection="1">
      <alignment vertical="center"/>
      <protection locked="0"/>
    </xf>
    <xf numFmtId="3" fontId="64" fillId="0" borderId="17" xfId="0" applyNumberFormat="1" applyFont="1" applyFill="1" applyBorder="1" applyAlignment="1" applyProtection="1">
      <alignment vertical="center"/>
    </xf>
    <xf numFmtId="3" fontId="64" fillId="0" borderId="2" xfId="0" applyNumberFormat="1" applyFont="1" applyFill="1" applyBorder="1" applyAlignment="1" applyProtection="1">
      <alignment vertical="center"/>
      <protection locked="0"/>
    </xf>
    <xf numFmtId="3" fontId="64" fillId="0" borderId="18" xfId="0" applyNumberFormat="1" applyFont="1" applyFill="1" applyBorder="1" applyAlignment="1" applyProtection="1">
      <alignment vertical="center"/>
    </xf>
    <xf numFmtId="3" fontId="64" fillId="0" borderId="6" xfId="0" applyNumberFormat="1" applyFont="1" applyFill="1" applyBorder="1" applyAlignment="1" applyProtection="1">
      <alignment vertical="center"/>
      <protection locked="0"/>
    </xf>
    <xf numFmtId="164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6" xfId="25" applyNumberFormat="1" applyFont="1" applyBorder="1"/>
    <xf numFmtId="0" fontId="1" fillId="0" borderId="36" xfId="19" applyFont="1" applyBorder="1"/>
    <xf numFmtId="165" fontId="20" fillId="0" borderId="29" xfId="25" applyNumberFormat="1" applyFont="1" applyBorder="1"/>
    <xf numFmtId="165" fontId="20" fillId="0" borderId="72" xfId="25" applyNumberFormat="1" applyFont="1" applyBorder="1"/>
    <xf numFmtId="165" fontId="20" fillId="0" borderId="53" xfId="25" applyNumberFormat="1" applyFont="1" applyBorder="1"/>
    <xf numFmtId="165" fontId="20" fillId="0" borderId="34" xfId="25" applyNumberFormat="1" applyFont="1" applyBorder="1"/>
    <xf numFmtId="165" fontId="20" fillId="0" borderId="35" xfId="25" applyNumberFormat="1" applyFont="1" applyBorder="1"/>
    <xf numFmtId="165" fontId="20" fillId="0" borderId="44" xfId="25" applyNumberFormat="1" applyFont="1" applyBorder="1"/>
    <xf numFmtId="165" fontId="27" fillId="0" borderId="44" xfId="25" applyNumberFormat="1" applyFont="1" applyBorder="1"/>
    <xf numFmtId="165" fontId="10" fillId="0" borderId="70" xfId="25" quotePrefix="1" applyNumberFormat="1" applyFont="1" applyBorder="1"/>
    <xf numFmtId="165" fontId="10" fillId="0" borderId="57" xfId="25" quotePrefix="1" applyNumberFormat="1" applyFont="1" applyBorder="1"/>
    <xf numFmtId="165" fontId="10" fillId="0" borderId="57" xfId="25" applyNumberFormat="1" applyFont="1" applyBorder="1"/>
    <xf numFmtId="165" fontId="20" fillId="0" borderId="43" xfId="25" applyNumberFormat="1" applyFont="1" applyBorder="1"/>
    <xf numFmtId="165" fontId="20" fillId="0" borderId="0" xfId="25" applyNumberFormat="1" applyFont="1" applyBorder="1"/>
    <xf numFmtId="165" fontId="20" fillId="0" borderId="48" xfId="25" applyNumberFormat="1" applyFont="1" applyBorder="1"/>
    <xf numFmtId="0" fontId="17" fillId="0" borderId="67" xfId="20" applyFont="1" applyFill="1" applyBorder="1" applyAlignment="1" applyProtection="1">
      <alignment horizontal="left" vertical="center" wrapText="1" indent="1"/>
    </xf>
    <xf numFmtId="0" fontId="22" fillId="0" borderId="49" xfId="0" applyFont="1" applyBorder="1" applyAlignment="1" applyProtection="1">
      <alignment horizontal="left" vertical="center" wrapText="1" indent="1"/>
    </xf>
    <xf numFmtId="0" fontId="22" fillId="0" borderId="65" xfId="0" applyFont="1" applyBorder="1" applyAlignment="1" applyProtection="1">
      <alignment horizontal="left" vertical="center" wrapText="1" indent="1"/>
    </xf>
    <xf numFmtId="0" fontId="23" fillId="0" borderId="67" xfId="0" applyFont="1" applyBorder="1" applyAlignment="1" applyProtection="1">
      <alignment horizontal="left" vertical="center" wrapText="1" indent="1"/>
    </xf>
    <xf numFmtId="0" fontId="22" fillId="0" borderId="65" xfId="0" applyFont="1" applyBorder="1" applyAlignment="1" applyProtection="1">
      <alignment vertical="center" wrapText="1"/>
    </xf>
    <xf numFmtId="0" fontId="23" fillId="0" borderId="67" xfId="0" applyFont="1" applyBorder="1" applyAlignment="1" applyProtection="1">
      <alignment wrapText="1"/>
    </xf>
    <xf numFmtId="0" fontId="23" fillId="0" borderId="69" xfId="0" applyFont="1" applyBorder="1" applyAlignment="1" applyProtection="1">
      <alignment wrapText="1"/>
    </xf>
    <xf numFmtId="0" fontId="17" fillId="0" borderId="62" xfId="20" applyFont="1" applyFill="1" applyBorder="1" applyAlignment="1" applyProtection="1">
      <alignment vertical="center" wrapText="1"/>
    </xf>
    <xf numFmtId="0" fontId="19" fillId="0" borderId="68" xfId="20" applyFont="1" applyFill="1" applyBorder="1" applyAlignment="1" applyProtection="1">
      <alignment horizontal="left" vertical="center" wrapText="1" indent="1"/>
    </xf>
    <xf numFmtId="0" fontId="19" fillId="0" borderId="49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6"/>
    </xf>
    <xf numFmtId="0" fontId="19" fillId="0" borderId="71" xfId="20" applyFont="1" applyFill="1" applyBorder="1" applyAlignment="1" applyProtection="1">
      <alignment horizontal="left" vertical="center" wrapText="1" indent="1"/>
    </xf>
    <xf numFmtId="0" fontId="19" fillId="0" borderId="37" xfId="20" applyFont="1" applyFill="1" applyBorder="1" applyAlignment="1" applyProtection="1">
      <alignment horizontal="left" vertical="center" wrapText="1" indent="7"/>
    </xf>
    <xf numFmtId="0" fontId="19" fillId="0" borderId="64" xfId="20" applyFont="1" applyFill="1" applyBorder="1" applyAlignment="1" applyProtection="1">
      <alignment horizontal="left" vertical="center" wrapText="1" indent="1"/>
    </xf>
    <xf numFmtId="0" fontId="19" fillId="0" borderId="66" xfId="20" applyFont="1" applyFill="1" applyBorder="1" applyAlignment="1" applyProtection="1">
      <alignment horizontal="left" vertical="center" wrapText="1" indent="1"/>
    </xf>
    <xf numFmtId="0" fontId="19" fillId="0" borderId="64" xfId="20" applyFont="1" applyFill="1" applyBorder="1" applyAlignment="1" applyProtection="1">
      <alignment horizontal="left" vertical="center" wrapText="1" indent="6"/>
    </xf>
    <xf numFmtId="0" fontId="19" fillId="0" borderId="49" xfId="20" applyFont="1" applyFill="1" applyBorder="1" applyAlignment="1" applyProtection="1">
      <alignment horizontal="left" vertical="center" wrapText="1" indent="6"/>
    </xf>
    <xf numFmtId="0" fontId="7" fillId="0" borderId="67" xfId="20" applyFont="1" applyFill="1" applyBorder="1" applyAlignment="1" applyProtection="1">
      <alignment horizontal="center" vertical="center" wrapText="1"/>
    </xf>
    <xf numFmtId="0" fontId="19" fillId="0" borderId="49" xfId="20" applyFont="1" applyFill="1" applyBorder="1" applyAlignment="1" applyProtection="1">
      <alignment horizontal="left" indent="6"/>
    </xf>
    <xf numFmtId="1" fontId="17" fillId="0" borderId="67" xfId="20" applyNumberFormat="1" applyFont="1" applyFill="1" applyBorder="1" applyAlignment="1" applyProtection="1">
      <alignment horizontal="right" vertical="center" wrapText="1" indent="1"/>
    </xf>
    <xf numFmtId="1" fontId="17" fillId="0" borderId="19" xfId="20" applyNumberFormat="1" applyFont="1" applyFill="1" applyBorder="1" applyAlignment="1" applyProtection="1">
      <alignment horizontal="right" vertical="center" wrapText="1" indent="1"/>
    </xf>
    <xf numFmtId="1" fontId="17" fillId="0" borderId="44" xfId="20" applyNumberFormat="1" applyFont="1" applyFill="1" applyBorder="1" applyAlignment="1" applyProtection="1">
      <alignment horizontal="right" vertical="center" wrapText="1" indent="1"/>
    </xf>
    <xf numFmtId="1" fontId="22" fillId="0" borderId="58" xfId="26" applyNumberFormat="1" applyFont="1" applyBorder="1" applyAlignment="1" applyProtection="1">
      <alignment horizontal="right" wrapText="1" indent="1"/>
    </xf>
    <xf numFmtId="1" fontId="19" fillId="0" borderId="50" xfId="20" applyNumberFormat="1" applyFont="1" applyFill="1" applyBorder="1" applyAlignment="1" applyProtection="1">
      <alignment horizontal="right" vertical="center" wrapText="1" indent="1"/>
    </xf>
    <xf numFmtId="1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41" xfId="26" applyNumberFormat="1" applyFont="1" applyBorder="1" applyAlignment="1" applyProtection="1">
      <alignment horizontal="right" wrapText="1" indent="1"/>
    </xf>
    <xf numFmtId="1" fontId="25" fillId="0" borderId="36" xfId="20" applyNumberFormat="1" applyFont="1" applyFill="1" applyBorder="1" applyAlignment="1" applyProtection="1">
      <alignment horizontal="right" vertical="center" wrapText="1" indent="1"/>
    </xf>
    <xf numFmtId="1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38" xfId="26" applyNumberFormat="1" applyFont="1" applyBorder="1" applyAlignment="1" applyProtection="1">
      <alignment horizontal="right" wrapText="1" indent="1"/>
    </xf>
    <xf numFmtId="1" fontId="25" fillId="0" borderId="32" xfId="20" applyNumberFormat="1" applyFont="1" applyFill="1" applyBorder="1" applyAlignment="1" applyProtection="1">
      <alignment horizontal="right" vertical="center" wrapText="1" indent="1"/>
    </xf>
    <xf numFmtId="1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27" xfId="26" applyNumberFormat="1" applyFont="1" applyBorder="1" applyAlignment="1" applyProtection="1">
      <alignment horizontal="right" wrapText="1" indent="1"/>
    </xf>
    <xf numFmtId="1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36" xfId="20" applyNumberFormat="1" applyFont="1" applyFill="1" applyBorder="1" applyAlignment="1" applyProtection="1">
      <alignment horizontal="right" vertical="center" wrapText="1" indent="1"/>
    </xf>
    <xf numFmtId="1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32" xfId="20" applyNumberFormat="1" applyFont="1" applyFill="1" applyBorder="1" applyAlignment="1" applyProtection="1">
      <alignment horizontal="right" vertical="center" wrapText="1" indent="1"/>
    </xf>
    <xf numFmtId="1" fontId="24" fillId="0" borderId="44" xfId="20" applyNumberFormat="1" applyFont="1" applyFill="1" applyBorder="1" applyAlignment="1" applyProtection="1">
      <alignment horizontal="right" vertical="center" wrapText="1" indent="1"/>
    </xf>
    <xf numFmtId="1" fontId="24" fillId="0" borderId="19" xfId="20" applyNumberFormat="1" applyFont="1" applyFill="1" applyBorder="1" applyAlignment="1" applyProtection="1">
      <alignment horizontal="right" vertical="center" wrapText="1" indent="1"/>
    </xf>
    <xf numFmtId="1" fontId="19" fillId="0" borderId="20" xfId="20" applyNumberFormat="1" applyFont="1" applyFill="1" applyBorder="1" applyAlignment="1" applyProtection="1">
      <alignment horizontal="right" vertical="center" wrapText="1" indent="1"/>
    </xf>
    <xf numFmtId="1" fontId="25" fillId="0" borderId="50" xfId="20" applyNumberFormat="1" applyFont="1" applyFill="1" applyBorder="1" applyAlignment="1" applyProtection="1">
      <alignment horizontal="right" vertical="center" wrapText="1" indent="1"/>
    </xf>
    <xf numFmtId="1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7" xfId="20" applyNumberFormat="1" applyFont="1" applyFill="1" applyBorder="1" applyAlignment="1" applyProtection="1">
      <alignment horizontal="right" vertical="center" wrapText="1" indent="1"/>
    </xf>
    <xf numFmtId="1" fontId="17" fillId="0" borderId="45" xfId="20" applyNumberFormat="1" applyFont="1" applyFill="1" applyBorder="1" applyAlignment="1" applyProtection="1">
      <alignment horizontal="right" vertical="center" wrapText="1" indent="1"/>
    </xf>
    <xf numFmtId="1" fontId="19" fillId="0" borderId="44" xfId="20" applyNumberFormat="1" applyFont="1" applyFill="1" applyBorder="1" applyAlignment="1" applyProtection="1">
      <alignment horizontal="right" vertical="center" wrapText="1" indent="1"/>
    </xf>
    <xf numFmtId="1" fontId="24" fillId="0" borderId="27" xfId="20" applyNumberFormat="1" applyFont="1" applyFill="1" applyBorder="1" applyAlignment="1" applyProtection="1">
      <alignment horizontal="right" vertical="center" wrapText="1" indent="1"/>
    </xf>
    <xf numFmtId="1" fontId="22" fillId="0" borderId="27" xfId="26" applyNumberFormat="1" applyFont="1" applyBorder="1" applyAlignment="1" applyProtection="1">
      <alignment horizontal="right" wrapText="1" indent="1"/>
    </xf>
    <xf numFmtId="1" fontId="17" fillId="0" borderId="52" xfId="20" applyNumberFormat="1" applyFont="1" applyFill="1" applyBorder="1" applyAlignment="1" applyProtection="1">
      <alignment horizontal="right" vertical="center" wrapText="1" indent="1"/>
    </xf>
    <xf numFmtId="1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51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8" xfId="20" applyNumberFormat="1" applyFont="1" applyFill="1" applyBorder="1" applyAlignment="1" applyProtection="1">
      <alignment horizontal="right" vertical="center" wrapText="1" indent="1"/>
    </xf>
    <xf numFmtId="1" fontId="19" fillId="0" borderId="58" xfId="26" applyNumberFormat="1" applyFont="1" applyFill="1" applyBorder="1" applyAlignment="1" applyProtection="1">
      <alignment horizontal="right" wrapText="1" indent="1"/>
    </xf>
    <xf numFmtId="1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" fontId="19" fillId="0" borderId="42" xfId="26" applyNumberFormat="1" applyFont="1" applyFill="1" applyBorder="1" applyAlignment="1" applyProtection="1">
      <alignment horizontal="right" wrapText="1" indent="1"/>
    </xf>
    <xf numFmtId="1" fontId="19" fillId="0" borderId="56" xfId="26" applyNumberFormat="1" applyFont="1" applyFill="1" applyBorder="1" applyAlignment="1" applyProtection="1">
      <alignment horizontal="right" wrapText="1" indent="1"/>
    </xf>
    <xf numFmtId="1" fontId="19" fillId="0" borderId="56" xfId="26" applyNumberFormat="1" applyFont="1" applyFill="1" applyBorder="1" applyAlignment="1" applyProtection="1">
      <alignment horizontal="right" vertical="center" wrapText="1" indent="1"/>
    </xf>
    <xf numFmtId="1" fontId="19" fillId="0" borderId="42" xfId="26" applyNumberFormat="1" applyFont="1" applyFill="1" applyBorder="1" applyAlignment="1" applyProtection="1">
      <alignment horizontal="right" vertical="center" wrapText="1" indent="1"/>
    </xf>
    <xf numFmtId="1" fontId="2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" fontId="17" fillId="0" borderId="26" xfId="20" applyNumberFormat="1" applyFont="1" applyFill="1" applyBorder="1" applyAlignment="1" applyProtection="1">
      <alignment horizontal="right" vertical="center" wrapText="1" indent="1"/>
    </xf>
    <xf numFmtId="1" fontId="19" fillId="0" borderId="41" xfId="26" applyNumberFormat="1" applyFont="1" applyFill="1" applyBorder="1" applyAlignment="1" applyProtection="1">
      <alignment horizontal="right" vertical="center" wrapText="1" indent="1"/>
    </xf>
    <xf numFmtId="1" fontId="19" fillId="0" borderId="38" xfId="26" applyNumberFormat="1" applyFont="1" applyFill="1" applyBorder="1" applyAlignment="1" applyProtection="1">
      <alignment horizontal="right" vertical="center" wrapText="1" indent="1"/>
    </xf>
    <xf numFmtId="1" fontId="19" fillId="0" borderId="56" xfId="20" applyNumberFormat="1" applyFont="1" applyFill="1" applyBorder="1" applyAlignment="1" applyProtection="1">
      <alignment horizontal="right" vertical="center" wrapText="1" indent="1"/>
    </xf>
    <xf numFmtId="1" fontId="2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56" xfId="0" applyNumberFormat="1" applyFont="1" applyBorder="1" applyAlignment="1" applyProtection="1">
      <alignment horizontal="right" vertical="center" wrapText="1" indent="1"/>
    </xf>
    <xf numFmtId="1" fontId="22" fillId="0" borderId="42" xfId="0" applyNumberFormat="1" applyFont="1" applyBorder="1" applyAlignment="1" applyProtection="1">
      <alignment horizontal="right" vertical="center" wrapText="1" indent="1"/>
    </xf>
    <xf numFmtId="1" fontId="19" fillId="0" borderId="41" xfId="20" applyNumberFormat="1" applyFont="1" applyFill="1" applyBorder="1" applyAlignment="1" applyProtection="1">
      <alignment horizontal="right" vertical="center" wrapText="1" indent="1"/>
    </xf>
    <xf numFmtId="1" fontId="19" fillId="0" borderId="38" xfId="20" applyNumberFormat="1" applyFont="1" applyFill="1" applyBorder="1" applyAlignment="1" applyProtection="1">
      <alignment horizontal="right" vertical="center" wrapText="1" indent="1"/>
    </xf>
    <xf numFmtId="1" fontId="23" fillId="0" borderId="44" xfId="0" applyNumberFormat="1" applyFont="1" applyBorder="1" applyAlignment="1" applyProtection="1">
      <alignment horizontal="right" vertical="center" wrapText="1" indent="1"/>
    </xf>
    <xf numFmtId="1" fontId="23" fillId="0" borderId="19" xfId="0" applyNumberFormat="1" applyFont="1" applyBorder="1" applyAlignment="1" applyProtection="1">
      <alignment horizontal="right" vertical="center" wrapText="1" indent="1"/>
    </xf>
    <xf numFmtId="1" fontId="23" fillId="0" borderId="19" xfId="0" applyNumberFormat="1" applyFont="1" applyBorder="1" applyAlignment="1" applyProtection="1">
      <alignment horizontal="right" vertical="center" wrapText="1" indent="1"/>
      <protection locked="0"/>
    </xf>
    <xf numFmtId="1" fontId="21" fillId="0" borderId="44" xfId="0" quotePrefix="1" applyNumberFormat="1" applyFont="1" applyBorder="1" applyAlignment="1" applyProtection="1">
      <alignment horizontal="right" vertical="center" wrapText="1" indent="1"/>
    </xf>
    <xf numFmtId="1" fontId="21" fillId="0" borderId="19" xfId="0" quotePrefix="1" applyNumberFormat="1" applyFont="1" applyBorder="1" applyAlignment="1" applyProtection="1">
      <alignment horizontal="right" vertical="center" wrapText="1" indent="1"/>
    </xf>
    <xf numFmtId="1" fontId="31" fillId="0" borderId="24" xfId="20" applyNumberFormat="1" applyFont="1" applyFill="1" applyBorder="1" applyAlignment="1" applyProtection="1">
      <alignment horizontal="right" vertical="center" indent="1"/>
    </xf>
    <xf numFmtId="1" fontId="31" fillId="0" borderId="0" xfId="20" applyNumberFormat="1" applyFont="1" applyFill="1" applyBorder="1" applyAlignment="1" applyProtection="1">
      <alignment horizontal="right" vertical="center" indent="1"/>
    </xf>
    <xf numFmtId="1" fontId="5" fillId="0" borderId="0" xfId="0" applyNumberFormat="1" applyFont="1" applyFill="1" applyBorder="1" applyAlignment="1" applyProtection="1">
      <alignment horizontal="right" vertical="center" indent="1"/>
    </xf>
    <xf numFmtId="1" fontId="7" fillId="0" borderId="14" xfId="20" applyNumberFormat="1" applyFont="1" applyFill="1" applyBorder="1" applyAlignment="1" applyProtection="1">
      <alignment horizontal="right" vertical="center" wrapText="1" indent="1"/>
    </xf>
    <xf numFmtId="1" fontId="7" fillId="0" borderId="67" xfId="20" applyNumberFormat="1" applyFont="1" applyFill="1" applyBorder="1" applyAlignment="1" applyProtection="1">
      <alignment horizontal="right" vertical="center" wrapText="1" indent="1"/>
    </xf>
    <xf numFmtId="1" fontId="7" fillId="0" borderId="19" xfId="20" applyNumberFormat="1" applyFont="1" applyFill="1" applyBorder="1" applyAlignment="1" applyProtection="1">
      <alignment horizontal="right" vertical="center" wrapText="1" indent="1"/>
    </xf>
    <xf numFmtId="1" fontId="17" fillId="0" borderId="62" xfId="20" applyNumberFormat="1" applyFont="1" applyFill="1" applyBorder="1" applyAlignment="1" applyProtection="1">
      <alignment horizontal="right" vertical="center" wrapText="1" indent="1"/>
    </xf>
    <xf numFmtId="1" fontId="6" fillId="0" borderId="51" xfId="20" applyNumberFormat="1" applyFont="1" applyFill="1" applyBorder="1" applyAlignment="1" applyProtection="1">
      <alignment horizontal="right" vertical="center" wrapText="1" indent="1"/>
    </xf>
    <xf numFmtId="1" fontId="31" fillId="0" borderId="24" xfId="20" applyNumberFormat="1" applyFont="1" applyFill="1" applyBorder="1" applyAlignment="1" applyProtection="1">
      <alignment horizontal="right" indent="1"/>
    </xf>
    <xf numFmtId="1" fontId="5" fillId="0" borderId="24" xfId="0" applyNumberFormat="1" applyFont="1" applyFill="1" applyBorder="1" applyAlignment="1" applyProtection="1">
      <alignment horizontal="right" vertical="center" indent="1"/>
    </xf>
    <xf numFmtId="1" fontId="7" fillId="0" borderId="27" xfId="20" applyNumberFormat="1" applyFont="1" applyFill="1" applyBorder="1" applyAlignment="1" applyProtection="1">
      <alignment horizontal="right" vertical="center" wrapText="1" indent="1"/>
    </xf>
    <xf numFmtId="1" fontId="7" fillId="0" borderId="33" xfId="20" applyNumberFormat="1" applyFont="1" applyFill="1" applyBorder="1" applyAlignment="1" applyProtection="1">
      <alignment horizontal="right" vertical="center" wrapText="1" indent="1"/>
    </xf>
    <xf numFmtId="1" fontId="17" fillId="0" borderId="33" xfId="20" applyNumberFormat="1" applyFont="1" applyFill="1" applyBorder="1" applyAlignment="1" applyProtection="1">
      <alignment horizontal="right" vertical="center" wrapText="1" indent="1"/>
    </xf>
    <xf numFmtId="1" fontId="19" fillId="0" borderId="56" xfId="26" applyNumberFormat="1" applyFont="1" applyFill="1" applyBorder="1" applyAlignment="1" applyProtection="1">
      <alignment horizontal="right" indent="1"/>
    </xf>
    <xf numFmtId="1" fontId="25" fillId="0" borderId="42" xfId="26" applyNumberFormat="1" applyFont="1" applyFill="1" applyBorder="1" applyAlignment="1" applyProtection="1">
      <alignment horizontal="right" vertical="center" wrapText="1" indent="1"/>
    </xf>
    <xf numFmtId="1" fontId="19" fillId="0" borderId="74" xfId="26" applyNumberFormat="1" applyFont="1" applyFill="1" applyBorder="1" applyAlignment="1" applyProtection="1">
      <alignment horizontal="right" vertical="center" wrapText="1" indent="1"/>
    </xf>
    <xf numFmtId="1" fontId="19" fillId="0" borderId="42" xfId="20" applyNumberFormat="1" applyFont="1" applyFill="1" applyBorder="1" applyAlignment="1" applyProtection="1">
      <alignment horizontal="right" vertical="center" wrapText="1" indent="1"/>
    </xf>
    <xf numFmtId="1" fontId="10" fillId="0" borderId="0" xfId="20" applyNumberFormat="1" applyFont="1" applyFill="1" applyAlignment="1">
      <alignment horizontal="right" indent="1"/>
    </xf>
    <xf numFmtId="1" fontId="19" fillId="0" borderId="27" xfId="2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/>
    </xf>
    <xf numFmtId="164" fontId="25" fillId="0" borderId="17" xfId="20" applyNumberFormat="1" applyFont="1" applyFill="1" applyBorder="1" applyAlignment="1" applyProtection="1">
      <alignment horizontal="right" vertical="center" wrapText="1" indent="1"/>
    </xf>
    <xf numFmtId="164" fontId="25" fillId="0" borderId="22" xfId="20" applyNumberFormat="1" applyFont="1" applyFill="1" applyBorder="1" applyAlignment="1" applyProtection="1">
      <alignment horizontal="right" vertical="center" wrapText="1" indent="1"/>
    </xf>
    <xf numFmtId="164" fontId="17" fillId="0" borderId="17" xfId="20" applyNumberFormat="1" applyFont="1" applyFill="1" applyBorder="1" applyAlignment="1" applyProtection="1">
      <alignment horizontal="right" vertical="center" wrapText="1" indent="1"/>
    </xf>
    <xf numFmtId="164" fontId="17" fillId="0" borderId="18" xfId="20" applyNumberFormat="1" applyFont="1" applyFill="1" applyBorder="1" applyAlignment="1" applyProtection="1">
      <alignment horizontal="right" vertical="center" wrapText="1" indent="1"/>
    </xf>
    <xf numFmtId="164" fontId="17" fillId="0" borderId="22" xfId="20" applyNumberFormat="1" applyFont="1" applyFill="1" applyBorder="1" applyAlignment="1" applyProtection="1">
      <alignment horizontal="right" vertical="center" wrapText="1" indent="1"/>
    </xf>
    <xf numFmtId="164" fontId="17" fillId="0" borderId="20" xfId="20" applyNumberFormat="1" applyFont="1" applyFill="1" applyBorder="1" applyAlignment="1" applyProtection="1">
      <alignment horizontal="right" vertical="center" wrapText="1" indent="1"/>
    </xf>
    <xf numFmtId="164" fontId="61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27" applyNumberFormat="1" applyFont="1" applyFill="1" applyBorder="1" applyAlignment="1" applyProtection="1">
      <alignment horizontal="left" vertical="center" wrapText="1"/>
      <protection locked="0"/>
    </xf>
    <xf numFmtId="164" fontId="25" fillId="0" borderId="9" xfId="27" applyNumberFormat="1" applyFont="1" applyFill="1" applyBorder="1" applyAlignment="1" applyProtection="1">
      <alignment vertical="center" wrapText="1"/>
      <protection locked="0"/>
    </xf>
    <xf numFmtId="164" fontId="25" fillId="0" borderId="42" xfId="27" applyNumberFormat="1" applyFont="1" applyFill="1" applyBorder="1" applyAlignment="1" applyProtection="1">
      <alignment horizontal="left" vertical="center" wrapText="1"/>
      <protection locked="0"/>
    </xf>
    <xf numFmtId="164" fontId="25" fillId="0" borderId="8" xfId="27" applyNumberFormat="1" applyFont="1" applyFill="1" applyBorder="1" applyAlignment="1" applyProtection="1">
      <alignment vertical="center" wrapText="1"/>
      <protection locked="0"/>
    </xf>
    <xf numFmtId="164" fontId="25" fillId="0" borderId="38" xfId="27" applyNumberFormat="1" applyFont="1" applyFill="1" applyBorder="1" applyAlignment="1" applyProtection="1">
      <alignment horizontal="left" vertical="center" wrapText="1"/>
      <protection locked="0"/>
    </xf>
    <xf numFmtId="164" fontId="19" fillId="0" borderId="42" xfId="27" applyNumberFormat="1" applyFont="1" applyFill="1" applyBorder="1" applyAlignment="1" applyProtection="1">
      <alignment horizontal="left" vertical="center" wrapText="1"/>
      <protection locked="0"/>
    </xf>
    <xf numFmtId="164" fontId="19" fillId="0" borderId="8" xfId="27" applyNumberFormat="1" applyFont="1" applyFill="1" applyBorder="1" applyAlignment="1" applyProtection="1">
      <alignment vertical="center" wrapText="1"/>
      <protection locked="0"/>
    </xf>
    <xf numFmtId="0" fontId="22" fillId="0" borderId="42" xfId="27" applyFont="1" applyFill="1" applyBorder="1" applyAlignment="1">
      <alignment vertical="center"/>
    </xf>
    <xf numFmtId="164" fontId="19" fillId="0" borderId="5" xfId="27" applyNumberFormat="1" applyFont="1" applyFill="1" applyBorder="1" applyAlignment="1" applyProtection="1">
      <alignment vertical="center" wrapText="1"/>
      <protection locked="0"/>
    </xf>
    <xf numFmtId="0" fontId="36" fillId="0" borderId="41" xfId="27" applyFont="1" applyFill="1" applyBorder="1" applyAlignment="1">
      <alignment vertical="center"/>
    </xf>
    <xf numFmtId="0" fontId="79" fillId="0" borderId="41" xfId="27" applyFont="1" applyFill="1" applyBorder="1" applyAlignment="1">
      <alignment vertical="center"/>
    </xf>
    <xf numFmtId="164" fontId="19" fillId="0" borderId="76" xfId="27" applyNumberFormat="1" applyFont="1" applyFill="1" applyBorder="1" applyAlignment="1" applyProtection="1">
      <alignment vertical="center" wrapText="1"/>
      <protection locked="0"/>
    </xf>
    <xf numFmtId="49" fontId="6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73" fillId="0" borderId="34" xfId="0" applyNumberFormat="1" applyFont="1" applyFill="1" applyBorder="1" applyAlignment="1" applyProtection="1">
      <alignment horizontal="left" vertical="center" wrapText="1"/>
    </xf>
    <xf numFmtId="164" fontId="61" fillId="0" borderId="27" xfId="0" applyNumberFormat="1" applyFont="1" applyFill="1" applyBorder="1" applyAlignment="1" applyProtection="1">
      <alignment vertical="center" wrapText="1"/>
    </xf>
    <xf numFmtId="164" fontId="61" fillId="7" borderId="33" xfId="0" applyNumberFormat="1" applyFont="1" applyFill="1" applyBorder="1" applyAlignment="1" applyProtection="1">
      <alignment vertical="center" wrapText="1"/>
    </xf>
    <xf numFmtId="164" fontId="61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44" xfId="0" applyNumberFormat="1" applyFont="1" applyFill="1" applyBorder="1" applyAlignment="1" applyProtection="1">
      <alignment horizontal="right" vertical="center" wrapText="1" indent="1"/>
    </xf>
    <xf numFmtId="164" fontId="61" fillId="0" borderId="19" xfId="0" applyNumberFormat="1" applyFont="1" applyFill="1" applyBorder="1" applyAlignment="1" applyProtection="1">
      <alignment horizontal="right" vertical="center" wrapText="1" indent="1"/>
    </xf>
    <xf numFmtId="164" fontId="70" fillId="0" borderId="19" xfId="0" applyNumberFormat="1" applyFont="1" applyFill="1" applyBorder="1" applyAlignment="1" applyProtection="1">
      <alignment horizontal="right" vertical="center" wrapText="1" indent="1"/>
    </xf>
    <xf numFmtId="3" fontId="61" fillId="0" borderId="18" xfId="24" applyNumberFormat="1" applyFont="1" applyBorder="1" applyAlignment="1">
      <alignment horizontal="right"/>
    </xf>
    <xf numFmtId="165" fontId="62" fillId="0" borderId="44" xfId="25" applyNumberFormat="1" applyFont="1" applyBorder="1"/>
    <xf numFmtId="3" fontId="73" fillId="0" borderId="8" xfId="18" applyNumberFormat="1" applyFont="1" applyBorder="1"/>
    <xf numFmtId="3" fontId="73" fillId="0" borderId="10" xfId="18" applyNumberFormat="1" applyFont="1" applyBorder="1"/>
    <xf numFmtId="0" fontId="20" fillId="0" borderId="0" xfId="22" applyFont="1" applyFill="1" applyAlignment="1" applyProtection="1">
      <alignment horizontal="center"/>
    </xf>
    <xf numFmtId="164" fontId="61" fillId="0" borderId="23" xfId="20" applyNumberFormat="1" applyFont="1" applyFill="1" applyBorder="1" applyAlignment="1" applyProtection="1">
      <alignment horizontal="right" vertical="center" wrapText="1" indent="1"/>
    </xf>
    <xf numFmtId="164" fontId="61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49" fontId="6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3" fillId="0" borderId="41" xfId="27" applyFont="1" applyFill="1" applyBorder="1" applyAlignment="1">
      <alignment vertical="center"/>
    </xf>
    <xf numFmtId="164" fontId="61" fillId="0" borderId="5" xfId="27" applyNumberFormat="1" applyFont="1" applyFill="1" applyBorder="1" applyAlignment="1" applyProtection="1">
      <alignment vertical="center" wrapText="1"/>
      <protection locked="0"/>
    </xf>
    <xf numFmtId="164" fontId="62" fillId="0" borderId="8" xfId="0" applyNumberFormat="1" applyFont="1" applyFill="1" applyBorder="1" applyAlignment="1" applyProtection="1">
      <alignment vertical="center" wrapText="1"/>
      <protection locked="0"/>
    </xf>
    <xf numFmtId="164" fontId="62" fillId="0" borderId="2" xfId="0" applyNumberFormat="1" applyFont="1" applyFill="1" applyBorder="1" applyAlignment="1" applyProtection="1">
      <alignment vertical="center" wrapText="1"/>
      <protection locked="0"/>
    </xf>
    <xf numFmtId="49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0" fillId="0" borderId="8" xfId="0" applyNumberFormat="1" applyFont="1" applyFill="1" applyBorder="1" applyAlignment="1" applyProtection="1">
      <alignment vertical="center" wrapText="1"/>
      <protection locked="0"/>
    </xf>
    <xf numFmtId="164" fontId="80" fillId="0" borderId="2" xfId="0" applyNumberFormat="1" applyFont="1" applyFill="1" applyBorder="1" applyAlignment="1" applyProtection="1">
      <alignment vertical="center" wrapText="1"/>
      <protection locked="0"/>
    </xf>
    <xf numFmtId="164" fontId="80" fillId="0" borderId="0" xfId="0" applyNumberFormat="1" applyFont="1" applyFill="1" applyAlignment="1">
      <alignment vertical="center" wrapText="1"/>
    </xf>
    <xf numFmtId="164" fontId="1" fillId="0" borderId="11" xfId="27" applyNumberFormat="1" applyFont="1" applyFill="1" applyBorder="1" applyAlignment="1" applyProtection="1">
      <alignment horizontal="left" vertical="center" wrapText="1"/>
      <protection locked="0"/>
    </xf>
    <xf numFmtId="164" fontId="32" fillId="0" borderId="8" xfId="27" applyNumberFormat="1" applyFont="1" applyFill="1" applyBorder="1" applyAlignment="1" applyProtection="1">
      <alignment horizontal="left" vertical="center" wrapText="1"/>
      <protection locked="0"/>
    </xf>
    <xf numFmtId="164" fontId="32" fillId="0" borderId="2" xfId="27" applyNumberFormat="1" applyFont="1" applyFill="1" applyBorder="1" applyAlignment="1" applyProtection="1">
      <alignment vertical="center" wrapText="1"/>
      <protection locked="0"/>
    </xf>
    <xf numFmtId="164" fontId="1" fillId="0" borderId="8" xfId="27" applyNumberFormat="1" applyFont="1" applyFill="1" applyBorder="1" applyAlignment="1" applyProtection="1">
      <alignment horizontal="left" vertical="center" wrapText="1"/>
      <protection locked="0"/>
    </xf>
    <xf numFmtId="164" fontId="25" fillId="0" borderId="2" xfId="27" applyNumberFormat="1" applyFont="1" applyFill="1" applyBorder="1" applyAlignment="1" applyProtection="1">
      <alignment vertical="center" wrapText="1"/>
      <protection locked="0"/>
    </xf>
    <xf numFmtId="164" fontId="32" fillId="0" borderId="6" xfId="27" applyNumberFormat="1" applyFont="1" applyFill="1" applyBorder="1" applyAlignment="1" applyProtection="1">
      <alignment vertical="center" wrapText="1"/>
      <protection locked="0"/>
    </xf>
    <xf numFmtId="164" fontId="61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7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62" fillId="11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24" applyFont="1"/>
    <xf numFmtId="0" fontId="27" fillId="0" borderId="12" xfId="23" applyFont="1" applyBorder="1"/>
    <xf numFmtId="0" fontId="60" fillId="0" borderId="0" xfId="24" applyFont="1"/>
    <xf numFmtId="3" fontId="23" fillId="0" borderId="0" xfId="24" applyNumberFormat="1" applyFont="1"/>
    <xf numFmtId="3" fontId="36" fillId="0" borderId="0" xfId="24" applyNumberFormat="1" applyFont="1"/>
    <xf numFmtId="164" fontId="61" fillId="0" borderId="40" xfId="22" applyNumberFormat="1" applyFont="1" applyFill="1" applyBorder="1" applyAlignment="1" applyProtection="1">
      <alignment vertical="center"/>
    </xf>
    <xf numFmtId="164" fontId="61" fillId="0" borderId="18" xfId="22" applyNumberFormat="1" applyFont="1" applyFill="1" applyBorder="1" applyAlignment="1" applyProtection="1">
      <alignment vertical="center"/>
    </xf>
    <xf numFmtId="164" fontId="61" fillId="0" borderId="17" xfId="22" applyNumberFormat="1" applyFont="1" applyFill="1" applyBorder="1" applyAlignment="1" applyProtection="1">
      <alignment vertical="center"/>
    </xf>
    <xf numFmtId="3" fontId="73" fillId="0" borderId="6" xfId="18" applyNumberFormat="1" applyFont="1" applyBorder="1"/>
    <xf numFmtId="3" fontId="73" fillId="0" borderId="73" xfId="18" applyNumberFormat="1" applyFont="1" applyBorder="1"/>
    <xf numFmtId="164" fontId="61" fillId="0" borderId="22" xfId="20" applyNumberFormat="1" applyFont="1" applyFill="1" applyBorder="1" applyAlignment="1" applyProtection="1">
      <alignment horizontal="right" vertical="center" wrapText="1" indent="1"/>
    </xf>
    <xf numFmtId="164" fontId="61" fillId="0" borderId="40" xfId="20" applyNumberFormat="1" applyFont="1" applyFill="1" applyBorder="1" applyAlignment="1" applyProtection="1">
      <alignment horizontal="center" vertical="center" wrapText="1"/>
    </xf>
    <xf numFmtId="164" fontId="6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9" xfId="20" applyNumberFormat="1" applyFont="1" applyFill="1" applyBorder="1" applyAlignment="1" applyProtection="1">
      <alignment horizontal="right" vertical="center" wrapText="1" indent="1"/>
    </xf>
    <xf numFmtId="164" fontId="61" fillId="0" borderId="20" xfId="20" applyNumberFormat="1" applyFont="1" applyFill="1" applyBorder="1" applyAlignment="1" applyProtection="1">
      <alignment horizontal="right" vertical="center" wrapText="1" indent="1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19" fillId="0" borderId="23" xfId="0" applyNumberFormat="1" applyFont="1" applyFill="1" applyBorder="1" applyAlignment="1" applyProtection="1">
      <alignment vertical="center" wrapText="1"/>
    </xf>
    <xf numFmtId="164" fontId="86" fillId="0" borderId="58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13" fillId="0" borderId="42" xfId="20" quotePrefix="1" applyFont="1" applyFill="1" applyBorder="1" applyProtection="1">
      <protection locked="0"/>
    </xf>
    <xf numFmtId="164" fontId="86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42" xfId="0" quotePrefix="1" applyFont="1" applyFill="1" applyBorder="1" applyAlignment="1">
      <alignment vertical="center" wrapText="1"/>
    </xf>
    <xf numFmtId="0" fontId="82" fillId="0" borderId="42" xfId="0" applyFont="1" applyFill="1" applyBorder="1" applyAlignment="1">
      <alignment vertical="center"/>
    </xf>
    <xf numFmtId="0" fontId="79" fillId="0" borderId="41" xfId="0" quotePrefix="1" applyFont="1" applyFill="1" applyBorder="1" applyAlignment="1">
      <alignment vertical="center"/>
    </xf>
    <xf numFmtId="3" fontId="79" fillId="0" borderId="8" xfId="26" applyNumberFormat="1" applyFont="1" applyFill="1" applyBorder="1" applyAlignment="1">
      <alignment vertical="center"/>
    </xf>
    <xf numFmtId="3" fontId="79" fillId="0" borderId="2" xfId="26" applyNumberFormat="1" applyFont="1" applyFill="1" applyBorder="1" applyAlignment="1">
      <alignment vertical="center"/>
    </xf>
    <xf numFmtId="164" fontId="13" fillId="0" borderId="18" xfId="0" applyNumberFormat="1" applyFont="1" applyFill="1" applyBorder="1" applyAlignment="1" applyProtection="1">
      <alignment vertical="center" wrapText="1"/>
    </xf>
    <xf numFmtId="0" fontId="79" fillId="0" borderId="42" xfId="0" applyFont="1" applyFill="1" applyBorder="1" applyAlignment="1">
      <alignment vertical="center"/>
    </xf>
    <xf numFmtId="0" fontId="79" fillId="0" borderId="42" xfId="0" applyFont="1" applyFill="1" applyBorder="1" applyAlignment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86" fillId="0" borderId="42" xfId="20" applyFont="1" applyFill="1" applyBorder="1" applyProtection="1">
      <protection locked="0"/>
    </xf>
    <xf numFmtId="0" fontId="1" fillId="0" borderId="42" xfId="20" quotePrefix="1" applyFont="1" applyFill="1" applyBorder="1" applyProtection="1"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2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1" xfId="27" applyFont="1" applyFill="1" applyBorder="1" applyAlignment="1">
      <alignment vertical="center"/>
    </xf>
    <xf numFmtId="164" fontId="25" fillId="0" borderId="5" xfId="27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17" xfId="0" applyNumberFormat="1" applyFont="1" applyFill="1" applyBorder="1" applyAlignment="1" applyProtection="1">
      <alignment vertical="center" wrapText="1"/>
    </xf>
    <xf numFmtId="0" fontId="1" fillId="0" borderId="42" xfId="20" quotePrefix="1" applyFont="1" applyFill="1" applyBorder="1" applyAlignment="1" applyProtection="1">
      <alignment horizontal="left"/>
      <protection locked="0"/>
    </xf>
    <xf numFmtId="164" fontId="0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0" fontId="84" fillId="0" borderId="47" xfId="0" quotePrefix="1" applyFont="1" applyFill="1" applyBorder="1" applyAlignment="1">
      <alignment vertical="center"/>
    </xf>
    <xf numFmtId="0" fontId="84" fillId="0" borderId="29" xfId="0" quotePrefix="1" applyFont="1" applyFill="1" applyBorder="1" applyAlignment="1">
      <alignment vertical="center"/>
    </xf>
    <xf numFmtId="164" fontId="62" fillId="0" borderId="12" xfId="0" applyNumberFormat="1" applyFont="1" applyFill="1" applyBorder="1" applyAlignment="1" applyProtection="1">
      <alignment vertical="center" wrapText="1"/>
      <protection locked="0"/>
    </xf>
    <xf numFmtId="49" fontId="62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2" fillId="0" borderId="21" xfId="0" applyNumberFormat="1" applyFont="1" applyFill="1" applyBorder="1" applyAlignment="1" applyProtection="1">
      <alignment vertical="center" wrapText="1"/>
      <protection locked="0"/>
    </xf>
    <xf numFmtId="164" fontId="70" fillId="0" borderId="22" xfId="0" applyNumberFormat="1" applyFont="1" applyFill="1" applyBorder="1" applyAlignment="1" applyProtection="1">
      <alignment vertical="center" wrapText="1"/>
    </xf>
    <xf numFmtId="164" fontId="85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62" fillId="0" borderId="18" xfId="0" applyNumberFormat="1" applyFont="1" applyFill="1" applyBorder="1" applyAlignment="1" applyProtection="1">
      <alignment vertical="center" wrapText="1"/>
    </xf>
    <xf numFmtId="0" fontId="84" fillId="0" borderId="47" xfId="0" applyFont="1" applyFill="1" applyBorder="1" applyAlignment="1">
      <alignment vertical="center"/>
    </xf>
    <xf numFmtId="0" fontId="62" fillId="0" borderId="47" xfId="20" quotePrefix="1" applyFont="1" applyFill="1" applyBorder="1" applyProtection="1">
      <protection locked="0"/>
    </xf>
    <xf numFmtId="164" fontId="25" fillId="11" borderId="4" xfId="27" applyNumberFormat="1" applyFont="1" applyFill="1" applyBorder="1" applyAlignment="1" applyProtection="1">
      <alignment vertical="center" wrapText="1"/>
      <protection locked="0"/>
    </xf>
    <xf numFmtId="164" fontId="32" fillId="0" borderId="10" xfId="27" applyNumberFormat="1" applyFont="1" applyFill="1" applyBorder="1" applyAlignment="1" applyProtection="1">
      <alignment horizontal="left" vertical="center" wrapText="1"/>
      <protection locked="0"/>
    </xf>
    <xf numFmtId="3" fontId="1" fillId="0" borderId="47" xfId="25" applyNumberFormat="1" applyFont="1" applyFill="1" applyBorder="1" applyAlignment="1" applyProtection="1">
      <alignment horizontal="left"/>
      <protection locked="0"/>
    </xf>
    <xf numFmtId="3" fontId="1" fillId="9" borderId="47" xfId="25" applyNumberFormat="1" applyFont="1" applyFill="1" applyBorder="1" applyAlignment="1" applyProtection="1">
      <alignment horizontal="left"/>
      <protection locked="0"/>
    </xf>
    <xf numFmtId="164" fontId="73" fillId="0" borderId="22" xfId="0" applyNumberFormat="1" applyFont="1" applyFill="1" applyBorder="1" applyAlignment="1" applyProtection="1">
      <alignment vertical="center" wrapText="1"/>
    </xf>
    <xf numFmtId="164" fontId="73" fillId="0" borderId="12" xfId="27" applyNumberFormat="1" applyFont="1" applyFill="1" applyBorder="1" applyAlignment="1" applyProtection="1">
      <alignment horizontal="left" vertical="center" wrapText="1"/>
      <protection locked="0"/>
    </xf>
    <xf numFmtId="164" fontId="73" fillId="0" borderId="21" xfId="27" applyNumberFormat="1" applyFont="1" applyFill="1" applyBorder="1" applyAlignment="1" applyProtection="1">
      <alignment vertical="center" wrapText="1"/>
      <protection locked="0"/>
    </xf>
    <xf numFmtId="164" fontId="61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4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11" borderId="17" xfId="0" applyNumberFormat="1" applyFont="1" applyFill="1" applyBorder="1" applyAlignment="1" applyProtection="1">
      <alignment horizontal="right" vertical="center" wrapText="1" indent="1"/>
      <protection locked="0"/>
    </xf>
    <xf numFmtId="167" fontId="66" fillId="11" borderId="22" xfId="25" applyNumberFormat="1" applyFont="1" applyFill="1" applyBorder="1" applyAlignment="1" applyProtection="1">
      <alignment horizontal="right" vertical="center" wrapText="1" indent="1"/>
    </xf>
    <xf numFmtId="164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64" fillId="0" borderId="2" xfId="24" applyNumberFormat="1" applyFont="1" applyBorder="1" applyAlignment="1">
      <alignment horizontal="right"/>
    </xf>
    <xf numFmtId="3" fontId="63" fillId="0" borderId="2" xfId="24" applyNumberFormat="1" applyFont="1" applyBorder="1" applyAlignment="1">
      <alignment horizontal="right"/>
    </xf>
    <xf numFmtId="3" fontId="61" fillId="0" borderId="2" xfId="24" applyNumberFormat="1" applyFont="1" applyBorder="1" applyAlignment="1">
      <alignment horizontal="right"/>
    </xf>
    <xf numFmtId="3" fontId="63" fillId="0" borderId="2" xfId="25" quotePrefix="1" applyNumberFormat="1" applyFont="1" applyBorder="1" applyAlignment="1">
      <alignment horizontal="right"/>
    </xf>
    <xf numFmtId="3" fontId="63" fillId="0" borderId="2" xfId="25" applyNumberFormat="1" applyFont="1" applyBorder="1" applyAlignment="1">
      <alignment horizontal="right"/>
    </xf>
    <xf numFmtId="3" fontId="64" fillId="0" borderId="2" xfId="25" applyNumberFormat="1" applyFont="1" applyBorder="1" applyAlignment="1">
      <alignment horizontal="right"/>
    </xf>
    <xf numFmtId="3" fontId="64" fillId="0" borderId="2" xfId="25" quotePrefix="1" applyNumberFormat="1" applyFont="1" applyBorder="1" applyAlignment="1">
      <alignment horizontal="right"/>
    </xf>
    <xf numFmtId="3" fontId="65" fillId="0" borderId="2" xfId="24" applyNumberFormat="1" applyFont="1" applyBorder="1" applyAlignment="1">
      <alignment horizontal="right"/>
    </xf>
    <xf numFmtId="3" fontId="65" fillId="0" borderId="18" xfId="24" applyNumberFormat="1" applyFont="1" applyBorder="1" applyAlignment="1">
      <alignment horizontal="right"/>
    </xf>
    <xf numFmtId="3" fontId="65" fillId="0" borderId="22" xfId="25" applyNumberFormat="1" applyFont="1" applyBorder="1" applyAlignment="1">
      <alignment horizontal="right"/>
    </xf>
    <xf numFmtId="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6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19" quotePrefix="1" applyFont="1" applyBorder="1" applyAlignment="1">
      <alignment horizontal="left"/>
    </xf>
    <xf numFmtId="0" fontId="1" fillId="0" borderId="32" xfId="19" applyFont="1" applyBorder="1"/>
    <xf numFmtId="165" fontId="1" fillId="0" borderId="32" xfId="25" applyNumberFormat="1" applyFont="1" applyBorder="1" applyAlignment="1"/>
    <xf numFmtId="0" fontId="0" fillId="0" borderId="30" xfId="19" applyFont="1" applyBorder="1" applyAlignment="1">
      <alignment horizontal="left"/>
    </xf>
    <xf numFmtId="165" fontId="62" fillId="0" borderId="53" xfId="25" applyNumberFormat="1" applyFont="1" applyBorder="1"/>
    <xf numFmtId="0" fontId="61" fillId="0" borderId="8" xfId="0" applyFont="1" applyBorder="1" applyAlignment="1" applyProtection="1">
      <alignment horizontal="right" vertical="center" indent="1"/>
    </xf>
    <xf numFmtId="0" fontId="61" fillId="0" borderId="2" xfId="0" applyFont="1" applyBorder="1" applyAlignment="1" applyProtection="1">
      <alignment horizontal="left" vertical="center" indent="1"/>
      <protection locked="0"/>
    </xf>
    <xf numFmtId="3" fontId="61" fillId="0" borderId="18" xfId="0" applyNumberFormat="1" applyFont="1" applyFill="1" applyBorder="1" applyAlignment="1" applyProtection="1">
      <alignment horizontal="right" vertical="center" indent="1"/>
      <protection locked="0"/>
    </xf>
    <xf numFmtId="0" fontId="87" fillId="0" borderId="56" xfId="18" applyFont="1" applyBorder="1"/>
    <xf numFmtId="3" fontId="73" fillId="0" borderId="18" xfId="18" applyNumberFormat="1" applyFont="1" applyBorder="1"/>
    <xf numFmtId="3" fontId="88" fillId="0" borderId="38" xfId="18" applyNumberFormat="1" applyFont="1" applyBorder="1"/>
    <xf numFmtId="0" fontId="89" fillId="0" borderId="0" xfId="18" applyFont="1"/>
    <xf numFmtId="3" fontId="73" fillId="0" borderId="10" xfId="18" applyNumberFormat="1" applyFont="1" applyFill="1" applyBorder="1"/>
    <xf numFmtId="164" fontId="61" fillId="0" borderId="42" xfId="27" applyNumberFormat="1" applyFont="1" applyFill="1" applyBorder="1" applyAlignment="1" applyProtection="1">
      <alignment horizontal="left" vertical="center" wrapText="1"/>
      <protection locked="0"/>
    </xf>
    <xf numFmtId="3" fontId="73" fillId="0" borderId="73" xfId="18" applyNumberFormat="1" applyFont="1" applyFill="1" applyBorder="1"/>
    <xf numFmtId="49" fontId="73" fillId="0" borderId="13" xfId="0" applyNumberFormat="1" applyFont="1" applyFill="1" applyBorder="1" applyAlignment="1" applyProtection="1">
      <alignment vertical="center"/>
    </xf>
    <xf numFmtId="0" fontId="73" fillId="0" borderId="15" xfId="0" applyFont="1" applyFill="1" applyBorder="1" applyAlignment="1" applyProtection="1">
      <alignment vertical="center"/>
    </xf>
    <xf numFmtId="0" fontId="73" fillId="0" borderId="16" xfId="0" applyFont="1" applyFill="1" applyBorder="1" applyAlignment="1" applyProtection="1">
      <alignment horizontal="center" vertical="center"/>
    </xf>
    <xf numFmtId="0" fontId="73" fillId="0" borderId="28" xfId="0" applyFont="1" applyFill="1" applyBorder="1" applyAlignment="1" applyProtection="1">
      <alignment horizontal="center" vertical="center"/>
    </xf>
    <xf numFmtId="3" fontId="61" fillId="0" borderId="14" xfId="0" applyNumberFormat="1" applyFont="1" applyFill="1" applyBorder="1" applyAlignment="1" applyProtection="1">
      <alignment vertical="center"/>
    </xf>
    <xf numFmtId="3" fontId="61" fillId="0" borderId="19" xfId="0" applyNumberFormat="1" applyFont="1" applyFill="1" applyBorder="1" applyAlignment="1" applyProtection="1">
      <alignment vertical="center"/>
    </xf>
    <xf numFmtId="49" fontId="61" fillId="0" borderId="11" xfId="0" applyNumberFormat="1" applyFont="1" applyFill="1" applyBorder="1" applyAlignment="1" applyProtection="1">
      <alignment vertical="center"/>
    </xf>
    <xf numFmtId="3" fontId="61" fillId="0" borderId="4" xfId="0" applyNumberFormat="1" applyFont="1" applyFill="1" applyBorder="1" applyAlignment="1" applyProtection="1">
      <alignment vertical="center"/>
      <protection locked="0"/>
    </xf>
    <xf numFmtId="3" fontId="61" fillId="0" borderId="17" xfId="0" applyNumberFormat="1" applyFont="1" applyFill="1" applyBorder="1" applyAlignment="1" applyProtection="1">
      <alignment vertical="center"/>
    </xf>
    <xf numFmtId="49" fontId="90" fillId="0" borderId="8" xfId="0" quotePrefix="1" applyNumberFormat="1" applyFont="1" applyFill="1" applyBorder="1" applyAlignment="1" applyProtection="1">
      <alignment horizontal="left" vertical="center" indent="1"/>
    </xf>
    <xf numFmtId="3" fontId="90" fillId="0" borderId="2" xfId="0" applyNumberFormat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 applyProtection="1">
      <alignment vertical="center"/>
    </xf>
    <xf numFmtId="49" fontId="61" fillId="0" borderId="8" xfId="0" applyNumberFormat="1" applyFont="1" applyFill="1" applyBorder="1" applyAlignment="1" applyProtection="1">
      <alignment vertical="center"/>
    </xf>
    <xf numFmtId="3" fontId="61" fillId="0" borderId="18" xfId="0" applyNumberFormat="1" applyFont="1" applyFill="1" applyBorder="1" applyAlignment="1" applyProtection="1">
      <alignment vertical="center"/>
    </xf>
    <xf numFmtId="49" fontId="61" fillId="0" borderId="10" xfId="0" applyNumberFormat="1" applyFont="1" applyFill="1" applyBorder="1" applyAlignment="1" applyProtection="1">
      <alignment vertical="center"/>
      <protection locked="0"/>
    </xf>
    <xf numFmtId="3" fontId="61" fillId="0" borderId="6" xfId="0" applyNumberFormat="1" applyFont="1" applyFill="1" applyBorder="1" applyAlignment="1" applyProtection="1">
      <alignment vertical="center"/>
      <protection locked="0"/>
    </xf>
    <xf numFmtId="0" fontId="62" fillId="0" borderId="0" xfId="0" applyFont="1" applyFill="1" applyAlignment="1" applyProtection="1">
      <alignment vertical="center"/>
    </xf>
    <xf numFmtId="49" fontId="61" fillId="0" borderId="8" xfId="0" applyNumberFormat="1" applyFont="1" applyFill="1" applyBorder="1" applyAlignment="1" applyProtection="1">
      <alignment horizontal="left" vertical="center"/>
    </xf>
    <xf numFmtId="49" fontId="61" fillId="0" borderId="8" xfId="0" applyNumberFormat="1" applyFont="1" applyFill="1" applyBorder="1" applyAlignment="1" applyProtection="1">
      <alignment vertical="center"/>
      <protection locked="0"/>
    </xf>
    <xf numFmtId="0" fontId="84" fillId="0" borderId="41" xfId="27" applyFont="1" applyFill="1" applyBorder="1" applyAlignment="1">
      <alignment vertical="center"/>
    </xf>
    <xf numFmtId="164" fontId="31" fillId="0" borderId="24" xfId="20" applyNumberFormat="1" applyFont="1" applyFill="1" applyBorder="1" applyAlignment="1" applyProtection="1">
      <alignment horizontal="left" vertical="center"/>
    </xf>
    <xf numFmtId="164" fontId="6" fillId="0" borderId="0" xfId="20" applyNumberFormat="1" applyFont="1" applyFill="1" applyBorder="1" applyAlignment="1" applyProtection="1">
      <alignment horizontal="center" vertical="center"/>
    </xf>
    <xf numFmtId="164" fontId="31" fillId="0" borderId="24" xfId="20" applyNumberFormat="1" applyFont="1" applyFill="1" applyBorder="1" applyAlignment="1" applyProtection="1">
      <alignment horizontal="left"/>
    </xf>
    <xf numFmtId="0" fontId="20" fillId="0" borderId="0" xfId="20" applyFont="1" applyFill="1" applyAlignment="1" applyProtection="1">
      <alignment horizontal="center"/>
    </xf>
    <xf numFmtId="164" fontId="26" fillId="0" borderId="24" xfId="20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6" fillId="0" borderId="61" xfId="0" applyNumberFormat="1" applyFont="1" applyFill="1" applyBorder="1" applyAlignment="1" applyProtection="1">
      <alignment horizontal="center" vertical="center" wrapText="1"/>
    </xf>
    <xf numFmtId="164" fontId="26" fillId="0" borderId="59" xfId="0" applyNumberFormat="1" applyFont="1" applyFill="1" applyBorder="1" applyAlignment="1" applyProtection="1">
      <alignment horizontal="center" vertical="center" wrapText="1"/>
    </xf>
    <xf numFmtId="164" fontId="38" fillId="0" borderId="51" xfId="0" applyNumberFormat="1" applyFont="1" applyFill="1" applyBorder="1" applyAlignment="1" applyProtection="1">
      <alignment horizontal="center" vertical="center" wrapText="1"/>
    </xf>
    <xf numFmtId="164" fontId="26" fillId="0" borderId="58" xfId="0" applyNumberFormat="1" applyFont="1" applyFill="1" applyBorder="1" applyAlignment="1" applyProtection="1">
      <alignment horizontal="center" vertical="center" wrapText="1"/>
    </xf>
    <xf numFmtId="164" fontId="26" fillId="0" borderId="74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0" fontId="25" fillId="0" borderId="46" xfId="0" applyFont="1" applyFill="1" applyBorder="1" applyAlignment="1" applyProtection="1">
      <alignment horizontal="left" indent="1"/>
      <protection locked="0"/>
    </xf>
    <xf numFmtId="0" fontId="25" fillId="0" borderId="70" xfId="0" applyFont="1" applyFill="1" applyBorder="1" applyAlignment="1" applyProtection="1">
      <alignment horizontal="left" indent="1"/>
      <protection locked="0"/>
    </xf>
    <xf numFmtId="0" fontId="25" fillId="0" borderId="55" xfId="0" applyFont="1" applyFill="1" applyBorder="1" applyAlignment="1" applyProtection="1">
      <alignment horizontal="left" indent="1"/>
      <protection locked="0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17" xfId="0" applyFont="1" applyFill="1" applyBorder="1" applyAlignment="1" applyProtection="1">
      <alignment horizontal="right" indent="1"/>
      <protection locked="0"/>
    </xf>
    <xf numFmtId="0" fontId="25" fillId="0" borderId="30" xfId="0" applyFont="1" applyFill="1" applyBorder="1" applyAlignment="1" applyProtection="1">
      <alignment horizontal="left" indent="1"/>
      <protection locked="0"/>
    </xf>
    <xf numFmtId="0" fontId="25" fillId="0" borderId="31" xfId="0" applyFont="1" applyFill="1" applyBorder="1" applyAlignment="1" applyProtection="1">
      <alignment horizontal="left" indent="1"/>
      <protection locked="0"/>
    </xf>
    <xf numFmtId="0" fontId="25" fillId="0" borderId="73" xfId="0" applyFont="1" applyFill="1" applyBorder="1" applyAlignment="1" applyProtection="1">
      <alignment horizontal="lef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23" xfId="0" applyFont="1" applyFill="1" applyBorder="1" applyAlignment="1" applyProtection="1">
      <alignment horizontal="right" indent="1"/>
      <protection locked="0"/>
    </xf>
    <xf numFmtId="0" fontId="26" fillId="0" borderId="34" xfId="0" applyFont="1" applyFill="1" applyBorder="1" applyAlignment="1" applyProtection="1">
      <alignment horizontal="left" indent="1"/>
    </xf>
    <xf numFmtId="0" fontId="26" fillId="0" borderId="35" xfId="0" applyFont="1" applyFill="1" applyBorder="1" applyAlignment="1" applyProtection="1">
      <alignment horizontal="left" indent="1"/>
    </xf>
    <xf numFmtId="0" fontId="26" fillId="0" borderId="33" xfId="0" applyFont="1" applyFill="1" applyBorder="1" applyAlignment="1" applyProtection="1">
      <alignment horizontal="left" indent="1"/>
    </xf>
    <xf numFmtId="0" fontId="24" fillId="0" borderId="14" xfId="0" applyFont="1" applyFill="1" applyBorder="1" applyAlignment="1" applyProtection="1">
      <alignment horizontal="right" indent="1"/>
    </xf>
    <xf numFmtId="0" fontId="24" fillId="0" borderId="19" xfId="0" applyFont="1" applyFill="1" applyBorder="1" applyAlignment="1" applyProtection="1">
      <alignment horizontal="right" indent="1"/>
    </xf>
    <xf numFmtId="0" fontId="26" fillId="0" borderId="63" xfId="0" applyFont="1" applyFill="1" applyBorder="1" applyAlignment="1" applyProtection="1">
      <alignment horizontal="center"/>
    </xf>
    <xf numFmtId="0" fontId="26" fillId="0" borderId="51" xfId="0" applyFont="1" applyFill="1" applyBorder="1" applyAlignment="1" applyProtection="1">
      <alignment horizontal="center"/>
    </xf>
    <xf numFmtId="0" fontId="26" fillId="0" borderId="75" xfId="0" applyFont="1" applyFill="1" applyBorder="1" applyAlignment="1" applyProtection="1">
      <alignment horizontal="center"/>
    </xf>
    <xf numFmtId="0" fontId="26" fillId="0" borderId="16" xfId="0" applyFont="1" applyFill="1" applyBorder="1" applyAlignment="1" applyProtection="1">
      <alignment horizontal="center"/>
    </xf>
    <xf numFmtId="0" fontId="26" fillId="0" borderId="28" xfId="0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horizontal="center" wrapText="1"/>
    </xf>
    <xf numFmtId="0" fontId="28" fillId="0" borderId="0" xfId="0" applyFont="1" applyFill="1" applyBorder="1" applyAlignment="1" applyProtection="1">
      <alignment horizontal="right"/>
    </xf>
    <xf numFmtId="49" fontId="20" fillId="0" borderId="0" xfId="0" applyNumberFormat="1" applyFont="1" applyFill="1" applyBorder="1" applyAlignment="1" applyProtection="1">
      <alignment horizontal="left" vertical="center"/>
    </xf>
    <xf numFmtId="0" fontId="66" fillId="0" borderId="12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Alignment="1" applyProtection="1">
      <alignment horizontal="left" vertical="center" wrapText="1"/>
    </xf>
    <xf numFmtId="0" fontId="66" fillId="11" borderId="12" xfId="0" applyFont="1" applyFill="1" applyBorder="1" applyAlignment="1" applyProtection="1">
      <alignment horizontal="left" vertical="center" wrapText="1"/>
    </xf>
    <xf numFmtId="0" fontId="66" fillId="11" borderId="21" xfId="0" applyFont="1" applyFill="1" applyBorder="1" applyAlignment="1" applyProtection="1">
      <alignment horizontal="left" vertical="center" wrapText="1"/>
    </xf>
    <xf numFmtId="0" fontId="17" fillId="0" borderId="15" xfId="24" applyFont="1" applyBorder="1" applyAlignment="1">
      <alignment horizontal="center" vertical="center"/>
    </xf>
    <xf numFmtId="0" fontId="17" fillId="0" borderId="7" xfId="24" applyFont="1" applyBorder="1" applyAlignment="1">
      <alignment horizontal="center" vertical="center"/>
    </xf>
    <xf numFmtId="0" fontId="17" fillId="0" borderId="9" xfId="24" applyFont="1" applyBorder="1" applyAlignment="1">
      <alignment horizontal="center" vertical="center"/>
    </xf>
    <xf numFmtId="0" fontId="17" fillId="0" borderId="4" xfId="24" applyFont="1" applyBorder="1" applyAlignment="1">
      <alignment horizontal="left"/>
    </xf>
    <xf numFmtId="0" fontId="40" fillId="0" borderId="4" xfId="24" applyBorder="1" applyAlignment="1">
      <alignment horizontal="left"/>
    </xf>
    <xf numFmtId="0" fontId="17" fillId="0" borderId="4" xfId="24" applyFont="1" applyBorder="1" applyAlignment="1">
      <alignment horizontal="center"/>
    </xf>
    <xf numFmtId="0" fontId="40" fillId="0" borderId="4" xfId="24" applyBorder="1" applyAlignment="1">
      <alignment horizontal="center"/>
    </xf>
    <xf numFmtId="0" fontId="40" fillId="0" borderId="17" xfId="24" applyBorder="1" applyAlignment="1">
      <alignment horizontal="center"/>
    </xf>
    <xf numFmtId="0" fontId="17" fillId="0" borderId="6" xfId="24" applyFont="1" applyBorder="1" applyAlignment="1">
      <alignment horizontal="center" vertical="top" wrapText="1"/>
    </xf>
    <xf numFmtId="0" fontId="17" fillId="0" borderId="3" xfId="24" applyFont="1" applyBorder="1" applyAlignment="1">
      <alignment horizontal="center" vertical="top" wrapText="1"/>
    </xf>
    <xf numFmtId="0" fontId="20" fillId="0" borderId="0" xfId="20" applyFont="1" applyFill="1" applyAlignment="1">
      <alignment horizontal="center" wrapText="1"/>
    </xf>
    <xf numFmtId="0" fontId="20" fillId="0" borderId="0" xfId="20" applyFont="1" applyFill="1" applyAlignment="1">
      <alignment horizontal="center"/>
    </xf>
    <xf numFmtId="0" fontId="20" fillId="0" borderId="0" xfId="22" applyFont="1" applyFill="1" applyAlignment="1" applyProtection="1">
      <alignment horizontal="center" wrapText="1"/>
    </xf>
    <xf numFmtId="0" fontId="20" fillId="0" borderId="0" xfId="22" applyFont="1" applyFill="1" applyAlignment="1" applyProtection="1">
      <alignment horizontal="center"/>
    </xf>
    <xf numFmtId="0" fontId="18" fillId="0" borderId="67" xfId="22" applyFont="1" applyFill="1" applyBorder="1" applyAlignment="1" applyProtection="1">
      <alignment horizontal="left" vertical="center" indent="1"/>
    </xf>
    <xf numFmtId="0" fontId="18" fillId="0" borderId="35" xfId="22" applyFont="1" applyFill="1" applyBorder="1" applyAlignment="1" applyProtection="1">
      <alignment horizontal="left" vertical="center" indent="1"/>
    </xf>
    <xf numFmtId="0" fontId="18" fillId="0" borderId="44" xfId="22" applyFont="1" applyFill="1" applyBorder="1" applyAlignment="1" applyProtection="1">
      <alignment horizontal="left" vertical="center" indent="1"/>
    </xf>
    <xf numFmtId="0" fontId="20" fillId="0" borderId="0" xfId="0" applyFont="1" applyAlignment="1">
      <alignment horizontal="center" wrapText="1"/>
    </xf>
    <xf numFmtId="0" fontId="31" fillId="0" borderId="0" xfId="0" applyFont="1" applyAlignment="1" applyProtection="1">
      <alignment horizontal="right"/>
    </xf>
    <xf numFmtId="0" fontId="26" fillId="0" borderId="34" xfId="0" applyFont="1" applyBorder="1" applyAlignment="1" applyProtection="1">
      <alignment horizontal="left" vertical="center" indent="2"/>
    </xf>
    <xf numFmtId="0" fontId="26" fillId="0" borderId="44" xfId="0" applyFont="1" applyBorder="1" applyAlignment="1" applyProtection="1">
      <alignment horizontal="left" vertical="center" indent="2"/>
    </xf>
    <xf numFmtId="0" fontId="8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6" fillId="0" borderId="11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7" xfId="18" applyFont="1" applyBorder="1" applyAlignment="1">
      <alignment horizontal="center"/>
    </xf>
  </cellXfs>
  <cellStyles count="28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6" builtinId="3"/>
    <cellStyle name="Ezres 2" xfId="7"/>
    <cellStyle name="Ezres 3" xfId="8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7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view="pageLayout" topLeftCell="B1" zoomScaleNormal="100" zoomScaleSheetLayoutView="100" workbookViewId="0">
      <selection activeCell="D3" sqref="D3"/>
    </sheetView>
  </sheetViews>
  <sheetFormatPr defaultRowHeight="15.75" x14ac:dyDescent="0.25"/>
  <cols>
    <col min="1" max="1" width="9.5" style="227" customWidth="1"/>
    <col min="2" max="2" width="91.6640625" style="227" customWidth="1"/>
    <col min="3" max="3" width="21.6640625" style="376" customWidth="1"/>
    <col min="4" max="4" width="18" style="238" hidden="1" customWidth="1"/>
    <col min="5" max="5" width="14.5" style="238" hidden="1" customWidth="1"/>
    <col min="6" max="6" width="15.33203125" style="238" hidden="1" customWidth="1"/>
    <col min="7" max="7" width="11.1640625" style="238" hidden="1" customWidth="1"/>
    <col min="8" max="8" width="15.5" style="558" hidden="1" customWidth="1"/>
    <col min="9" max="9" width="17.83203125" style="559" hidden="1" customWidth="1"/>
    <col min="10" max="10" width="9.33203125" style="238" customWidth="1"/>
    <col min="11" max="16384" width="9.33203125" style="238"/>
  </cols>
  <sheetData>
    <row r="1" spans="1:9" ht="15.95" customHeight="1" x14ac:dyDescent="0.25">
      <c r="A1" s="993" t="s">
        <v>19</v>
      </c>
      <c r="B1" s="993"/>
      <c r="C1" s="993"/>
    </row>
    <row r="2" spans="1:9" ht="15.95" customHeight="1" thickBot="1" x14ac:dyDescent="0.3">
      <c r="A2" s="992" t="s">
        <v>140</v>
      </c>
      <c r="B2" s="992"/>
      <c r="C2" s="166" t="s">
        <v>589</v>
      </c>
    </row>
    <row r="3" spans="1:9" ht="38.1" customHeight="1" thickBot="1" x14ac:dyDescent="0.3">
      <c r="A3" s="22" t="s">
        <v>73</v>
      </c>
      <c r="B3" s="23" t="s">
        <v>21</v>
      </c>
      <c r="C3" s="35" t="s">
        <v>617</v>
      </c>
      <c r="D3" s="227" t="s">
        <v>598</v>
      </c>
      <c r="E3" s="227" t="s">
        <v>599</v>
      </c>
      <c r="F3" s="227" t="s">
        <v>600</v>
      </c>
      <c r="G3" s="227"/>
    </row>
    <row r="4" spans="1:9" s="239" customFormat="1" ht="12" customHeight="1" thickBot="1" x14ac:dyDescent="0.25">
      <c r="A4" s="233" t="s">
        <v>466</v>
      </c>
      <c r="B4" s="234" t="s">
        <v>467</v>
      </c>
      <c r="C4" s="235" t="s">
        <v>468</v>
      </c>
      <c r="H4" s="558"/>
      <c r="I4" s="559"/>
    </row>
    <row r="5" spans="1:9" s="240" customFormat="1" ht="12" customHeight="1" thickBot="1" x14ac:dyDescent="0.25">
      <c r="A5" s="19" t="s">
        <v>22</v>
      </c>
      <c r="B5" s="20" t="s">
        <v>201</v>
      </c>
      <c r="C5" s="157">
        <f t="shared" ref="C5:C36" si="0">SUM(D5:F5)</f>
        <v>1319904176</v>
      </c>
      <c r="D5" s="329">
        <f>+D6+D7+D8+D9+D10+D11</f>
        <v>1319904176</v>
      </c>
      <c r="E5" s="157">
        <f>+E6+E7+E8+E9+E10+E11</f>
        <v>0</v>
      </c>
      <c r="F5" s="157">
        <f>+F6+F7+F8+F9+F10+F11</f>
        <v>0</v>
      </c>
      <c r="H5" s="560">
        <f>'1.2.sz.mell. '!C5+'1.3.sz.mell.'!C5+'1.4.sz.mell. '!C5</f>
        <v>1319904176</v>
      </c>
      <c r="I5" s="560">
        <f t="shared" ref="I5:I36" si="1">C5-H5</f>
        <v>0</v>
      </c>
    </row>
    <row r="6" spans="1:9" s="240" customFormat="1" ht="12" customHeight="1" thickBot="1" x14ac:dyDescent="0.25">
      <c r="A6" s="14" t="s">
        <v>98</v>
      </c>
      <c r="B6" s="241" t="s">
        <v>202</v>
      </c>
      <c r="C6" s="811">
        <f t="shared" si="0"/>
        <v>227855923</v>
      </c>
      <c r="D6" s="279">
        <v>227855923</v>
      </c>
      <c r="E6" s="279"/>
      <c r="F6" s="279"/>
      <c r="H6" s="560">
        <f>'1.2.sz.mell. '!C6+'1.3.sz.mell.'!C6+'1.4.sz.mell. '!C6</f>
        <v>227855923</v>
      </c>
      <c r="I6" s="561">
        <f t="shared" si="1"/>
        <v>0</v>
      </c>
    </row>
    <row r="7" spans="1:9" s="240" customFormat="1" ht="12" customHeight="1" thickBot="1" x14ac:dyDescent="0.25">
      <c r="A7" s="13" t="s">
        <v>99</v>
      </c>
      <c r="B7" s="242" t="s">
        <v>203</v>
      </c>
      <c r="C7" s="367">
        <f t="shared" si="0"/>
        <v>224734134</v>
      </c>
      <c r="D7" s="161">
        <v>224734134</v>
      </c>
      <c r="E7" s="161"/>
      <c r="F7" s="161"/>
      <c r="H7" s="560">
        <f>'1.2.sz.mell. '!C7+'1.3.sz.mell.'!C7+'1.4.sz.mell. '!C7</f>
        <v>224734134</v>
      </c>
      <c r="I7" s="562">
        <f t="shared" si="1"/>
        <v>0</v>
      </c>
    </row>
    <row r="8" spans="1:9" s="240" customFormat="1" ht="12" customHeight="1" thickBot="1" x14ac:dyDescent="0.25">
      <c r="A8" s="13" t="s">
        <v>100</v>
      </c>
      <c r="B8" s="242" t="s">
        <v>579</v>
      </c>
      <c r="C8" s="367">
        <f t="shared" si="0"/>
        <v>565964345</v>
      </c>
      <c r="D8" s="161">
        <f>126991000+65060600+119410000+192410145+62092600</f>
        <v>565964345</v>
      </c>
      <c r="E8" s="161"/>
      <c r="F8" s="161"/>
      <c r="H8" s="560">
        <f>'1.2.sz.mell. '!C8+'1.3.sz.mell.'!C8+'1.4.sz.mell. '!C8</f>
        <v>565964345</v>
      </c>
      <c r="I8" s="562">
        <f t="shared" si="1"/>
        <v>0</v>
      </c>
    </row>
    <row r="9" spans="1:9" s="240" customFormat="1" ht="12" customHeight="1" thickBot="1" x14ac:dyDescent="0.25">
      <c r="A9" s="13" t="s">
        <v>101</v>
      </c>
      <c r="B9" s="242" t="s">
        <v>205</v>
      </c>
      <c r="C9" s="367">
        <f t="shared" si="0"/>
        <v>28744040</v>
      </c>
      <c r="D9" s="161">
        <f>16122040+12622000</f>
        <v>28744040</v>
      </c>
      <c r="E9" s="161"/>
      <c r="F9" s="161"/>
      <c r="H9" s="560">
        <f>'1.2.sz.mell. '!C9+'1.3.sz.mell.'!C9+'1.4.sz.mell. '!C9</f>
        <v>28744040</v>
      </c>
      <c r="I9" s="562">
        <f t="shared" si="1"/>
        <v>0</v>
      </c>
    </row>
    <row r="10" spans="1:9" s="240" customFormat="1" ht="12" customHeight="1" thickBot="1" x14ac:dyDescent="0.25">
      <c r="A10" s="13" t="s">
        <v>137</v>
      </c>
      <c r="B10" s="153" t="s">
        <v>469</v>
      </c>
      <c r="C10" s="367">
        <f t="shared" si="0"/>
        <v>272605734</v>
      </c>
      <c r="D10" s="161">
        <f>16254886+63796813+190231327+1309600+1013108</f>
        <v>272605734</v>
      </c>
      <c r="E10" s="161"/>
      <c r="F10" s="161"/>
      <c r="H10" s="560">
        <f>'1.2.sz.mell. '!C10+'1.3.sz.mell.'!C10+'1.4.sz.mell. '!C10</f>
        <v>272605734</v>
      </c>
      <c r="I10" s="562">
        <f t="shared" si="1"/>
        <v>0</v>
      </c>
    </row>
    <row r="11" spans="1:9" s="240" customFormat="1" ht="12" customHeight="1" thickBot="1" x14ac:dyDescent="0.25">
      <c r="A11" s="15" t="s">
        <v>102</v>
      </c>
      <c r="B11" s="154" t="s">
        <v>470</v>
      </c>
      <c r="C11" s="812">
        <f t="shared" si="0"/>
        <v>0</v>
      </c>
      <c r="D11" s="145"/>
      <c r="E11" s="158"/>
      <c r="F11" s="158"/>
      <c r="H11" s="560">
        <f>'1.2.sz.mell. '!C11+'1.3.sz.mell.'!C11+'1.4.sz.mell. '!C11</f>
        <v>0</v>
      </c>
      <c r="I11" s="563">
        <f t="shared" si="1"/>
        <v>0</v>
      </c>
    </row>
    <row r="12" spans="1:9" s="240" customFormat="1" ht="12" customHeight="1" thickBot="1" x14ac:dyDescent="0.25">
      <c r="A12" s="19" t="s">
        <v>23</v>
      </c>
      <c r="B12" s="152" t="s">
        <v>206</v>
      </c>
      <c r="C12" s="157">
        <f t="shared" si="0"/>
        <v>261819841</v>
      </c>
      <c r="D12" s="329">
        <f>+D13+D14+D15+D16+D17</f>
        <v>239190449</v>
      </c>
      <c r="E12" s="157">
        <f>+E13+E14+E15+E16+E17</f>
        <v>3116857</v>
      </c>
      <c r="F12" s="157">
        <f>+F13+F14+F15+F16+F17</f>
        <v>19512535</v>
      </c>
      <c r="H12" s="560">
        <f>'1.2.sz.mell. '!C12+'1.3.sz.mell.'!C12+'1.4.sz.mell. '!C12</f>
        <v>261819841</v>
      </c>
      <c r="I12" s="560">
        <f t="shared" si="1"/>
        <v>0</v>
      </c>
    </row>
    <row r="13" spans="1:9" s="240" customFormat="1" ht="12" customHeight="1" thickBot="1" x14ac:dyDescent="0.25">
      <c r="A13" s="14" t="s">
        <v>104</v>
      </c>
      <c r="B13" s="241" t="s">
        <v>207</v>
      </c>
      <c r="C13" s="813">
        <f t="shared" si="0"/>
        <v>0</v>
      </c>
      <c r="D13" s="331"/>
      <c r="E13" s="159"/>
      <c r="F13" s="159"/>
      <c r="H13" s="560">
        <f>'1.2.sz.mell. '!C13+'1.3.sz.mell.'!C13+'1.4.sz.mell. '!C13</f>
        <v>0</v>
      </c>
      <c r="I13" s="561">
        <f t="shared" si="1"/>
        <v>0</v>
      </c>
    </row>
    <row r="14" spans="1:9" s="240" customFormat="1" ht="12" customHeight="1" thickBot="1" x14ac:dyDescent="0.25">
      <c r="A14" s="13" t="s">
        <v>105</v>
      </c>
      <c r="B14" s="242" t="s">
        <v>208</v>
      </c>
      <c r="C14" s="367">
        <f t="shared" si="0"/>
        <v>0</v>
      </c>
      <c r="D14" s="145"/>
      <c r="E14" s="158"/>
      <c r="F14" s="158"/>
      <c r="H14" s="560">
        <f>'1.2.sz.mell. '!C14+'1.3.sz.mell.'!C14+'1.4.sz.mell. '!C14</f>
        <v>0</v>
      </c>
      <c r="I14" s="562">
        <f t="shared" si="1"/>
        <v>0</v>
      </c>
    </row>
    <row r="15" spans="1:9" s="240" customFormat="1" ht="12" customHeight="1" thickBot="1" x14ac:dyDescent="0.25">
      <c r="A15" s="13" t="s">
        <v>106</v>
      </c>
      <c r="B15" s="242" t="s">
        <v>377</v>
      </c>
      <c r="C15" s="367">
        <f t="shared" si="0"/>
        <v>0</v>
      </c>
      <c r="D15" s="145"/>
      <c r="E15" s="158"/>
      <c r="F15" s="158"/>
      <c r="H15" s="560">
        <f>'1.2.sz.mell. '!C15+'1.3.sz.mell.'!C15+'1.4.sz.mell. '!C15</f>
        <v>0</v>
      </c>
      <c r="I15" s="562">
        <f t="shared" si="1"/>
        <v>0</v>
      </c>
    </row>
    <row r="16" spans="1:9" s="240" customFormat="1" ht="12" customHeight="1" thickBot="1" x14ac:dyDescent="0.25">
      <c r="A16" s="13" t="s">
        <v>107</v>
      </c>
      <c r="B16" s="242" t="s">
        <v>378</v>
      </c>
      <c r="C16" s="367">
        <f t="shared" si="0"/>
        <v>0</v>
      </c>
      <c r="D16" s="145"/>
      <c r="E16" s="158"/>
      <c r="F16" s="158"/>
      <c r="H16" s="560">
        <f>'1.2.sz.mell. '!C16+'1.3.sz.mell.'!C16+'1.4.sz.mell. '!C16</f>
        <v>0</v>
      </c>
      <c r="I16" s="562">
        <f t="shared" si="1"/>
        <v>0</v>
      </c>
    </row>
    <row r="17" spans="1:9" s="240" customFormat="1" ht="12" customHeight="1" thickBot="1" x14ac:dyDescent="0.25">
      <c r="A17" s="13" t="s">
        <v>108</v>
      </c>
      <c r="B17" s="242" t="s">
        <v>209</v>
      </c>
      <c r="C17" s="510">
        <f t="shared" si="0"/>
        <v>261819841</v>
      </c>
      <c r="D17" s="313">
        <f>3900000+4320000+125887110+24250000-344442+81177781</f>
        <v>239190449</v>
      </c>
      <c r="E17" s="310">
        <f>3096237+20620</f>
        <v>3116857</v>
      </c>
      <c r="F17" s="161">
        <v>19512535</v>
      </c>
      <c r="H17" s="560">
        <f>'1.2.sz.mell. '!C17+'1.3.sz.mell.'!C17+'1.4.sz.mell. '!C17</f>
        <v>261819841</v>
      </c>
      <c r="I17" s="562">
        <f t="shared" si="1"/>
        <v>0</v>
      </c>
    </row>
    <row r="18" spans="1:9" s="240" customFormat="1" ht="12" customHeight="1" thickBot="1" x14ac:dyDescent="0.25">
      <c r="A18" s="15" t="s">
        <v>117</v>
      </c>
      <c r="B18" s="154" t="s">
        <v>210</v>
      </c>
      <c r="C18" s="885">
        <f t="shared" si="0"/>
        <v>85930791</v>
      </c>
      <c r="D18" s="312">
        <v>85531256</v>
      </c>
      <c r="E18" s="230"/>
      <c r="F18" s="230">
        <v>399535</v>
      </c>
      <c r="H18" s="560">
        <f>'1.2.sz.mell. '!C18+'1.3.sz.mell.'!C18+'1.4.sz.mell. '!C18</f>
        <v>85930791</v>
      </c>
      <c r="I18" s="563">
        <f t="shared" si="1"/>
        <v>0</v>
      </c>
    </row>
    <row r="19" spans="1:9" s="240" customFormat="1" ht="12" customHeight="1" thickBot="1" x14ac:dyDescent="0.25">
      <c r="A19" s="19" t="s">
        <v>24</v>
      </c>
      <c r="B19" s="20" t="s">
        <v>211</v>
      </c>
      <c r="C19" s="157">
        <f t="shared" si="0"/>
        <v>73301322</v>
      </c>
      <c r="D19" s="329">
        <f>+D20+D21+D22+D23+D24</f>
        <v>73301322</v>
      </c>
      <c r="E19" s="157">
        <f>+E20+E21+E22+E23+E24</f>
        <v>0</v>
      </c>
      <c r="F19" s="157">
        <f>+F20+F21+F22+F23+F24</f>
        <v>0</v>
      </c>
      <c r="H19" s="560">
        <f>'1.2.sz.mell. '!C19+'1.3.sz.mell.'!C19+'1.4.sz.mell. '!C19</f>
        <v>73301322</v>
      </c>
      <c r="I19" s="560">
        <f t="shared" si="1"/>
        <v>0</v>
      </c>
    </row>
    <row r="20" spans="1:9" s="240" customFormat="1" ht="12" customHeight="1" thickBot="1" x14ac:dyDescent="0.25">
      <c r="A20" s="14" t="s">
        <v>87</v>
      </c>
      <c r="B20" s="241" t="s">
        <v>212</v>
      </c>
      <c r="C20" s="813">
        <f t="shared" si="0"/>
        <v>0</v>
      </c>
      <c r="D20" s="355"/>
      <c r="E20" s="307"/>
      <c r="F20" s="307"/>
      <c r="H20" s="560">
        <f>'1.2.sz.mell. '!C20+'1.3.sz.mell.'!C20+'1.4.sz.mell. '!C20</f>
        <v>0</v>
      </c>
      <c r="I20" s="561">
        <f t="shared" si="1"/>
        <v>0</v>
      </c>
    </row>
    <row r="21" spans="1:9" s="240" customFormat="1" ht="12" customHeight="1" thickBot="1" x14ac:dyDescent="0.25">
      <c r="A21" s="13" t="s">
        <v>88</v>
      </c>
      <c r="B21" s="242" t="s">
        <v>213</v>
      </c>
      <c r="C21" s="814">
        <f t="shared" si="0"/>
        <v>0</v>
      </c>
      <c r="D21" s="308"/>
      <c r="E21" s="161"/>
      <c r="F21" s="161"/>
      <c r="H21" s="560">
        <f>'1.2.sz.mell. '!C21+'1.3.sz.mell.'!C21+'1.4.sz.mell. '!C21</f>
        <v>0</v>
      </c>
      <c r="I21" s="562">
        <f t="shared" si="1"/>
        <v>0</v>
      </c>
    </row>
    <row r="22" spans="1:9" s="240" customFormat="1" ht="12" customHeight="1" thickBot="1" x14ac:dyDescent="0.25">
      <c r="A22" s="13" t="s">
        <v>89</v>
      </c>
      <c r="B22" s="242" t="s">
        <v>379</v>
      </c>
      <c r="C22" s="367">
        <f t="shared" si="0"/>
        <v>0</v>
      </c>
      <c r="D22" s="308"/>
      <c r="E22" s="161"/>
      <c r="F22" s="161"/>
      <c r="H22" s="560">
        <f>'1.2.sz.mell. '!C22+'1.3.sz.mell.'!C22+'1.4.sz.mell. '!C22</f>
        <v>0</v>
      </c>
      <c r="I22" s="562">
        <f t="shared" si="1"/>
        <v>0</v>
      </c>
    </row>
    <row r="23" spans="1:9" s="240" customFormat="1" ht="12" customHeight="1" thickBot="1" x14ac:dyDescent="0.25">
      <c r="A23" s="13" t="s">
        <v>90</v>
      </c>
      <c r="B23" s="242" t="s">
        <v>380</v>
      </c>
      <c r="C23" s="367">
        <f t="shared" si="0"/>
        <v>0</v>
      </c>
      <c r="D23" s="308"/>
      <c r="E23" s="161"/>
      <c r="F23" s="161"/>
      <c r="H23" s="560">
        <f>'1.2.sz.mell. '!C23+'1.3.sz.mell.'!C23+'1.4.sz.mell. '!C23</f>
        <v>0</v>
      </c>
      <c r="I23" s="562">
        <f t="shared" si="1"/>
        <v>0</v>
      </c>
    </row>
    <row r="24" spans="1:9" s="240" customFormat="1" ht="12" customHeight="1" thickBot="1" x14ac:dyDescent="0.25">
      <c r="A24" s="13" t="s">
        <v>148</v>
      </c>
      <c r="B24" s="242" t="s">
        <v>214</v>
      </c>
      <c r="C24" s="510">
        <f t="shared" si="0"/>
        <v>73301322</v>
      </c>
      <c r="D24" s="308">
        <f>5866130+3779393+3796748+59859051</f>
        <v>73301322</v>
      </c>
      <c r="E24" s="161"/>
      <c r="F24" s="161"/>
      <c r="H24" s="560">
        <f>'1.2.sz.mell. '!C24+'1.3.sz.mell.'!C24+'1.4.sz.mell. '!C24</f>
        <v>73301322</v>
      </c>
      <c r="I24" s="562">
        <f t="shared" si="1"/>
        <v>0</v>
      </c>
    </row>
    <row r="25" spans="1:9" s="240" customFormat="1" ht="12" customHeight="1" thickBot="1" x14ac:dyDescent="0.25">
      <c r="A25" s="15" t="s">
        <v>149</v>
      </c>
      <c r="B25" s="243" t="s">
        <v>215</v>
      </c>
      <c r="C25" s="885">
        <f t="shared" si="0"/>
        <v>68947847</v>
      </c>
      <c r="D25" s="312">
        <f>9645523+3796748+55505576</f>
        <v>68947847</v>
      </c>
      <c r="E25" s="230"/>
      <c r="F25" s="230"/>
      <c r="H25" s="560">
        <f>'1.2.sz.mell. '!C25+'1.3.sz.mell.'!C25+'1.4.sz.mell. '!C25</f>
        <v>68947847</v>
      </c>
      <c r="I25" s="563">
        <f t="shared" si="1"/>
        <v>0</v>
      </c>
    </row>
    <row r="26" spans="1:9" s="240" customFormat="1" ht="12" customHeight="1" thickBot="1" x14ac:dyDescent="0.25">
      <c r="A26" s="19" t="s">
        <v>150</v>
      </c>
      <c r="B26" s="20" t="s">
        <v>216</v>
      </c>
      <c r="C26" s="157">
        <f t="shared" si="0"/>
        <v>352658000</v>
      </c>
      <c r="D26" s="332">
        <f>+D27+D31+D32+D33</f>
        <v>352658000</v>
      </c>
      <c r="E26" s="162">
        <f>+E27+E31+E32+E33</f>
        <v>0</v>
      </c>
      <c r="F26" s="162">
        <f>+F27+F31+F32+F33</f>
        <v>0</v>
      </c>
      <c r="H26" s="560">
        <f>'1.2.sz.mell. '!C26+'1.3.sz.mell.'!C26+'1.4.sz.mell. '!C26</f>
        <v>352658000</v>
      </c>
      <c r="I26" s="560">
        <f t="shared" si="1"/>
        <v>0</v>
      </c>
    </row>
    <row r="27" spans="1:9" s="240" customFormat="1" ht="12" customHeight="1" thickBot="1" x14ac:dyDescent="0.25">
      <c r="A27" s="14" t="s">
        <v>217</v>
      </c>
      <c r="B27" s="241" t="s">
        <v>471</v>
      </c>
      <c r="C27" s="811">
        <f t="shared" si="0"/>
        <v>308654000</v>
      </c>
      <c r="D27" s="356">
        <f>SUM(D28:D30)</f>
        <v>308654000</v>
      </c>
      <c r="E27" s="236"/>
      <c r="F27" s="236"/>
      <c r="H27" s="560">
        <f>'1.2.sz.mell. '!C27+'1.3.sz.mell.'!C27+'1.4.sz.mell. '!C27</f>
        <v>308654000</v>
      </c>
      <c r="I27" s="561">
        <f t="shared" si="1"/>
        <v>0</v>
      </c>
    </row>
    <row r="28" spans="1:9" s="240" customFormat="1" ht="12" customHeight="1" thickBot="1" x14ac:dyDescent="0.25">
      <c r="A28" s="13" t="s">
        <v>218</v>
      </c>
      <c r="B28" s="242" t="s">
        <v>223</v>
      </c>
      <c r="C28" s="367">
        <f t="shared" si="0"/>
        <v>77500000</v>
      </c>
      <c r="D28" s="145">
        <f>7500000+70000000</f>
        <v>77500000</v>
      </c>
      <c r="E28" s="158"/>
      <c r="F28" s="158"/>
      <c r="H28" s="560">
        <f>'1.2.sz.mell. '!C28+'1.3.sz.mell.'!C28+'1.4.sz.mell. '!C28</f>
        <v>77500000</v>
      </c>
      <c r="I28" s="562">
        <f t="shared" si="1"/>
        <v>0</v>
      </c>
    </row>
    <row r="29" spans="1:9" s="240" customFormat="1" ht="12" customHeight="1" thickBot="1" x14ac:dyDescent="0.25">
      <c r="A29" s="13" t="s">
        <v>219</v>
      </c>
      <c r="B29" s="242" t="s">
        <v>567</v>
      </c>
      <c r="C29" s="367">
        <f t="shared" si="0"/>
        <v>231154000</v>
      </c>
      <c r="D29" s="145">
        <v>231154000</v>
      </c>
      <c r="E29" s="158"/>
      <c r="F29" s="158"/>
      <c r="H29" s="560">
        <f>'1.2.sz.mell. '!C29+'1.3.sz.mell.'!C29+'1.4.sz.mell. '!C29</f>
        <v>231154000</v>
      </c>
      <c r="I29" s="562">
        <f t="shared" si="1"/>
        <v>0</v>
      </c>
    </row>
    <row r="30" spans="1:9" s="240" customFormat="1" ht="12" customHeight="1" thickBot="1" x14ac:dyDescent="0.25">
      <c r="A30" s="13" t="s">
        <v>220</v>
      </c>
      <c r="B30" s="242" t="s">
        <v>568</v>
      </c>
      <c r="C30" s="367">
        <f t="shared" si="0"/>
        <v>0</v>
      </c>
      <c r="D30" s="308"/>
      <c r="E30" s="161"/>
      <c r="F30" s="161"/>
      <c r="H30" s="560">
        <f>'1.2.sz.mell. '!C30+'1.3.sz.mell.'!C30+'1.4.sz.mell. '!C30</f>
        <v>0</v>
      </c>
      <c r="I30" s="562">
        <f t="shared" si="1"/>
        <v>0</v>
      </c>
    </row>
    <row r="31" spans="1:9" s="240" customFormat="1" ht="12" customHeight="1" thickBot="1" x14ac:dyDescent="0.25">
      <c r="A31" s="13" t="s">
        <v>569</v>
      </c>
      <c r="B31" s="242" t="s">
        <v>225</v>
      </c>
      <c r="C31" s="367">
        <f t="shared" si="0"/>
        <v>28000000</v>
      </c>
      <c r="D31" s="145">
        <v>28000000</v>
      </c>
      <c r="E31" s="158"/>
      <c r="F31" s="158"/>
      <c r="H31" s="560">
        <f>'1.2.sz.mell. '!C31+'1.3.sz.mell.'!C31+'1.4.sz.mell. '!C31</f>
        <v>28000000</v>
      </c>
      <c r="I31" s="562">
        <f t="shared" si="1"/>
        <v>0</v>
      </c>
    </row>
    <row r="32" spans="1:9" s="240" customFormat="1" ht="12" customHeight="1" thickBot="1" x14ac:dyDescent="0.25">
      <c r="A32" s="13" t="s">
        <v>222</v>
      </c>
      <c r="B32" s="242" t="s">
        <v>226</v>
      </c>
      <c r="C32" s="367">
        <f t="shared" si="0"/>
        <v>4000</v>
      </c>
      <c r="D32" s="145">
        <f>4000+4500000-4500000</f>
        <v>4000</v>
      </c>
      <c r="E32" s="158"/>
      <c r="F32" s="158"/>
      <c r="H32" s="560">
        <f>'1.2.sz.mell. '!C32+'1.3.sz.mell.'!C32+'1.4.sz.mell. '!C32</f>
        <v>4000</v>
      </c>
      <c r="I32" s="562">
        <f t="shared" si="1"/>
        <v>0</v>
      </c>
    </row>
    <row r="33" spans="1:9" s="240" customFormat="1" ht="12" customHeight="1" thickBot="1" x14ac:dyDescent="0.25">
      <c r="A33" s="15" t="s">
        <v>570</v>
      </c>
      <c r="B33" s="243" t="s">
        <v>227</v>
      </c>
      <c r="C33" s="812">
        <f t="shared" si="0"/>
        <v>16000000</v>
      </c>
      <c r="D33" s="312">
        <f>1500000+2000000+1000000+7000000+4500000</f>
        <v>16000000</v>
      </c>
      <c r="E33" s="230"/>
      <c r="F33" s="230"/>
      <c r="H33" s="560">
        <f>'1.2.sz.mell. '!C33+'1.3.sz.mell.'!C33+'1.4.sz.mell. '!C33</f>
        <v>16000000</v>
      </c>
      <c r="I33" s="563">
        <f t="shared" si="1"/>
        <v>0</v>
      </c>
    </row>
    <row r="34" spans="1:9" s="240" customFormat="1" ht="12" customHeight="1" thickBot="1" x14ac:dyDescent="0.25">
      <c r="A34" s="19" t="s">
        <v>26</v>
      </c>
      <c r="B34" s="20" t="s">
        <v>474</v>
      </c>
      <c r="C34" s="157">
        <f t="shared" si="0"/>
        <v>438155968</v>
      </c>
      <c r="D34" s="329">
        <f>SUM(D35:D45)</f>
        <v>44104520</v>
      </c>
      <c r="E34" s="157">
        <f>SUM(E35:E45)</f>
        <v>8419440</v>
      </c>
      <c r="F34" s="157">
        <f>SUM(F35:F45)</f>
        <v>385632008</v>
      </c>
      <c r="H34" s="560">
        <f>'1.2.sz.mell. '!C34+'1.3.sz.mell.'!C34+'1.4.sz.mell. '!C34</f>
        <v>438155968</v>
      </c>
      <c r="I34" s="560">
        <f t="shared" si="1"/>
        <v>0</v>
      </c>
    </row>
    <row r="35" spans="1:9" s="240" customFormat="1" ht="12" customHeight="1" thickBot="1" x14ac:dyDescent="0.25">
      <c r="A35" s="14" t="s">
        <v>91</v>
      </c>
      <c r="B35" s="241" t="s">
        <v>230</v>
      </c>
      <c r="C35" s="811">
        <f t="shared" si="0"/>
        <v>12179000</v>
      </c>
      <c r="D35" s="335">
        <v>12159000</v>
      </c>
      <c r="E35" s="279"/>
      <c r="F35" s="279">
        <v>20000</v>
      </c>
      <c r="H35" s="560">
        <f>'1.2.sz.mell. '!C35+'1.3.sz.mell.'!C35+'1.4.sz.mell. '!C35</f>
        <v>12179000</v>
      </c>
      <c r="I35" s="561">
        <f t="shared" si="1"/>
        <v>0</v>
      </c>
    </row>
    <row r="36" spans="1:9" s="240" customFormat="1" ht="12.75" customHeight="1" thickBot="1" x14ac:dyDescent="0.25">
      <c r="A36" s="13" t="s">
        <v>92</v>
      </c>
      <c r="B36" s="242" t="s">
        <v>231</v>
      </c>
      <c r="C36" s="367">
        <f t="shared" si="0"/>
        <v>74735980</v>
      </c>
      <c r="D36" s="308">
        <f>13910169+100000+62992</f>
        <v>14073161</v>
      </c>
      <c r="E36" s="161">
        <f>500000+1198440+380000+4150000</f>
        <v>6228440</v>
      </c>
      <c r="F36" s="279">
        <f>52063316+2371063</f>
        <v>54434379</v>
      </c>
      <c r="H36" s="560">
        <f>'1.2.sz.mell. '!C36+'1.3.sz.mell.'!C36+'1.4.sz.mell. '!C36</f>
        <v>74735980</v>
      </c>
      <c r="I36" s="562">
        <f t="shared" si="1"/>
        <v>0</v>
      </c>
    </row>
    <row r="37" spans="1:9" s="240" customFormat="1" ht="12" customHeight="1" thickBot="1" x14ac:dyDescent="0.25">
      <c r="A37" s="13" t="s">
        <v>93</v>
      </c>
      <c r="B37" s="242" t="s">
        <v>232</v>
      </c>
      <c r="C37" s="367">
        <f t="shared" ref="C37:C68" si="2">SUM(D37:F37)</f>
        <v>103069200</v>
      </c>
      <c r="D37" s="308">
        <f>500000+300000+50000+1400000+947000+300000+52200</f>
        <v>3549200</v>
      </c>
      <c r="E37" s="161">
        <v>300000</v>
      </c>
      <c r="F37" s="279">
        <v>99220000</v>
      </c>
      <c r="H37" s="560">
        <f>'1.2.sz.mell. '!C37+'1.3.sz.mell.'!C37+'1.4.sz.mell. '!C37</f>
        <v>103069200</v>
      </c>
      <c r="I37" s="562">
        <f t="shared" ref="I37:I68" si="3">C37-H37</f>
        <v>0</v>
      </c>
    </row>
    <row r="38" spans="1:9" s="240" customFormat="1" ht="12" customHeight="1" thickBot="1" x14ac:dyDescent="0.25">
      <c r="A38" s="13" t="s">
        <v>152</v>
      </c>
      <c r="B38" s="242" t="s">
        <v>233</v>
      </c>
      <c r="C38" s="367">
        <f t="shared" si="2"/>
        <v>430000</v>
      </c>
      <c r="D38" s="308">
        <v>430000</v>
      </c>
      <c r="E38" s="161"/>
      <c r="F38" s="279"/>
      <c r="H38" s="560">
        <f>'1.2.sz.mell. '!C38+'1.3.sz.mell.'!C38+'1.4.sz.mell. '!C38</f>
        <v>430000</v>
      </c>
      <c r="I38" s="562">
        <f t="shared" si="3"/>
        <v>0</v>
      </c>
    </row>
    <row r="39" spans="1:9" s="240" customFormat="1" ht="12" customHeight="1" thickBot="1" x14ac:dyDescent="0.25">
      <c r="A39" s="13" t="s">
        <v>153</v>
      </c>
      <c r="B39" s="242" t="s">
        <v>234</v>
      </c>
      <c r="C39" s="367">
        <f t="shared" si="2"/>
        <v>179085653</v>
      </c>
      <c r="D39" s="308"/>
      <c r="E39" s="161"/>
      <c r="F39" s="279">
        <v>179085653</v>
      </c>
      <c r="H39" s="560">
        <f>'1.2.sz.mell. '!C39+'1.3.sz.mell.'!C39+'1.4.sz.mell. '!C39</f>
        <v>179085653</v>
      </c>
      <c r="I39" s="562">
        <f t="shared" si="3"/>
        <v>0</v>
      </c>
    </row>
    <row r="40" spans="1:9" s="240" customFormat="1" ht="12" customHeight="1" thickBot="1" x14ac:dyDescent="0.25">
      <c r="A40" s="13" t="s">
        <v>154</v>
      </c>
      <c r="B40" s="242" t="s">
        <v>235</v>
      </c>
      <c r="C40" s="367">
        <f t="shared" si="2"/>
        <v>45481578</v>
      </c>
      <c r="D40" s="308">
        <f>3283000+5162000+81000+13500+378000+81000+14094+17008</f>
        <v>9029602</v>
      </c>
      <c r="E40" s="161">
        <f>135000+324000+103000+1229000</f>
        <v>1791000</v>
      </c>
      <c r="F40" s="279">
        <f>34020789+640187</f>
        <v>34660976</v>
      </c>
      <c r="H40" s="560">
        <f>'1.2.sz.mell. '!C40+'1.3.sz.mell.'!C40+'1.4.sz.mell. '!C40</f>
        <v>45481578</v>
      </c>
      <c r="I40" s="562">
        <f t="shared" si="3"/>
        <v>0</v>
      </c>
    </row>
    <row r="41" spans="1:9" s="240" customFormat="1" ht="12" customHeight="1" thickBot="1" x14ac:dyDescent="0.25">
      <c r="A41" s="13" t="s">
        <v>155</v>
      </c>
      <c r="B41" s="242" t="s">
        <v>236</v>
      </c>
      <c r="C41" s="367">
        <f t="shared" si="2"/>
        <v>18210000</v>
      </c>
      <c r="D41" s="308"/>
      <c r="E41" s="161"/>
      <c r="F41" s="279">
        <v>18210000</v>
      </c>
      <c r="H41" s="560">
        <f>'1.2.sz.mell. '!C41+'1.3.sz.mell.'!C41+'1.4.sz.mell. '!C41</f>
        <v>18210000</v>
      </c>
      <c r="I41" s="562">
        <f t="shared" si="3"/>
        <v>0</v>
      </c>
    </row>
    <row r="42" spans="1:9" s="240" customFormat="1" ht="12" customHeight="1" thickBot="1" x14ac:dyDescent="0.25">
      <c r="A42" s="13" t="s">
        <v>156</v>
      </c>
      <c r="B42" s="242" t="s">
        <v>576</v>
      </c>
      <c r="C42" s="367">
        <f t="shared" si="2"/>
        <v>31000</v>
      </c>
      <c r="D42" s="308">
        <v>30000</v>
      </c>
      <c r="E42" s="161"/>
      <c r="F42" s="279">
        <v>1000</v>
      </c>
      <c r="H42" s="560">
        <f>'1.2.sz.mell. '!C42+'1.3.sz.mell.'!C42+'1.4.sz.mell. '!C42</f>
        <v>31000</v>
      </c>
      <c r="I42" s="562">
        <f t="shared" si="3"/>
        <v>0</v>
      </c>
    </row>
    <row r="43" spans="1:9" s="240" customFormat="1" ht="12" customHeight="1" thickBot="1" x14ac:dyDescent="0.25">
      <c r="A43" s="13" t="s">
        <v>228</v>
      </c>
      <c r="B43" s="242" t="s">
        <v>238</v>
      </c>
      <c r="C43" s="367">
        <f t="shared" si="2"/>
        <v>0</v>
      </c>
      <c r="D43" s="308"/>
      <c r="E43" s="161"/>
      <c r="F43" s="279"/>
      <c r="H43" s="560">
        <f>'1.2.sz.mell. '!C43+'1.3.sz.mell.'!C43+'1.4.sz.mell. '!C43</f>
        <v>0</v>
      </c>
      <c r="I43" s="562">
        <f t="shared" si="3"/>
        <v>0</v>
      </c>
    </row>
    <row r="44" spans="1:9" s="240" customFormat="1" ht="12" customHeight="1" thickBot="1" x14ac:dyDescent="0.25">
      <c r="A44" s="15" t="s">
        <v>229</v>
      </c>
      <c r="B44" s="243" t="s">
        <v>475</v>
      </c>
      <c r="C44" s="367">
        <f t="shared" si="2"/>
        <v>500000</v>
      </c>
      <c r="D44" s="312">
        <v>500000</v>
      </c>
      <c r="E44" s="230"/>
      <c r="F44" s="279"/>
      <c r="H44" s="560">
        <f>'1.2.sz.mell. '!C44+'1.3.sz.mell.'!C44+'1.4.sz.mell. '!C44</f>
        <v>500000</v>
      </c>
      <c r="I44" s="562">
        <f t="shared" si="3"/>
        <v>0</v>
      </c>
    </row>
    <row r="45" spans="1:9" s="240" customFormat="1" ht="12" customHeight="1" thickBot="1" x14ac:dyDescent="0.25">
      <c r="A45" s="15" t="s">
        <v>476</v>
      </c>
      <c r="B45" s="154" t="s">
        <v>239</v>
      </c>
      <c r="C45" s="885">
        <f t="shared" si="2"/>
        <v>4433557</v>
      </c>
      <c r="D45" s="312">
        <f>60000+600000+501164+3172393</f>
        <v>4333557</v>
      </c>
      <c r="E45" s="230">
        <v>100000</v>
      </c>
      <c r="F45" s="279"/>
      <c r="H45" s="560">
        <f>'1.2.sz.mell. '!C45+'1.3.sz.mell.'!C45+'1.4.sz.mell. '!C45</f>
        <v>4433557</v>
      </c>
      <c r="I45" s="563">
        <f t="shared" si="3"/>
        <v>0</v>
      </c>
    </row>
    <row r="46" spans="1:9" s="240" customFormat="1" ht="12" customHeight="1" thickBot="1" x14ac:dyDescent="0.25">
      <c r="A46" s="19" t="s">
        <v>27</v>
      </c>
      <c r="B46" s="20" t="s">
        <v>240</v>
      </c>
      <c r="C46" s="157">
        <f t="shared" si="2"/>
        <v>30332500</v>
      </c>
      <c r="D46" s="329">
        <f>SUM(D47:D51)</f>
        <v>30332500</v>
      </c>
      <c r="E46" s="157">
        <f>SUM(E47:E51)</f>
        <v>0</v>
      </c>
      <c r="F46" s="157">
        <f>SUM(F47:F51)</f>
        <v>0</v>
      </c>
      <c r="H46" s="560">
        <f>'1.2.sz.mell. '!C46+'1.3.sz.mell.'!C46+'1.4.sz.mell. '!C46</f>
        <v>30332500</v>
      </c>
      <c r="I46" s="560">
        <f t="shared" si="3"/>
        <v>0</v>
      </c>
    </row>
    <row r="47" spans="1:9" s="240" customFormat="1" ht="12" customHeight="1" thickBot="1" x14ac:dyDescent="0.25">
      <c r="A47" s="14" t="s">
        <v>94</v>
      </c>
      <c r="B47" s="241" t="s">
        <v>244</v>
      </c>
      <c r="C47" s="813">
        <f t="shared" si="2"/>
        <v>0</v>
      </c>
      <c r="D47" s="335"/>
      <c r="E47" s="279"/>
      <c r="F47" s="279"/>
      <c r="H47" s="560">
        <f>'1.2.sz.mell. '!C47+'1.3.sz.mell.'!C47+'1.4.sz.mell. '!C47</f>
        <v>0</v>
      </c>
      <c r="I47" s="561">
        <f t="shared" si="3"/>
        <v>0</v>
      </c>
    </row>
    <row r="48" spans="1:9" s="240" customFormat="1" ht="12" customHeight="1" thickBot="1" x14ac:dyDescent="0.25">
      <c r="A48" s="13" t="s">
        <v>95</v>
      </c>
      <c r="B48" s="242" t="s">
        <v>245</v>
      </c>
      <c r="C48" s="367">
        <f t="shared" si="2"/>
        <v>30332500</v>
      </c>
      <c r="D48" s="308">
        <v>30332500</v>
      </c>
      <c r="E48" s="161"/>
      <c r="F48" s="161"/>
      <c r="H48" s="560">
        <f>'1.2.sz.mell. '!C48+'1.3.sz.mell.'!C48+'1.4.sz.mell. '!C48</f>
        <v>30332500</v>
      </c>
      <c r="I48" s="562">
        <f t="shared" si="3"/>
        <v>0</v>
      </c>
    </row>
    <row r="49" spans="1:9" s="240" customFormat="1" ht="12" customHeight="1" thickBot="1" x14ac:dyDescent="0.25">
      <c r="A49" s="13" t="s">
        <v>241</v>
      </c>
      <c r="B49" s="242" t="s">
        <v>246</v>
      </c>
      <c r="C49" s="367">
        <f t="shared" si="2"/>
        <v>0</v>
      </c>
      <c r="D49" s="308"/>
      <c r="E49" s="161"/>
      <c r="F49" s="161"/>
      <c r="H49" s="560">
        <f>'1.2.sz.mell. '!C49+'1.3.sz.mell.'!C49+'1.4.sz.mell. '!C49</f>
        <v>0</v>
      </c>
      <c r="I49" s="562">
        <f t="shared" si="3"/>
        <v>0</v>
      </c>
    </row>
    <row r="50" spans="1:9" s="240" customFormat="1" ht="12" customHeight="1" thickBot="1" x14ac:dyDescent="0.25">
      <c r="A50" s="13" t="s">
        <v>242</v>
      </c>
      <c r="B50" s="242" t="s">
        <v>247</v>
      </c>
      <c r="C50" s="367">
        <f t="shared" si="2"/>
        <v>0</v>
      </c>
      <c r="D50" s="308"/>
      <c r="E50" s="161"/>
      <c r="F50" s="161"/>
      <c r="H50" s="560">
        <f>'1.2.sz.mell. '!C50+'1.3.sz.mell.'!C50+'1.4.sz.mell. '!C50</f>
        <v>0</v>
      </c>
      <c r="I50" s="562">
        <f t="shared" si="3"/>
        <v>0</v>
      </c>
    </row>
    <row r="51" spans="1:9" s="240" customFormat="1" ht="12" customHeight="1" thickBot="1" x14ac:dyDescent="0.25">
      <c r="A51" s="15" t="s">
        <v>243</v>
      </c>
      <c r="B51" s="154" t="s">
        <v>248</v>
      </c>
      <c r="C51" s="815">
        <f t="shared" si="2"/>
        <v>0</v>
      </c>
      <c r="D51" s="312"/>
      <c r="E51" s="230"/>
      <c r="F51" s="230"/>
      <c r="H51" s="560">
        <f>'1.2.sz.mell. '!C51+'1.3.sz.mell.'!C51+'1.4.sz.mell. '!C51</f>
        <v>0</v>
      </c>
      <c r="I51" s="563">
        <f t="shared" si="3"/>
        <v>0</v>
      </c>
    </row>
    <row r="52" spans="1:9" s="240" customFormat="1" ht="12" customHeight="1" thickBot="1" x14ac:dyDescent="0.25">
      <c r="A52" s="19" t="s">
        <v>157</v>
      </c>
      <c r="B52" s="706" t="s">
        <v>249</v>
      </c>
      <c r="C52" s="351">
        <f t="shared" si="2"/>
        <v>4786000</v>
      </c>
      <c r="D52" s="329">
        <f>SUM(D53:D55)</f>
        <v>4786000</v>
      </c>
      <c r="E52" s="157">
        <f>SUM(E53:E55)</f>
        <v>0</v>
      </c>
      <c r="F52" s="157">
        <f>SUM(F53:F55)</f>
        <v>0</v>
      </c>
      <c r="H52" s="560">
        <f>'1.2.sz.mell. '!C52+'1.3.sz.mell.'!C52+'1.4.sz.mell. '!C52</f>
        <v>4786000</v>
      </c>
      <c r="I52" s="560">
        <f t="shared" si="3"/>
        <v>0</v>
      </c>
    </row>
    <row r="53" spans="1:9" s="240" customFormat="1" ht="12" customHeight="1" thickBot="1" x14ac:dyDescent="0.25">
      <c r="A53" s="14" t="s">
        <v>96</v>
      </c>
      <c r="B53" s="241" t="s">
        <v>250</v>
      </c>
      <c r="C53" s="816">
        <f t="shared" si="2"/>
        <v>0</v>
      </c>
      <c r="D53" s="331"/>
      <c r="E53" s="159"/>
      <c r="F53" s="159"/>
      <c r="H53" s="560">
        <f>'1.2.sz.mell. '!C53+'1.3.sz.mell.'!C53+'1.4.sz.mell. '!C53</f>
        <v>0</v>
      </c>
      <c r="I53" s="561">
        <f t="shared" si="3"/>
        <v>0</v>
      </c>
    </row>
    <row r="54" spans="1:9" s="240" customFormat="1" ht="12" customHeight="1" thickBot="1" x14ac:dyDescent="0.25">
      <c r="A54" s="13" t="s">
        <v>97</v>
      </c>
      <c r="B54" s="242" t="s">
        <v>381</v>
      </c>
      <c r="C54" s="367">
        <f t="shared" si="2"/>
        <v>1866000</v>
      </c>
      <c r="D54" s="308">
        <f>1566000+300000</f>
        <v>1866000</v>
      </c>
      <c r="E54" s="161"/>
      <c r="F54" s="161"/>
      <c r="H54" s="560">
        <f>'1.2.sz.mell. '!C54+'1.3.sz.mell.'!C54+'1.4.sz.mell. '!C54</f>
        <v>1866000</v>
      </c>
      <c r="I54" s="562">
        <f t="shared" si="3"/>
        <v>0</v>
      </c>
    </row>
    <row r="55" spans="1:9" s="240" customFormat="1" ht="12" customHeight="1" thickBot="1" x14ac:dyDescent="0.25">
      <c r="A55" s="13" t="s">
        <v>253</v>
      </c>
      <c r="B55" s="242" t="s">
        <v>251</v>
      </c>
      <c r="C55" s="510">
        <f t="shared" si="2"/>
        <v>2920000</v>
      </c>
      <c r="D55" s="308">
        <f>2900000+20000</f>
        <v>2920000</v>
      </c>
      <c r="E55" s="161"/>
      <c r="F55" s="161"/>
      <c r="H55" s="560">
        <f>'1.2.sz.mell. '!C55+'1.3.sz.mell.'!C55+'1.4.sz.mell. '!C55</f>
        <v>2920000</v>
      </c>
      <c r="I55" s="562">
        <f t="shared" si="3"/>
        <v>0</v>
      </c>
    </row>
    <row r="56" spans="1:9" s="240" customFormat="1" ht="12" customHeight="1" thickBot="1" x14ac:dyDescent="0.25">
      <c r="A56" s="15" t="s">
        <v>254</v>
      </c>
      <c r="B56" s="154" t="s">
        <v>252</v>
      </c>
      <c r="C56" s="812">
        <f t="shared" si="2"/>
        <v>0</v>
      </c>
      <c r="D56" s="146"/>
      <c r="E56" s="160"/>
      <c r="F56" s="160"/>
      <c r="H56" s="560">
        <f>'1.2.sz.mell. '!C56+'1.3.sz.mell.'!C56+'1.4.sz.mell. '!C56</f>
        <v>0</v>
      </c>
      <c r="I56" s="563">
        <f t="shared" si="3"/>
        <v>0</v>
      </c>
    </row>
    <row r="57" spans="1:9" s="240" customFormat="1" ht="12" customHeight="1" thickBot="1" x14ac:dyDescent="0.25">
      <c r="A57" s="19" t="s">
        <v>29</v>
      </c>
      <c r="B57" s="152" t="s">
        <v>255</v>
      </c>
      <c r="C57" s="157">
        <f t="shared" si="2"/>
        <v>0</v>
      </c>
      <c r="D57" s="329">
        <f>SUM(D58:D60)</f>
        <v>0</v>
      </c>
      <c r="E57" s="157">
        <f>SUM(E58:E60)</f>
        <v>0</v>
      </c>
      <c r="F57" s="157">
        <f>SUM(F58:F60)</f>
        <v>0</v>
      </c>
      <c r="H57" s="560">
        <f>'1.2.sz.mell. '!C57+'1.3.sz.mell.'!C57+'1.4.sz.mell. '!C57</f>
        <v>0</v>
      </c>
      <c r="I57" s="560">
        <f t="shared" si="3"/>
        <v>0</v>
      </c>
    </row>
    <row r="58" spans="1:9" s="240" customFormat="1" ht="12" customHeight="1" thickBot="1" x14ac:dyDescent="0.25">
      <c r="A58" s="14" t="s">
        <v>158</v>
      </c>
      <c r="B58" s="241" t="s">
        <v>257</v>
      </c>
      <c r="C58" s="813">
        <f t="shared" si="2"/>
        <v>0</v>
      </c>
      <c r="D58" s="308"/>
      <c r="E58" s="161"/>
      <c r="F58" s="161"/>
      <c r="H58" s="560">
        <f>'1.2.sz.mell. '!C58+'1.3.sz.mell.'!C58+'1.4.sz.mell. '!C58</f>
        <v>0</v>
      </c>
      <c r="I58" s="561">
        <f t="shared" si="3"/>
        <v>0</v>
      </c>
    </row>
    <row r="59" spans="1:9" s="240" customFormat="1" ht="12" customHeight="1" thickBot="1" x14ac:dyDescent="0.25">
      <c r="A59" s="13" t="s">
        <v>159</v>
      </c>
      <c r="B59" s="242" t="s">
        <v>382</v>
      </c>
      <c r="C59" s="814">
        <f t="shared" si="2"/>
        <v>0</v>
      </c>
      <c r="D59" s="308"/>
      <c r="E59" s="161"/>
      <c r="F59" s="161"/>
      <c r="H59" s="560">
        <f>'1.2.sz.mell. '!C59+'1.3.sz.mell.'!C59+'1.4.sz.mell. '!C59</f>
        <v>0</v>
      </c>
      <c r="I59" s="562">
        <f t="shared" si="3"/>
        <v>0</v>
      </c>
    </row>
    <row r="60" spans="1:9" s="240" customFormat="1" ht="12" customHeight="1" thickBot="1" x14ac:dyDescent="0.25">
      <c r="A60" s="13" t="s">
        <v>181</v>
      </c>
      <c r="B60" s="242" t="s">
        <v>258</v>
      </c>
      <c r="C60" s="814">
        <f t="shared" si="2"/>
        <v>0</v>
      </c>
      <c r="D60" s="308"/>
      <c r="E60" s="161"/>
      <c r="F60" s="161"/>
      <c r="H60" s="560">
        <f>'1.2.sz.mell. '!C60+'1.3.sz.mell.'!C60+'1.4.sz.mell. '!C60</f>
        <v>0</v>
      </c>
      <c r="I60" s="562">
        <f t="shared" si="3"/>
        <v>0</v>
      </c>
    </row>
    <row r="61" spans="1:9" s="240" customFormat="1" ht="12" customHeight="1" thickBot="1" x14ac:dyDescent="0.25">
      <c r="A61" s="15" t="s">
        <v>256</v>
      </c>
      <c r="B61" s="154" t="s">
        <v>259</v>
      </c>
      <c r="C61" s="815">
        <f t="shared" si="2"/>
        <v>0</v>
      </c>
      <c r="D61" s="308"/>
      <c r="E61" s="161"/>
      <c r="F61" s="161"/>
      <c r="H61" s="560">
        <f>'1.2.sz.mell. '!C61+'1.3.sz.mell.'!C61+'1.4.sz.mell. '!C61</f>
        <v>0</v>
      </c>
      <c r="I61" s="563">
        <f t="shared" si="3"/>
        <v>0</v>
      </c>
    </row>
    <row r="62" spans="1:9" s="240" customFormat="1" ht="12" customHeight="1" thickBot="1" x14ac:dyDescent="0.25">
      <c r="A62" s="293" t="s">
        <v>477</v>
      </c>
      <c r="B62" s="20" t="s">
        <v>260</v>
      </c>
      <c r="C62" s="157">
        <f t="shared" si="2"/>
        <v>2480957807</v>
      </c>
      <c r="D62" s="332">
        <f>+D5+D12+D19+D26+D34+D46+D52+D57</f>
        <v>2064276967</v>
      </c>
      <c r="E62" s="162">
        <f>+E5+E12+E19+E26+E34+E46+E52+E57</f>
        <v>11536297</v>
      </c>
      <c r="F62" s="162">
        <f>+F5+F12+F19+F26+F34+F46+F52+F57</f>
        <v>405144543</v>
      </c>
      <c r="H62" s="560">
        <f>'1.2.sz.mell. '!C62+'1.3.sz.mell.'!C62+'1.4.sz.mell. '!C62</f>
        <v>2480957807</v>
      </c>
      <c r="I62" s="560">
        <f t="shared" si="3"/>
        <v>0</v>
      </c>
    </row>
    <row r="63" spans="1:9" s="240" customFormat="1" ht="12" customHeight="1" thickBot="1" x14ac:dyDescent="0.25">
      <c r="A63" s="294" t="s">
        <v>261</v>
      </c>
      <c r="B63" s="152" t="s">
        <v>262</v>
      </c>
      <c r="C63" s="157">
        <f t="shared" si="2"/>
        <v>193478462</v>
      </c>
      <c r="D63" s="329">
        <f>SUM(D64:D66)</f>
        <v>193478462</v>
      </c>
      <c r="E63" s="157">
        <f>SUM(E64:E66)</f>
        <v>0</v>
      </c>
      <c r="F63" s="157">
        <f>SUM(F64:F66)</f>
        <v>0</v>
      </c>
      <c r="H63" s="560">
        <f>'1.2.sz.mell. '!C63+'1.3.sz.mell.'!C63+'1.4.sz.mell. '!C63</f>
        <v>193478462</v>
      </c>
      <c r="I63" s="560">
        <f t="shared" si="3"/>
        <v>0</v>
      </c>
    </row>
    <row r="64" spans="1:9" s="240" customFormat="1" ht="12" customHeight="1" thickBot="1" x14ac:dyDescent="0.25">
      <c r="A64" s="14" t="s">
        <v>293</v>
      </c>
      <c r="B64" s="241" t="s">
        <v>263</v>
      </c>
      <c r="C64" s="811">
        <f t="shared" si="2"/>
        <v>93478462</v>
      </c>
      <c r="D64" s="308">
        <v>93478462</v>
      </c>
      <c r="E64" s="161"/>
      <c r="F64" s="161"/>
      <c r="H64" s="560">
        <f>'1.2.sz.mell. '!C64+'1.3.sz.mell.'!C64+'1.4.sz.mell. '!C64</f>
        <v>93478462</v>
      </c>
      <c r="I64" s="561">
        <f t="shared" si="3"/>
        <v>0</v>
      </c>
    </row>
    <row r="65" spans="1:9" s="240" customFormat="1" ht="12" customHeight="1" thickBot="1" x14ac:dyDescent="0.25">
      <c r="A65" s="13" t="s">
        <v>302</v>
      </c>
      <c r="B65" s="242" t="s">
        <v>264</v>
      </c>
      <c r="C65" s="367">
        <f t="shared" si="2"/>
        <v>100000000</v>
      </c>
      <c r="D65" s="308">
        <v>100000000</v>
      </c>
      <c r="E65" s="161"/>
      <c r="F65" s="161"/>
      <c r="H65" s="560">
        <f>'1.2.sz.mell. '!C65+'1.3.sz.mell.'!C65+'1.4.sz.mell. '!C65</f>
        <v>100000000</v>
      </c>
      <c r="I65" s="562">
        <f t="shared" si="3"/>
        <v>0</v>
      </c>
    </row>
    <row r="66" spans="1:9" s="240" customFormat="1" ht="12" customHeight="1" thickBot="1" x14ac:dyDescent="0.25">
      <c r="A66" s="15" t="s">
        <v>303</v>
      </c>
      <c r="B66" s="295" t="s">
        <v>478</v>
      </c>
      <c r="C66" s="815">
        <f t="shared" si="2"/>
        <v>0</v>
      </c>
      <c r="D66" s="308"/>
      <c r="E66" s="161"/>
      <c r="F66" s="161"/>
      <c r="H66" s="560">
        <f>'1.2.sz.mell. '!C66+'1.3.sz.mell.'!C66+'1.4.sz.mell. '!C66</f>
        <v>0</v>
      </c>
      <c r="I66" s="563">
        <f t="shared" si="3"/>
        <v>0</v>
      </c>
    </row>
    <row r="67" spans="1:9" s="240" customFormat="1" ht="12" customHeight="1" thickBot="1" x14ac:dyDescent="0.25">
      <c r="A67" s="294" t="s">
        <v>266</v>
      </c>
      <c r="B67" s="152" t="s">
        <v>267</v>
      </c>
      <c r="C67" s="157">
        <f t="shared" si="2"/>
        <v>0</v>
      </c>
      <c r="D67" s="329">
        <f>SUM(D68:D71)</f>
        <v>0</v>
      </c>
      <c r="E67" s="157">
        <f>SUM(E68:E71)</f>
        <v>0</v>
      </c>
      <c r="F67" s="157">
        <f>SUM(F68:F71)</f>
        <v>0</v>
      </c>
      <c r="H67" s="560">
        <f>'1.2.sz.mell. '!C67+'1.3.sz.mell.'!C67+'1.4.sz.mell. '!C67</f>
        <v>0</v>
      </c>
      <c r="I67" s="560">
        <f t="shared" si="3"/>
        <v>0</v>
      </c>
    </row>
    <row r="68" spans="1:9" s="240" customFormat="1" ht="12" customHeight="1" thickBot="1" x14ac:dyDescent="0.25">
      <c r="A68" s="14" t="s">
        <v>138</v>
      </c>
      <c r="B68" s="241" t="s">
        <v>268</v>
      </c>
      <c r="C68" s="813">
        <f t="shared" si="2"/>
        <v>0</v>
      </c>
      <c r="D68" s="308"/>
      <c r="E68" s="161"/>
      <c r="F68" s="161"/>
      <c r="H68" s="560">
        <f>'1.2.sz.mell. '!C68+'1.3.sz.mell.'!C68+'1.4.sz.mell. '!C68</f>
        <v>0</v>
      </c>
      <c r="I68" s="561">
        <f t="shared" si="3"/>
        <v>0</v>
      </c>
    </row>
    <row r="69" spans="1:9" s="240" customFormat="1" ht="12" customHeight="1" thickBot="1" x14ac:dyDescent="0.25">
      <c r="A69" s="13" t="s">
        <v>139</v>
      </c>
      <c r="B69" s="242" t="s">
        <v>269</v>
      </c>
      <c r="C69" s="814">
        <f t="shared" ref="C69:C87" si="4">SUM(D69:F69)</f>
        <v>0</v>
      </c>
      <c r="D69" s="308"/>
      <c r="E69" s="161"/>
      <c r="F69" s="161"/>
      <c r="H69" s="560">
        <f>'1.2.sz.mell. '!C69+'1.3.sz.mell.'!C69+'1.4.sz.mell. '!C69</f>
        <v>0</v>
      </c>
      <c r="I69" s="562">
        <f t="shared" ref="I69:I87" si="5">C69-H69</f>
        <v>0</v>
      </c>
    </row>
    <row r="70" spans="1:9" s="240" customFormat="1" ht="12" customHeight="1" thickBot="1" x14ac:dyDescent="0.25">
      <c r="A70" s="13" t="s">
        <v>294</v>
      </c>
      <c r="B70" s="242" t="s">
        <v>270</v>
      </c>
      <c r="C70" s="814">
        <f t="shared" si="4"/>
        <v>0</v>
      </c>
      <c r="D70" s="308"/>
      <c r="E70" s="161"/>
      <c r="F70" s="161"/>
      <c r="H70" s="560">
        <f>'1.2.sz.mell. '!C70+'1.3.sz.mell.'!C70+'1.4.sz.mell. '!C70</f>
        <v>0</v>
      </c>
      <c r="I70" s="562">
        <f t="shared" si="5"/>
        <v>0</v>
      </c>
    </row>
    <row r="71" spans="1:9" s="240" customFormat="1" ht="12" customHeight="1" thickBot="1" x14ac:dyDescent="0.25">
      <c r="A71" s="15" t="s">
        <v>295</v>
      </c>
      <c r="B71" s="154" t="s">
        <v>271</v>
      </c>
      <c r="C71" s="815">
        <f t="shared" si="4"/>
        <v>0</v>
      </c>
      <c r="D71" s="308"/>
      <c r="E71" s="161"/>
      <c r="F71" s="161"/>
      <c r="H71" s="560">
        <f>'1.2.sz.mell. '!C71+'1.3.sz.mell.'!C71+'1.4.sz.mell. '!C71</f>
        <v>0</v>
      </c>
      <c r="I71" s="563">
        <f t="shared" si="5"/>
        <v>0</v>
      </c>
    </row>
    <row r="72" spans="1:9" s="240" customFormat="1" ht="12" customHeight="1" thickBot="1" x14ac:dyDescent="0.25">
      <c r="A72" s="294" t="s">
        <v>272</v>
      </c>
      <c r="B72" s="152" t="s">
        <v>273</v>
      </c>
      <c r="C72" s="157">
        <f t="shared" si="4"/>
        <v>620677200</v>
      </c>
      <c r="D72" s="329">
        <f>SUM(D73:D74)</f>
        <v>594503730</v>
      </c>
      <c r="E72" s="157">
        <f>SUM(E73:E74)</f>
        <v>3212174</v>
      </c>
      <c r="F72" s="157">
        <f>SUM(F73:F74)</f>
        <v>22961296</v>
      </c>
      <c r="H72" s="560">
        <f>'1.2.sz.mell. '!C72+'1.3.sz.mell.'!C72+'1.4.sz.mell. '!C72</f>
        <v>620677200</v>
      </c>
      <c r="I72" s="560">
        <f t="shared" si="5"/>
        <v>0</v>
      </c>
    </row>
    <row r="73" spans="1:9" s="240" customFormat="1" ht="12" customHeight="1" thickBot="1" x14ac:dyDescent="0.25">
      <c r="A73" s="14" t="s">
        <v>296</v>
      </c>
      <c r="B73" s="241" t="s">
        <v>274</v>
      </c>
      <c r="C73" s="811">
        <f t="shared" si="4"/>
        <v>620677200</v>
      </c>
      <c r="D73" s="308">
        <f>569119704-28+25384054</f>
        <v>594503730</v>
      </c>
      <c r="E73" s="161">
        <f>3148853+63321</f>
        <v>3212174</v>
      </c>
      <c r="F73" s="161">
        <f>22961296</f>
        <v>22961296</v>
      </c>
      <c r="H73" s="560">
        <f>'1.2.sz.mell. '!C73+'1.3.sz.mell.'!C73+'1.4.sz.mell. '!C73</f>
        <v>620677200</v>
      </c>
      <c r="I73" s="561">
        <f t="shared" si="5"/>
        <v>0</v>
      </c>
    </row>
    <row r="74" spans="1:9" s="240" customFormat="1" ht="12" customHeight="1" thickBot="1" x14ac:dyDescent="0.25">
      <c r="A74" s="15" t="s">
        <v>297</v>
      </c>
      <c r="B74" s="154" t="s">
        <v>275</v>
      </c>
      <c r="C74" s="815">
        <f t="shared" si="4"/>
        <v>0</v>
      </c>
      <c r="D74" s="308"/>
      <c r="E74" s="161"/>
      <c r="F74" s="161"/>
      <c r="H74" s="560">
        <f>'1.2.sz.mell. '!C74+'1.3.sz.mell.'!C74+'1.4.sz.mell. '!C74</f>
        <v>0</v>
      </c>
      <c r="I74" s="563">
        <f t="shared" si="5"/>
        <v>0</v>
      </c>
    </row>
    <row r="75" spans="1:9" s="240" customFormat="1" ht="12" customHeight="1" thickBot="1" x14ac:dyDescent="0.25">
      <c r="A75" s="294" t="s">
        <v>276</v>
      </c>
      <c r="B75" s="152" t="s">
        <v>277</v>
      </c>
      <c r="C75" s="157">
        <f t="shared" si="4"/>
        <v>0</v>
      </c>
      <c r="D75" s="329">
        <f>SUM(D76:D78)</f>
        <v>0</v>
      </c>
      <c r="E75" s="157">
        <f>SUM(E76:E78)</f>
        <v>0</v>
      </c>
      <c r="F75" s="157">
        <f>SUM(F76:F78)</f>
        <v>0</v>
      </c>
      <c r="H75" s="560">
        <f>'1.2.sz.mell. '!C75+'1.3.sz.mell.'!C75+'1.4.sz.mell. '!C75</f>
        <v>0</v>
      </c>
      <c r="I75" s="560">
        <f t="shared" si="5"/>
        <v>0</v>
      </c>
    </row>
    <row r="76" spans="1:9" s="240" customFormat="1" ht="12" customHeight="1" thickBot="1" x14ac:dyDescent="0.25">
      <c r="A76" s="14" t="s">
        <v>298</v>
      </c>
      <c r="B76" s="241" t="s">
        <v>278</v>
      </c>
      <c r="C76" s="813">
        <f t="shared" si="4"/>
        <v>0</v>
      </c>
      <c r="D76" s="308"/>
      <c r="E76" s="161"/>
      <c r="F76" s="161"/>
      <c r="H76" s="560">
        <f>'1.2.sz.mell. '!C76+'1.3.sz.mell.'!C76+'1.4.sz.mell. '!C76</f>
        <v>0</v>
      </c>
      <c r="I76" s="561">
        <f t="shared" si="5"/>
        <v>0</v>
      </c>
    </row>
    <row r="77" spans="1:9" s="240" customFormat="1" ht="12" customHeight="1" thickBot="1" x14ac:dyDescent="0.25">
      <c r="A77" s="13" t="s">
        <v>299</v>
      </c>
      <c r="B77" s="242" t="s">
        <v>279</v>
      </c>
      <c r="C77" s="814">
        <f t="shared" si="4"/>
        <v>0</v>
      </c>
      <c r="D77" s="308"/>
      <c r="E77" s="161"/>
      <c r="F77" s="161"/>
      <c r="H77" s="560">
        <f>'1.2.sz.mell. '!C77+'1.3.sz.mell.'!C77+'1.4.sz.mell. '!C77</f>
        <v>0</v>
      </c>
      <c r="I77" s="562">
        <f t="shared" si="5"/>
        <v>0</v>
      </c>
    </row>
    <row r="78" spans="1:9" s="240" customFormat="1" ht="12" customHeight="1" thickBot="1" x14ac:dyDescent="0.25">
      <c r="A78" s="15" t="s">
        <v>300</v>
      </c>
      <c r="B78" s="154" t="s">
        <v>280</v>
      </c>
      <c r="C78" s="815">
        <f t="shared" si="4"/>
        <v>0</v>
      </c>
      <c r="D78" s="308"/>
      <c r="E78" s="161"/>
      <c r="F78" s="161"/>
      <c r="H78" s="560">
        <f>'1.2.sz.mell. '!C78+'1.3.sz.mell.'!C78+'1.4.sz.mell. '!C78</f>
        <v>0</v>
      </c>
      <c r="I78" s="563">
        <f t="shared" si="5"/>
        <v>0</v>
      </c>
    </row>
    <row r="79" spans="1:9" s="240" customFormat="1" ht="12" customHeight="1" thickBot="1" x14ac:dyDescent="0.25">
      <c r="A79" s="294" t="s">
        <v>281</v>
      </c>
      <c r="B79" s="152" t="s">
        <v>301</v>
      </c>
      <c r="C79" s="157">
        <f t="shared" si="4"/>
        <v>0</v>
      </c>
      <c r="D79" s="329">
        <f>SUM(D80:D83)</f>
        <v>0</v>
      </c>
      <c r="E79" s="157">
        <f>SUM(E80:E83)</f>
        <v>0</v>
      </c>
      <c r="F79" s="157">
        <f>SUM(F80:F83)</f>
        <v>0</v>
      </c>
      <c r="H79" s="560">
        <f>'1.2.sz.mell. '!C79+'1.3.sz.mell.'!C79+'1.4.sz.mell. '!C79</f>
        <v>0</v>
      </c>
      <c r="I79" s="560">
        <f t="shared" si="5"/>
        <v>0</v>
      </c>
    </row>
    <row r="80" spans="1:9" s="240" customFormat="1" ht="12" customHeight="1" thickBot="1" x14ac:dyDescent="0.25">
      <c r="A80" s="245" t="s">
        <v>282</v>
      </c>
      <c r="B80" s="241" t="s">
        <v>283</v>
      </c>
      <c r="C80" s="813">
        <f t="shared" si="4"/>
        <v>0</v>
      </c>
      <c r="D80" s="308"/>
      <c r="E80" s="161"/>
      <c r="F80" s="161"/>
      <c r="H80" s="560">
        <f>'1.2.sz.mell. '!C80+'1.3.sz.mell.'!C80+'1.4.sz.mell. '!C80</f>
        <v>0</v>
      </c>
      <c r="I80" s="561">
        <f t="shared" si="5"/>
        <v>0</v>
      </c>
    </row>
    <row r="81" spans="1:9" s="240" customFormat="1" ht="12" customHeight="1" thickBot="1" x14ac:dyDescent="0.25">
      <c r="A81" s="246" t="s">
        <v>284</v>
      </c>
      <c r="B81" s="242" t="s">
        <v>285</v>
      </c>
      <c r="C81" s="814">
        <f t="shared" si="4"/>
        <v>0</v>
      </c>
      <c r="D81" s="308"/>
      <c r="E81" s="161"/>
      <c r="F81" s="161"/>
      <c r="H81" s="560">
        <f>'1.2.sz.mell. '!C81+'1.3.sz.mell.'!C81+'1.4.sz.mell. '!C81</f>
        <v>0</v>
      </c>
      <c r="I81" s="562">
        <f t="shared" si="5"/>
        <v>0</v>
      </c>
    </row>
    <row r="82" spans="1:9" s="240" customFormat="1" ht="12" customHeight="1" thickBot="1" x14ac:dyDescent="0.25">
      <c r="A82" s="246" t="s">
        <v>286</v>
      </c>
      <c r="B82" s="242" t="s">
        <v>287</v>
      </c>
      <c r="C82" s="814">
        <f t="shared" si="4"/>
        <v>0</v>
      </c>
      <c r="D82" s="308"/>
      <c r="E82" s="161"/>
      <c r="F82" s="161"/>
      <c r="H82" s="560">
        <f>'1.2.sz.mell. '!C82+'1.3.sz.mell.'!C82+'1.4.sz.mell. '!C82</f>
        <v>0</v>
      </c>
      <c r="I82" s="562">
        <f t="shared" si="5"/>
        <v>0</v>
      </c>
    </row>
    <row r="83" spans="1:9" s="240" customFormat="1" ht="12" customHeight="1" thickBot="1" x14ac:dyDescent="0.25">
      <c r="A83" s="247" t="s">
        <v>288</v>
      </c>
      <c r="B83" s="154" t="s">
        <v>289</v>
      </c>
      <c r="C83" s="815">
        <f t="shared" si="4"/>
        <v>0</v>
      </c>
      <c r="D83" s="308"/>
      <c r="E83" s="161"/>
      <c r="F83" s="161"/>
      <c r="H83" s="560">
        <f>'1.2.sz.mell. '!C83+'1.3.sz.mell.'!C83+'1.4.sz.mell. '!C83</f>
        <v>0</v>
      </c>
      <c r="I83" s="563">
        <f t="shared" si="5"/>
        <v>0</v>
      </c>
    </row>
    <row r="84" spans="1:9" s="240" customFormat="1" ht="12" customHeight="1" thickBot="1" x14ac:dyDescent="0.25">
      <c r="A84" s="294" t="s">
        <v>290</v>
      </c>
      <c r="B84" s="152" t="s">
        <v>479</v>
      </c>
      <c r="C84" s="157">
        <f t="shared" si="4"/>
        <v>0</v>
      </c>
      <c r="D84" s="336"/>
      <c r="E84" s="280"/>
      <c r="F84" s="280"/>
      <c r="H84" s="560">
        <f>'1.2.sz.mell. '!C84+'1.3.sz.mell.'!C84+'1.4.sz.mell. '!C84</f>
        <v>0</v>
      </c>
      <c r="I84" s="560">
        <f t="shared" si="5"/>
        <v>0</v>
      </c>
    </row>
    <row r="85" spans="1:9" s="240" customFormat="1" ht="13.5" customHeight="1" thickBot="1" x14ac:dyDescent="0.25">
      <c r="A85" s="294" t="s">
        <v>292</v>
      </c>
      <c r="B85" s="152" t="s">
        <v>291</v>
      </c>
      <c r="C85" s="157">
        <f t="shared" si="4"/>
        <v>0</v>
      </c>
      <c r="D85" s="336"/>
      <c r="E85" s="280"/>
      <c r="F85" s="280"/>
      <c r="H85" s="560">
        <f>'1.2.sz.mell. '!C85+'1.3.sz.mell.'!C85+'1.4.sz.mell. '!C85</f>
        <v>0</v>
      </c>
      <c r="I85" s="560">
        <f t="shared" si="5"/>
        <v>0</v>
      </c>
    </row>
    <row r="86" spans="1:9" s="240" customFormat="1" ht="15.75" customHeight="1" thickBot="1" x14ac:dyDescent="0.25">
      <c r="A86" s="294" t="s">
        <v>304</v>
      </c>
      <c r="B86" s="248" t="s">
        <v>480</v>
      </c>
      <c r="C86" s="157">
        <f t="shared" si="4"/>
        <v>814155662</v>
      </c>
      <c r="D86" s="332">
        <f>+D63+D67+D72+D75+D79+D85+D84</f>
        <v>787982192</v>
      </c>
      <c r="E86" s="162">
        <f>+E63+E67+E72+E75+E79+E85+E84</f>
        <v>3212174</v>
      </c>
      <c r="F86" s="162">
        <f>+F63+F67+F72+F75+F79+F85+F84</f>
        <v>22961296</v>
      </c>
      <c r="H86" s="560">
        <f>'1.2.sz.mell. '!C86+'1.3.sz.mell.'!C86+'1.4.sz.mell. '!C86</f>
        <v>814155662</v>
      </c>
      <c r="I86" s="560">
        <f t="shared" si="5"/>
        <v>0</v>
      </c>
    </row>
    <row r="87" spans="1:9" s="240" customFormat="1" ht="16.5" customHeight="1" thickBot="1" x14ac:dyDescent="0.25">
      <c r="A87" s="296" t="s">
        <v>481</v>
      </c>
      <c r="B87" s="249" t="s">
        <v>482</v>
      </c>
      <c r="C87" s="157">
        <f t="shared" si="4"/>
        <v>3295113469</v>
      </c>
      <c r="D87" s="332">
        <f>+D62+D86</f>
        <v>2852259159</v>
      </c>
      <c r="E87" s="162">
        <f>+E62+E86</f>
        <v>14748471</v>
      </c>
      <c r="F87" s="162">
        <f>+F62+F86</f>
        <v>428105839</v>
      </c>
      <c r="H87" s="560">
        <f>'1.2.sz.mell. '!C87+'1.3.sz.mell.'!C87+'1.4.sz.mell. '!C87</f>
        <v>3295113469</v>
      </c>
      <c r="I87" s="560">
        <f t="shared" si="5"/>
        <v>0</v>
      </c>
    </row>
    <row r="88" spans="1:9" s="240" customFormat="1" ht="83.25" customHeight="1" thickBot="1" x14ac:dyDescent="0.25">
      <c r="A88" s="4"/>
      <c r="B88" s="5"/>
      <c r="C88" s="163"/>
      <c r="H88" s="560">
        <f>'1.2.sz.mell. '!C88+'1.3.sz.mell.'!C88+'1.4.sz.mell. '!C88</f>
        <v>0</v>
      </c>
      <c r="I88" s="558"/>
    </row>
    <row r="89" spans="1:9" ht="16.5" customHeight="1" thickBot="1" x14ac:dyDescent="0.3">
      <c r="A89" s="993" t="s">
        <v>51</v>
      </c>
      <c r="B89" s="993"/>
      <c r="C89" s="993"/>
      <c r="H89" s="560">
        <f>'1.2.sz.mell. '!C89+'1.3.sz.mell.'!C89+'1.4.sz.mell. '!C89</f>
        <v>0</v>
      </c>
      <c r="I89" s="558"/>
    </row>
    <row r="90" spans="1:9" s="250" customFormat="1" ht="16.5" customHeight="1" thickBot="1" x14ac:dyDescent="0.3">
      <c r="A90" s="994" t="s">
        <v>141</v>
      </c>
      <c r="B90" s="994"/>
      <c r="C90" s="87" t="s">
        <v>589</v>
      </c>
      <c r="H90" s="560" t="e">
        <f>'1.2.sz.mell. '!C90+'1.3.sz.mell.'!C90+'1.4.sz.mell. '!C90</f>
        <v>#VALUE!</v>
      </c>
      <c r="I90" s="558"/>
    </row>
    <row r="91" spans="1:9" ht="38.1" customHeight="1" thickBot="1" x14ac:dyDescent="0.3">
      <c r="A91" s="22" t="s">
        <v>73</v>
      </c>
      <c r="B91" s="23" t="s">
        <v>52</v>
      </c>
      <c r="C91" s="35" t="str">
        <f>+C3</f>
        <v>2018. évi előirányzat</v>
      </c>
      <c r="H91" s="560" t="e">
        <f>'1.2.sz.mell. '!C91+'1.3.sz.mell.'!C91+'1.4.sz.mell. '!C91</f>
        <v>#VALUE!</v>
      </c>
      <c r="I91" s="558"/>
    </row>
    <row r="92" spans="1:9" s="239" customFormat="1" ht="12" customHeight="1" thickBot="1" x14ac:dyDescent="0.25">
      <c r="A92" s="31" t="s">
        <v>466</v>
      </c>
      <c r="B92" s="32" t="s">
        <v>467</v>
      </c>
      <c r="C92" s="235" t="s">
        <v>468</v>
      </c>
      <c r="H92" s="560" t="e">
        <f>'1.2.sz.mell. '!C92+'1.3.sz.mell.'!C92+'1.4.sz.mell. '!C92</f>
        <v>#VALUE!</v>
      </c>
      <c r="I92" s="558"/>
    </row>
    <row r="93" spans="1:9" ht="12" customHeight="1" thickBot="1" x14ac:dyDescent="0.3">
      <c r="A93" s="21" t="s">
        <v>22</v>
      </c>
      <c r="B93" s="25" t="s">
        <v>520</v>
      </c>
      <c r="C93" s="375">
        <f t="shared" ref="C93:C124" si="6">SUM(D93:F93)</f>
        <v>2471754189</v>
      </c>
      <c r="D93" s="339">
        <f>+D94+D95+D96+D97+D98+D111</f>
        <v>724315225</v>
      </c>
      <c r="E93" s="156">
        <f>+E94+E95+E96+E97+E98+E111</f>
        <v>239430458</v>
      </c>
      <c r="F93" s="351">
        <f>F94+F95+F96+F97+F98+F111</f>
        <v>1508008506</v>
      </c>
      <c r="H93" s="560">
        <f>'1.2.sz.mell. '!C93+'1.3.sz.mell.'!C93+'1.4.sz.mell. '!C93</f>
        <v>2471754189</v>
      </c>
      <c r="I93" s="560">
        <f t="shared" ref="I93:I124" si="7">C93-H93</f>
        <v>0</v>
      </c>
    </row>
    <row r="94" spans="1:9" ht="12" customHeight="1" thickBot="1" x14ac:dyDescent="0.3">
      <c r="A94" s="16" t="s">
        <v>98</v>
      </c>
      <c r="B94" s="9" t="s">
        <v>53</v>
      </c>
      <c r="C94" s="564">
        <f t="shared" si="6"/>
        <v>988725211</v>
      </c>
      <c r="D94" s="357">
        <f>2854500+25097896+75000+16116992+1182990+2491000+1016699-198000+7688261</f>
        <v>56325338</v>
      </c>
      <c r="E94" s="317">
        <f>2528076+481000+134654515+2215000+152400</f>
        <v>140030991</v>
      </c>
      <c r="F94" s="323">
        <f>784492352+662383+6760147+80000+374000</f>
        <v>792368882</v>
      </c>
      <c r="H94" s="560">
        <f>'1.2.sz.mell. '!C94+'1.3.sz.mell.'!C94+'1.4.sz.mell. '!C94</f>
        <v>988725211</v>
      </c>
      <c r="I94" s="561">
        <f t="shared" si="7"/>
        <v>0</v>
      </c>
    </row>
    <row r="95" spans="1:9" ht="12" customHeight="1" thickBot="1" x14ac:dyDescent="0.3">
      <c r="A95" s="13" t="s">
        <v>99</v>
      </c>
      <c r="B95" s="7" t="s">
        <v>160</v>
      </c>
      <c r="C95" s="564">
        <f t="shared" si="6"/>
        <v>208564007</v>
      </c>
      <c r="D95" s="308">
        <f>500965+4771305+13275+17258+2940000+14000+207615+1015000+283238-34749+1628272</f>
        <v>11356179</v>
      </c>
      <c r="E95" s="161">
        <f>443678+114000+28757160+461687+62043</f>
        <v>29838568</v>
      </c>
      <c r="F95" s="310">
        <f>165847404+144152+1290734+14040+72930</f>
        <v>167369260</v>
      </c>
      <c r="H95" s="560">
        <f>'1.2.sz.mell. '!C95+'1.3.sz.mell.'!C95+'1.4.sz.mell. '!C95</f>
        <v>208564007</v>
      </c>
      <c r="I95" s="562">
        <f t="shared" si="7"/>
        <v>0</v>
      </c>
    </row>
    <row r="96" spans="1:9" ht="12" customHeight="1" thickBot="1" x14ac:dyDescent="0.3">
      <c r="A96" s="13" t="s">
        <v>100</v>
      </c>
      <c r="B96" s="7" t="s">
        <v>130</v>
      </c>
      <c r="C96" s="564">
        <f t="shared" si="6"/>
        <v>889241948</v>
      </c>
      <c r="D96" s="312">
        <f>13447475+835000+16099000+50000+52909601+3082677+6787092+2456000+4504030+871220+397000+194467+34163000+50473064+34200000+3285067+156511+9000000+563000+17207888+2681000+3300000+17042731+48545760+500000+381000+314356+178500+77000-37621053+63500+9515799</f>
        <v>295660685</v>
      </c>
      <c r="E96" s="230">
        <f>4096000+324000+352000+40114003+137126+419550-152400+20620</f>
        <v>45310899</v>
      </c>
      <c r="F96" s="310">
        <f>545896186-624000+1605578+768600+624000</f>
        <v>548270364</v>
      </c>
      <c r="H96" s="560">
        <f>'1.2.sz.mell. '!C96+'1.3.sz.mell.'!C96+'1.4.sz.mell. '!C96</f>
        <v>889241948</v>
      </c>
      <c r="I96" s="562">
        <f t="shared" si="7"/>
        <v>0</v>
      </c>
    </row>
    <row r="97" spans="1:9" ht="12" customHeight="1" thickBot="1" x14ac:dyDescent="0.3">
      <c r="A97" s="13" t="s">
        <v>101</v>
      </c>
      <c r="B97" s="7" t="s">
        <v>161</v>
      </c>
      <c r="C97" s="564">
        <f t="shared" si="6"/>
        <v>166562000</v>
      </c>
      <c r="D97" s="312">
        <f>69500000+3500000+69312000</f>
        <v>142312000</v>
      </c>
      <c r="E97" s="230">
        <v>24250000</v>
      </c>
      <c r="F97" s="322"/>
      <c r="H97" s="560">
        <f>'1.2.sz.mell. '!C97+'1.3.sz.mell.'!C97+'1.4.sz.mell. '!C97</f>
        <v>166562000</v>
      </c>
      <c r="I97" s="562">
        <f t="shared" si="7"/>
        <v>0</v>
      </c>
    </row>
    <row r="98" spans="1:9" ht="12" customHeight="1" thickBot="1" x14ac:dyDescent="0.3">
      <c r="A98" s="13" t="s">
        <v>112</v>
      </c>
      <c r="B98" s="6" t="s">
        <v>162</v>
      </c>
      <c r="C98" s="564">
        <f t="shared" si="6"/>
        <v>152217403</v>
      </c>
      <c r="D98" s="312">
        <f>45183973+52959801+660000+100000+49357310+3869819+86500</f>
        <v>152217403</v>
      </c>
      <c r="E98" s="230"/>
      <c r="F98" s="322"/>
      <c r="H98" s="560">
        <f>'1.2.sz.mell. '!C98+'1.3.sz.mell.'!C98+'1.4.sz.mell. '!C98</f>
        <v>152217403</v>
      </c>
      <c r="I98" s="562">
        <f t="shared" si="7"/>
        <v>0</v>
      </c>
    </row>
    <row r="99" spans="1:9" ht="12" customHeight="1" thickBot="1" x14ac:dyDescent="0.3">
      <c r="A99" s="13" t="s">
        <v>102</v>
      </c>
      <c r="B99" s="7" t="s">
        <v>483</v>
      </c>
      <c r="C99" s="564">
        <f t="shared" si="6"/>
        <v>4056319</v>
      </c>
      <c r="D99" s="312">
        <f>100000+3869819+86500</f>
        <v>4056319</v>
      </c>
      <c r="E99" s="230"/>
      <c r="F99" s="322"/>
      <c r="H99" s="560">
        <f>'1.2.sz.mell. '!C99+'1.3.sz.mell.'!C99+'1.4.sz.mell. '!C99</f>
        <v>4056319</v>
      </c>
      <c r="I99" s="562">
        <f t="shared" si="7"/>
        <v>0</v>
      </c>
    </row>
    <row r="100" spans="1:9" ht="12" customHeight="1" thickBot="1" x14ac:dyDescent="0.3">
      <c r="A100" s="13" t="s">
        <v>103</v>
      </c>
      <c r="B100" s="91" t="s">
        <v>484</v>
      </c>
      <c r="C100" s="662">
        <f t="shared" si="6"/>
        <v>0</v>
      </c>
      <c r="D100" s="312"/>
      <c r="E100" s="230"/>
      <c r="F100" s="322"/>
      <c r="H100" s="560">
        <f>'1.2.sz.mell. '!C100+'1.3.sz.mell.'!C100+'1.4.sz.mell. '!C100</f>
        <v>0</v>
      </c>
      <c r="I100" s="562">
        <f t="shared" si="7"/>
        <v>0</v>
      </c>
    </row>
    <row r="101" spans="1:9" ht="12" customHeight="1" thickBot="1" x14ac:dyDescent="0.3">
      <c r="A101" s="13" t="s">
        <v>113</v>
      </c>
      <c r="B101" s="91" t="s">
        <v>485</v>
      </c>
      <c r="C101" s="662">
        <f t="shared" si="6"/>
        <v>0</v>
      </c>
      <c r="D101" s="312"/>
      <c r="E101" s="230"/>
      <c r="F101" s="322"/>
      <c r="H101" s="560">
        <f>'1.2.sz.mell. '!C101+'1.3.sz.mell.'!C101+'1.4.sz.mell. '!C101</f>
        <v>0</v>
      </c>
      <c r="I101" s="562">
        <f t="shared" si="7"/>
        <v>0</v>
      </c>
    </row>
    <row r="102" spans="1:9" ht="12" customHeight="1" thickBot="1" x14ac:dyDescent="0.3">
      <c r="A102" s="13" t="s">
        <v>114</v>
      </c>
      <c r="B102" s="89" t="s">
        <v>307</v>
      </c>
      <c r="C102" s="662">
        <f t="shared" si="6"/>
        <v>0</v>
      </c>
      <c r="D102" s="312"/>
      <c r="E102" s="230"/>
      <c r="F102" s="322"/>
      <c r="H102" s="560">
        <f>'1.2.sz.mell. '!C102+'1.3.sz.mell.'!C102+'1.4.sz.mell. '!C102</f>
        <v>0</v>
      </c>
      <c r="I102" s="562">
        <f t="shared" si="7"/>
        <v>0</v>
      </c>
    </row>
    <row r="103" spans="1:9" ht="12" customHeight="1" thickBot="1" x14ac:dyDescent="0.3">
      <c r="A103" s="13" t="s">
        <v>115</v>
      </c>
      <c r="B103" s="90" t="s">
        <v>308</v>
      </c>
      <c r="C103" s="662">
        <f t="shared" si="6"/>
        <v>0</v>
      </c>
      <c r="D103" s="312"/>
      <c r="E103" s="230"/>
      <c r="F103" s="322"/>
      <c r="H103" s="560">
        <f>'1.2.sz.mell. '!C103+'1.3.sz.mell.'!C103+'1.4.sz.mell. '!C103</f>
        <v>0</v>
      </c>
      <c r="I103" s="562">
        <f t="shared" si="7"/>
        <v>0</v>
      </c>
    </row>
    <row r="104" spans="1:9" ht="12" customHeight="1" thickBot="1" x14ac:dyDescent="0.3">
      <c r="A104" s="13" t="s">
        <v>116</v>
      </c>
      <c r="B104" s="90" t="s">
        <v>309</v>
      </c>
      <c r="C104" s="662">
        <f t="shared" si="6"/>
        <v>0</v>
      </c>
      <c r="D104" s="312"/>
      <c r="E104" s="230"/>
      <c r="F104" s="322"/>
      <c r="H104" s="560">
        <f>'1.2.sz.mell. '!C104+'1.3.sz.mell.'!C104+'1.4.sz.mell. '!C104</f>
        <v>0</v>
      </c>
      <c r="I104" s="562">
        <f t="shared" si="7"/>
        <v>0</v>
      </c>
    </row>
    <row r="105" spans="1:9" ht="12" customHeight="1" thickBot="1" x14ac:dyDescent="0.3">
      <c r="A105" s="13" t="s">
        <v>118</v>
      </c>
      <c r="B105" s="89" t="s">
        <v>310</v>
      </c>
      <c r="C105" s="662">
        <f t="shared" si="6"/>
        <v>660000</v>
      </c>
      <c r="D105" s="312">
        <v>660000</v>
      </c>
      <c r="E105" s="230"/>
      <c r="F105" s="322"/>
      <c r="H105" s="560">
        <f>'1.2.sz.mell. '!C105+'1.3.sz.mell.'!C105+'1.4.sz.mell. '!C105</f>
        <v>660000</v>
      </c>
      <c r="I105" s="562">
        <f t="shared" si="7"/>
        <v>0</v>
      </c>
    </row>
    <row r="106" spans="1:9" ht="12" customHeight="1" thickBot="1" x14ac:dyDescent="0.3">
      <c r="A106" s="13" t="s">
        <v>163</v>
      </c>
      <c r="B106" s="89" t="s">
        <v>311</v>
      </c>
      <c r="C106" s="662">
        <f t="shared" si="6"/>
        <v>0</v>
      </c>
      <c r="D106" s="312"/>
      <c r="E106" s="230"/>
      <c r="F106" s="322"/>
      <c r="H106" s="560">
        <f>'1.2.sz.mell. '!C106+'1.3.sz.mell.'!C106+'1.4.sz.mell. '!C106</f>
        <v>0</v>
      </c>
      <c r="I106" s="562">
        <f t="shared" si="7"/>
        <v>0</v>
      </c>
    </row>
    <row r="107" spans="1:9" ht="12" customHeight="1" thickBot="1" x14ac:dyDescent="0.3">
      <c r="A107" s="13" t="s">
        <v>305</v>
      </c>
      <c r="B107" s="90" t="s">
        <v>312</v>
      </c>
      <c r="C107" s="662">
        <f t="shared" si="6"/>
        <v>0</v>
      </c>
      <c r="D107" s="312"/>
      <c r="E107" s="230"/>
      <c r="F107" s="322"/>
      <c r="H107" s="560">
        <f>'1.2.sz.mell. '!C107+'1.3.sz.mell.'!C107+'1.4.sz.mell. '!C107</f>
        <v>0</v>
      </c>
      <c r="I107" s="562">
        <f t="shared" si="7"/>
        <v>0</v>
      </c>
    </row>
    <row r="108" spans="1:9" ht="12" customHeight="1" thickBot="1" x14ac:dyDescent="0.3">
      <c r="A108" s="12" t="s">
        <v>306</v>
      </c>
      <c r="B108" s="91" t="s">
        <v>313</v>
      </c>
      <c r="C108" s="662">
        <f t="shared" si="6"/>
        <v>0</v>
      </c>
      <c r="D108" s="312"/>
      <c r="E108" s="230"/>
      <c r="F108" s="322"/>
      <c r="H108" s="560">
        <f>'1.2.sz.mell. '!C108+'1.3.sz.mell.'!C108+'1.4.sz.mell. '!C108</f>
        <v>0</v>
      </c>
      <c r="I108" s="562">
        <f t="shared" si="7"/>
        <v>0</v>
      </c>
    </row>
    <row r="109" spans="1:9" ht="12" customHeight="1" thickBot="1" x14ac:dyDescent="0.3">
      <c r="A109" s="13" t="s">
        <v>486</v>
      </c>
      <c r="B109" s="91" t="s">
        <v>314</v>
      </c>
      <c r="C109" s="662">
        <f t="shared" si="6"/>
        <v>0</v>
      </c>
      <c r="D109" s="312"/>
      <c r="E109" s="230"/>
      <c r="F109" s="322"/>
      <c r="H109" s="560">
        <f>'1.2.sz.mell. '!C109+'1.3.sz.mell.'!C109+'1.4.sz.mell. '!C109</f>
        <v>0</v>
      </c>
      <c r="I109" s="562">
        <f t="shared" si="7"/>
        <v>0</v>
      </c>
    </row>
    <row r="110" spans="1:9" ht="12" customHeight="1" thickBot="1" x14ac:dyDescent="0.3">
      <c r="A110" s="15" t="s">
        <v>487</v>
      </c>
      <c r="B110" s="91" t="s">
        <v>315</v>
      </c>
      <c r="C110" s="662">
        <f t="shared" si="6"/>
        <v>147501084</v>
      </c>
      <c r="D110" s="308">
        <f>5697126+16985629+22501218+52959801+660000+49357310-660000</f>
        <v>147501084</v>
      </c>
      <c r="E110" s="161"/>
      <c r="F110" s="322"/>
      <c r="H110" s="560">
        <f>'1.2.sz.mell. '!C110+'1.3.sz.mell.'!C110+'1.4.sz.mell. '!C110</f>
        <v>147501084</v>
      </c>
      <c r="I110" s="562">
        <f t="shared" si="7"/>
        <v>0</v>
      </c>
    </row>
    <row r="111" spans="1:9" ht="12" customHeight="1" thickBot="1" x14ac:dyDescent="0.3">
      <c r="A111" s="13" t="s">
        <v>488</v>
      </c>
      <c r="B111" s="7" t="s">
        <v>54</v>
      </c>
      <c r="C111" s="662">
        <f t="shared" si="6"/>
        <v>66443620</v>
      </c>
      <c r="D111" s="308">
        <f>SUM(D112:D113)</f>
        <v>66443620</v>
      </c>
      <c r="E111" s="161"/>
      <c r="F111" s="310">
        <f>F112+F113</f>
        <v>0</v>
      </c>
      <c r="H111" s="560">
        <f>'1.2.sz.mell. '!C111+'1.3.sz.mell.'!C111+'1.4.sz.mell. '!C111</f>
        <v>66443620</v>
      </c>
      <c r="I111" s="562">
        <f t="shared" si="7"/>
        <v>0</v>
      </c>
    </row>
    <row r="112" spans="1:9" ht="12" customHeight="1" thickBot="1" x14ac:dyDescent="0.3">
      <c r="A112" s="13" t="s">
        <v>489</v>
      </c>
      <c r="B112" s="7" t="s">
        <v>490</v>
      </c>
      <c r="C112" s="564">
        <f t="shared" si="6"/>
        <v>6793117</v>
      </c>
      <c r="D112" s="312">
        <f>15000000-21705-8451320+266142</f>
        <v>6793117</v>
      </c>
      <c r="E112" s="230"/>
      <c r="F112" s="310"/>
      <c r="H112" s="560">
        <f>'1.2.sz.mell. '!C112+'1.3.sz.mell.'!C112+'1.4.sz.mell. '!C112</f>
        <v>6793117</v>
      </c>
      <c r="I112" s="562">
        <f t="shared" si="7"/>
        <v>0</v>
      </c>
    </row>
    <row r="113" spans="1:9" ht="12" customHeight="1" thickBot="1" x14ac:dyDescent="0.3">
      <c r="A113" s="17" t="s">
        <v>491</v>
      </c>
      <c r="B113" s="297" t="s">
        <v>492</v>
      </c>
      <c r="C113" s="886">
        <f t="shared" si="6"/>
        <v>59650503</v>
      </c>
      <c r="D113" s="358">
        <f>65846522-6946019+750000</f>
        <v>59650503</v>
      </c>
      <c r="E113" s="326"/>
      <c r="F113" s="324"/>
      <c r="H113" s="560">
        <f>'1.2.sz.mell. '!C113+'1.3.sz.mell.'!C113+'1.4.sz.mell. '!C113</f>
        <v>59650503</v>
      </c>
      <c r="I113" s="563">
        <f t="shared" si="7"/>
        <v>0</v>
      </c>
    </row>
    <row r="114" spans="1:9" ht="12" customHeight="1" thickBot="1" x14ac:dyDescent="0.3">
      <c r="A114" s="298" t="s">
        <v>23</v>
      </c>
      <c r="B114" s="666" t="s">
        <v>316</v>
      </c>
      <c r="C114" s="669">
        <f t="shared" si="6"/>
        <v>676704985</v>
      </c>
      <c r="D114" s="329">
        <f>+D115+D117+D119</f>
        <v>650181756</v>
      </c>
      <c r="E114" s="157">
        <f>+E115+E117+E119</f>
        <v>4919980</v>
      </c>
      <c r="F114" s="300">
        <f>+F115+F117+F119</f>
        <v>21603249</v>
      </c>
      <c r="H114" s="560">
        <f>'1.2.sz.mell. '!C114+'1.3.sz.mell.'!C114+'1.4.sz.mell. '!C114</f>
        <v>676704985</v>
      </c>
      <c r="I114" s="560">
        <f t="shared" si="7"/>
        <v>0</v>
      </c>
    </row>
    <row r="115" spans="1:9" ht="15" customHeight="1" thickBot="1" x14ac:dyDescent="0.3">
      <c r="A115" s="14" t="s">
        <v>104</v>
      </c>
      <c r="B115" s="7" t="s">
        <v>180</v>
      </c>
      <c r="C115" s="564">
        <f t="shared" si="6"/>
        <v>342014754</v>
      </c>
      <c r="D115" s="335">
        <f>359410+2345001+219008101+12873483+381000+1500000+3139585+33894811+377190+2338070+4950460-60000+275000+20930495+3000+1187993+457200+1422400+3150920+850748+6716258</f>
        <v>316101125</v>
      </c>
      <c r="E115" s="279">
        <v>4919980</v>
      </c>
      <c r="F115" s="325">
        <f>20394512+599137</f>
        <v>20993649</v>
      </c>
      <c r="H115" s="560">
        <f>'1.2.sz.mell. '!C115+'1.3.sz.mell.'!C115+'1.4.sz.mell. '!C115</f>
        <v>342014754</v>
      </c>
      <c r="I115" s="561">
        <f t="shared" si="7"/>
        <v>0</v>
      </c>
    </row>
    <row r="116" spans="1:9" ht="12" customHeight="1" thickBot="1" x14ac:dyDescent="0.3">
      <c r="A116" s="14" t="s">
        <v>105</v>
      </c>
      <c r="B116" s="11" t="s">
        <v>320</v>
      </c>
      <c r="C116" s="564">
        <f t="shared" si="6"/>
        <v>295275384</v>
      </c>
      <c r="D116" s="664">
        <f>12873483+33259811+218246101+22118488+6704583</f>
        <v>293202466</v>
      </c>
      <c r="E116" s="279"/>
      <c r="F116" s="325">
        <v>2072918</v>
      </c>
      <c r="H116" s="560">
        <f>'1.2.sz.mell. '!C116+'1.3.sz.mell.'!C116+'1.4.sz.mell. '!C116</f>
        <v>295275384</v>
      </c>
      <c r="I116" s="562">
        <f t="shared" si="7"/>
        <v>0</v>
      </c>
    </row>
    <row r="117" spans="1:9" ht="12" customHeight="1" thickBot="1" x14ac:dyDescent="0.3">
      <c r="A117" s="14" t="s">
        <v>106</v>
      </c>
      <c r="B117" s="11" t="s">
        <v>164</v>
      </c>
      <c r="C117" s="564">
        <f t="shared" si="6"/>
        <v>268879510</v>
      </c>
      <c r="D117" s="308">
        <f>180701362+1500000+37902555+48165993</f>
        <v>268269910</v>
      </c>
      <c r="E117" s="161"/>
      <c r="F117" s="310">
        <v>609600</v>
      </c>
      <c r="H117" s="560">
        <f>'1.2.sz.mell. '!C117+'1.3.sz.mell.'!C117+'1.4.sz.mell. '!C117</f>
        <v>268879510</v>
      </c>
      <c r="I117" s="562">
        <f t="shared" si="7"/>
        <v>0</v>
      </c>
    </row>
    <row r="118" spans="1:9" ht="12" customHeight="1" thickBot="1" x14ac:dyDescent="0.3">
      <c r="A118" s="14" t="s">
        <v>107</v>
      </c>
      <c r="B118" s="11" t="s">
        <v>321</v>
      </c>
      <c r="C118" s="564">
        <f t="shared" si="6"/>
        <v>230773273</v>
      </c>
      <c r="D118" s="663">
        <f>146098020+36509260+48165993</f>
        <v>230773273</v>
      </c>
      <c r="E118" s="320"/>
      <c r="F118" s="308"/>
      <c r="H118" s="560">
        <f>'1.2.sz.mell. '!C118+'1.3.sz.mell.'!C118+'1.4.sz.mell. '!C118</f>
        <v>230773273</v>
      </c>
      <c r="I118" s="562">
        <f t="shared" si="7"/>
        <v>0</v>
      </c>
    </row>
    <row r="119" spans="1:9" ht="12" customHeight="1" thickBot="1" x14ac:dyDescent="0.3">
      <c r="A119" s="14" t="s">
        <v>108</v>
      </c>
      <c r="B119" s="154" t="s">
        <v>182</v>
      </c>
      <c r="C119" s="564">
        <f>SUM(D119:F119)</f>
        <v>65810721</v>
      </c>
      <c r="D119" s="308">
        <f>65710721+100000</f>
        <v>65810721</v>
      </c>
      <c r="E119" s="308"/>
      <c r="F119" s="308"/>
      <c r="H119" s="560">
        <f>'1.2.sz.mell. '!C119+'1.3.sz.mell.'!C119+'1.4.sz.mell. '!C119</f>
        <v>65810721</v>
      </c>
      <c r="I119" s="562">
        <f t="shared" si="7"/>
        <v>0</v>
      </c>
    </row>
    <row r="120" spans="1:9" ht="12" customHeight="1" thickBot="1" x14ac:dyDescent="0.3">
      <c r="A120" s="14" t="s">
        <v>117</v>
      </c>
      <c r="B120" s="153" t="s">
        <v>383</v>
      </c>
      <c r="C120" s="564">
        <f t="shared" si="6"/>
        <v>0</v>
      </c>
      <c r="D120" s="145"/>
      <c r="E120" s="145"/>
      <c r="F120" s="308"/>
      <c r="H120" s="560">
        <f>'1.2.sz.mell. '!C120+'1.3.sz.mell.'!C120+'1.4.sz.mell. '!C120</f>
        <v>0</v>
      </c>
      <c r="I120" s="562">
        <f t="shared" si="7"/>
        <v>0</v>
      </c>
    </row>
    <row r="121" spans="1:9" ht="12" customHeight="1" thickBot="1" x14ac:dyDescent="0.3">
      <c r="A121" s="14" t="s">
        <v>119</v>
      </c>
      <c r="B121" s="237" t="s">
        <v>326</v>
      </c>
      <c r="C121" s="564">
        <f t="shared" si="6"/>
        <v>0</v>
      </c>
      <c r="D121" s="145"/>
      <c r="E121" s="145"/>
      <c r="F121" s="308"/>
      <c r="H121" s="560">
        <f>'1.2.sz.mell. '!C121+'1.3.sz.mell.'!C121+'1.4.sz.mell. '!C121</f>
        <v>0</v>
      </c>
      <c r="I121" s="562">
        <f t="shared" si="7"/>
        <v>0</v>
      </c>
    </row>
    <row r="122" spans="1:9" ht="16.5" thickBot="1" x14ac:dyDescent="0.3">
      <c r="A122" s="14" t="s">
        <v>165</v>
      </c>
      <c r="B122" s="90" t="s">
        <v>309</v>
      </c>
      <c r="C122" s="564">
        <f t="shared" si="6"/>
        <v>0</v>
      </c>
      <c r="D122" s="145"/>
      <c r="E122" s="145"/>
      <c r="F122" s="308"/>
      <c r="H122" s="560">
        <f>'1.2.sz.mell. '!C122+'1.3.sz.mell.'!C122+'1.4.sz.mell. '!C122</f>
        <v>0</v>
      </c>
      <c r="I122" s="562">
        <f t="shared" si="7"/>
        <v>0</v>
      </c>
    </row>
    <row r="123" spans="1:9" ht="12" customHeight="1" thickBot="1" x14ac:dyDescent="0.3">
      <c r="A123" s="14" t="s">
        <v>166</v>
      </c>
      <c r="B123" s="90" t="s">
        <v>325</v>
      </c>
      <c r="C123" s="564">
        <f t="shared" si="6"/>
        <v>0</v>
      </c>
      <c r="D123" s="145"/>
      <c r="E123" s="145"/>
      <c r="F123" s="308"/>
      <c r="H123" s="560">
        <f>'1.2.sz.mell. '!C123+'1.3.sz.mell.'!C123+'1.4.sz.mell. '!C123</f>
        <v>0</v>
      </c>
      <c r="I123" s="562">
        <f t="shared" si="7"/>
        <v>0</v>
      </c>
    </row>
    <row r="124" spans="1:9" ht="12" customHeight="1" thickBot="1" x14ac:dyDescent="0.3">
      <c r="A124" s="14" t="s">
        <v>167</v>
      </c>
      <c r="B124" s="90" t="s">
        <v>324</v>
      </c>
      <c r="C124" s="564">
        <f t="shared" si="6"/>
        <v>0</v>
      </c>
      <c r="D124" s="145"/>
      <c r="E124" s="145"/>
      <c r="F124" s="308"/>
      <c r="H124" s="560">
        <f>'1.2.sz.mell. '!C124+'1.3.sz.mell.'!C124+'1.4.sz.mell. '!C124</f>
        <v>0</v>
      </c>
      <c r="I124" s="562">
        <f t="shared" si="7"/>
        <v>0</v>
      </c>
    </row>
    <row r="125" spans="1:9" ht="12" customHeight="1" thickBot="1" x14ac:dyDescent="0.3">
      <c r="A125" s="14" t="s">
        <v>317</v>
      </c>
      <c r="B125" s="90" t="s">
        <v>312</v>
      </c>
      <c r="C125" s="564">
        <f t="shared" ref="C125:C154" si="8">SUM(D125:F125)</f>
        <v>0</v>
      </c>
      <c r="D125" s="145"/>
      <c r="E125" s="145"/>
      <c r="F125" s="308"/>
      <c r="H125" s="560">
        <f>'1.2.sz.mell. '!C125+'1.3.sz.mell.'!C125+'1.4.sz.mell. '!C125</f>
        <v>0</v>
      </c>
      <c r="I125" s="562">
        <f t="shared" ref="I125:I154" si="9">C125-H125</f>
        <v>0</v>
      </c>
    </row>
    <row r="126" spans="1:9" ht="12" customHeight="1" thickBot="1" x14ac:dyDescent="0.3">
      <c r="A126" s="14" t="s">
        <v>318</v>
      </c>
      <c r="B126" s="90" t="s">
        <v>323</v>
      </c>
      <c r="C126" s="564">
        <f t="shared" si="8"/>
        <v>0</v>
      </c>
      <c r="D126" s="145"/>
      <c r="E126" s="145"/>
      <c r="F126" s="308"/>
      <c r="H126" s="560">
        <f>'1.2.sz.mell. '!C126+'1.3.sz.mell.'!C126+'1.4.sz.mell. '!C126</f>
        <v>0</v>
      </c>
      <c r="I126" s="562">
        <f t="shared" si="9"/>
        <v>0</v>
      </c>
    </row>
    <row r="127" spans="1:9" ht="16.5" thickBot="1" x14ac:dyDescent="0.3">
      <c r="A127" s="12" t="s">
        <v>319</v>
      </c>
      <c r="B127" s="90" t="s">
        <v>322</v>
      </c>
      <c r="C127" s="886">
        <f t="shared" si="8"/>
        <v>65810721</v>
      </c>
      <c r="D127" s="312">
        <f>65710721+100000</f>
        <v>65810721</v>
      </c>
      <c r="E127" s="312"/>
      <c r="F127" s="312"/>
      <c r="H127" s="560">
        <f>'1.2.sz.mell. '!C127+'1.3.sz.mell.'!C127+'1.4.sz.mell. '!C127</f>
        <v>65810721</v>
      </c>
      <c r="I127" s="563">
        <f t="shared" si="9"/>
        <v>0</v>
      </c>
    </row>
    <row r="128" spans="1:9" ht="12" customHeight="1" thickBot="1" x14ac:dyDescent="0.3">
      <c r="A128" s="19" t="s">
        <v>24</v>
      </c>
      <c r="B128" s="667" t="s">
        <v>493</v>
      </c>
      <c r="C128" s="669">
        <f t="shared" si="8"/>
        <v>3148459174</v>
      </c>
      <c r="D128" s="329">
        <f>+D93+D114</f>
        <v>1374496981</v>
      </c>
      <c r="E128" s="157">
        <f>+E93+E114</f>
        <v>244350438</v>
      </c>
      <c r="F128" s="157">
        <f>+F93+F114</f>
        <v>1529611755</v>
      </c>
      <c r="H128" s="560">
        <f>'1.2.sz.mell. '!C128+'1.3.sz.mell.'!C128+'1.4.sz.mell. '!C128</f>
        <v>3148459174</v>
      </c>
      <c r="I128" s="560">
        <f t="shared" si="9"/>
        <v>0</v>
      </c>
    </row>
    <row r="129" spans="1:9" ht="12" customHeight="1" thickBot="1" x14ac:dyDescent="0.3">
      <c r="A129" s="19" t="s">
        <v>25</v>
      </c>
      <c r="B129" s="667" t="s">
        <v>494</v>
      </c>
      <c r="C129" s="669">
        <f t="shared" si="8"/>
        <v>108486704</v>
      </c>
      <c r="D129" s="329">
        <f>+D130+D131+D132</f>
        <v>108486704</v>
      </c>
      <c r="E129" s="157">
        <f>+E130+E131+E132</f>
        <v>0</v>
      </c>
      <c r="F129" s="157">
        <f>+F130+F131+F132</f>
        <v>0</v>
      </c>
      <c r="H129" s="560">
        <f>'1.2.sz.mell. '!C129+'1.3.sz.mell.'!C129+'1.4.sz.mell. '!C129</f>
        <v>108486704</v>
      </c>
      <c r="I129" s="560">
        <f t="shared" si="9"/>
        <v>0</v>
      </c>
    </row>
    <row r="130" spans="1:9" ht="12" customHeight="1" thickBot="1" x14ac:dyDescent="0.3">
      <c r="A130" s="14" t="s">
        <v>217</v>
      </c>
      <c r="B130" s="11" t="s">
        <v>495</v>
      </c>
      <c r="C130" s="662">
        <f t="shared" si="8"/>
        <v>8486704</v>
      </c>
      <c r="D130" s="308">
        <f>4042704+4444000</f>
        <v>8486704</v>
      </c>
      <c r="E130" s="308"/>
      <c r="F130" s="308"/>
      <c r="H130" s="560">
        <f>'1.2.sz.mell. '!C130+'1.3.sz.mell.'!C130+'1.4.sz.mell. '!C130</f>
        <v>8486704</v>
      </c>
      <c r="I130" s="561">
        <f t="shared" si="9"/>
        <v>0</v>
      </c>
    </row>
    <row r="131" spans="1:9" ht="12" customHeight="1" thickBot="1" x14ac:dyDescent="0.3">
      <c r="A131" s="14" t="s">
        <v>220</v>
      </c>
      <c r="B131" s="11" t="s">
        <v>496</v>
      </c>
      <c r="C131" s="662">
        <f t="shared" si="8"/>
        <v>100000000</v>
      </c>
      <c r="D131" s="145">
        <v>100000000</v>
      </c>
      <c r="E131" s="145"/>
      <c r="F131" s="145"/>
      <c r="H131" s="560">
        <f>'1.2.sz.mell. '!C131+'1.3.sz.mell.'!C131+'1.4.sz.mell. '!C131</f>
        <v>100000000</v>
      </c>
      <c r="I131" s="562">
        <f t="shared" si="9"/>
        <v>0</v>
      </c>
    </row>
    <row r="132" spans="1:9" ht="12" customHeight="1" thickBot="1" x14ac:dyDescent="0.3">
      <c r="A132" s="12" t="s">
        <v>221</v>
      </c>
      <c r="B132" s="11" t="s">
        <v>497</v>
      </c>
      <c r="C132" s="668">
        <f t="shared" si="8"/>
        <v>0</v>
      </c>
      <c r="D132" s="145"/>
      <c r="E132" s="145"/>
      <c r="F132" s="145"/>
      <c r="H132" s="560">
        <f>'1.2.sz.mell. '!C132+'1.3.sz.mell.'!C132+'1.4.sz.mell. '!C132</f>
        <v>0</v>
      </c>
      <c r="I132" s="563">
        <f t="shared" si="9"/>
        <v>0</v>
      </c>
    </row>
    <row r="133" spans="1:9" ht="12" customHeight="1" thickBot="1" x14ac:dyDescent="0.3">
      <c r="A133" s="19" t="s">
        <v>26</v>
      </c>
      <c r="B133" s="667" t="s">
        <v>498</v>
      </c>
      <c r="C133" s="669">
        <f t="shared" si="8"/>
        <v>0</v>
      </c>
      <c r="D133" s="329">
        <f>+D134+D135+D136+D137+D138+D139</f>
        <v>0</v>
      </c>
      <c r="E133" s="157">
        <f>+E134+E135+E136+E137+E138+E139</f>
        <v>0</v>
      </c>
      <c r="F133" s="157">
        <f>SUM(F134:F139)</f>
        <v>0</v>
      </c>
      <c r="H133" s="560">
        <f>'1.2.sz.mell. '!C133+'1.3.sz.mell.'!C133+'1.4.sz.mell. '!C133</f>
        <v>0</v>
      </c>
      <c r="I133" s="560">
        <f t="shared" si="9"/>
        <v>0</v>
      </c>
    </row>
    <row r="134" spans="1:9" ht="12" customHeight="1" thickBot="1" x14ac:dyDescent="0.3">
      <c r="A134" s="14" t="s">
        <v>91</v>
      </c>
      <c r="B134" s="8" t="s">
        <v>499</v>
      </c>
      <c r="C134" s="665">
        <f t="shared" si="8"/>
        <v>0</v>
      </c>
      <c r="D134" s="145"/>
      <c r="E134" s="145"/>
      <c r="F134" s="145"/>
      <c r="H134" s="560">
        <f>'1.2.sz.mell. '!C134+'1.3.sz.mell.'!C134+'1.4.sz.mell. '!C134</f>
        <v>0</v>
      </c>
      <c r="I134" s="561">
        <f t="shared" si="9"/>
        <v>0</v>
      </c>
    </row>
    <row r="135" spans="1:9" ht="12" customHeight="1" thickBot="1" x14ac:dyDescent="0.3">
      <c r="A135" s="14" t="s">
        <v>92</v>
      </c>
      <c r="B135" s="8" t="s">
        <v>500</v>
      </c>
      <c r="C135" s="665">
        <f t="shared" si="8"/>
        <v>0</v>
      </c>
      <c r="D135" s="145"/>
      <c r="E135" s="145"/>
      <c r="F135" s="145"/>
      <c r="H135" s="560">
        <f>'1.2.sz.mell. '!C135+'1.3.sz.mell.'!C135+'1.4.sz.mell. '!C135</f>
        <v>0</v>
      </c>
      <c r="I135" s="562">
        <f t="shared" si="9"/>
        <v>0</v>
      </c>
    </row>
    <row r="136" spans="1:9" ht="12" customHeight="1" thickBot="1" x14ac:dyDescent="0.3">
      <c r="A136" s="14" t="s">
        <v>93</v>
      </c>
      <c r="B136" s="8" t="s">
        <v>501</v>
      </c>
      <c r="C136" s="665">
        <f t="shared" si="8"/>
        <v>0</v>
      </c>
      <c r="D136" s="145"/>
      <c r="E136" s="145"/>
      <c r="F136" s="145"/>
      <c r="H136" s="560">
        <f>'1.2.sz.mell. '!C136+'1.3.sz.mell.'!C136+'1.4.sz.mell. '!C136</f>
        <v>0</v>
      </c>
      <c r="I136" s="562">
        <f t="shared" si="9"/>
        <v>0</v>
      </c>
    </row>
    <row r="137" spans="1:9" ht="12" customHeight="1" thickBot="1" x14ac:dyDescent="0.3">
      <c r="A137" s="14" t="s">
        <v>152</v>
      </c>
      <c r="B137" s="8" t="s">
        <v>502</v>
      </c>
      <c r="C137" s="665">
        <f t="shared" si="8"/>
        <v>0</v>
      </c>
      <c r="D137" s="145"/>
      <c r="E137" s="145"/>
      <c r="F137" s="145"/>
      <c r="H137" s="560">
        <f>'1.2.sz.mell. '!C137+'1.3.sz.mell.'!C137+'1.4.sz.mell. '!C137</f>
        <v>0</v>
      </c>
      <c r="I137" s="562">
        <f t="shared" si="9"/>
        <v>0</v>
      </c>
    </row>
    <row r="138" spans="1:9" ht="12" customHeight="1" thickBot="1" x14ac:dyDescent="0.3">
      <c r="A138" s="14" t="s">
        <v>153</v>
      </c>
      <c r="B138" s="8" t="s">
        <v>503</v>
      </c>
      <c r="C138" s="665">
        <f t="shared" si="8"/>
        <v>0</v>
      </c>
      <c r="D138" s="145"/>
      <c r="E138" s="145"/>
      <c r="F138" s="145"/>
      <c r="H138" s="560">
        <f>'1.2.sz.mell. '!C138+'1.3.sz.mell.'!C138+'1.4.sz.mell. '!C138</f>
        <v>0</v>
      </c>
      <c r="I138" s="562">
        <f t="shared" si="9"/>
        <v>0</v>
      </c>
    </row>
    <row r="139" spans="1:9" ht="12" customHeight="1" thickBot="1" x14ac:dyDescent="0.3">
      <c r="A139" s="12" t="s">
        <v>154</v>
      </c>
      <c r="B139" s="8" t="s">
        <v>504</v>
      </c>
      <c r="C139" s="668">
        <f t="shared" si="8"/>
        <v>0</v>
      </c>
      <c r="D139" s="145"/>
      <c r="E139" s="145"/>
      <c r="F139" s="145"/>
      <c r="H139" s="560">
        <f>'1.2.sz.mell. '!C139+'1.3.sz.mell.'!C139+'1.4.sz.mell. '!C139</f>
        <v>0</v>
      </c>
      <c r="I139" s="563">
        <f t="shared" si="9"/>
        <v>0</v>
      </c>
    </row>
    <row r="140" spans="1:9" ht="12" customHeight="1" thickBot="1" x14ac:dyDescent="0.3">
      <c r="A140" s="19" t="s">
        <v>27</v>
      </c>
      <c r="B140" s="667" t="s">
        <v>505</v>
      </c>
      <c r="C140" s="669">
        <f t="shared" si="8"/>
        <v>38167591</v>
      </c>
      <c r="D140" s="332">
        <f>+D141+D142+D143+D144</f>
        <v>38167591</v>
      </c>
      <c r="E140" s="162">
        <f>+E141+E142+E143+E144</f>
        <v>0</v>
      </c>
      <c r="F140" s="162">
        <f>+F141+F142+F143+F144</f>
        <v>0</v>
      </c>
      <c r="H140" s="560">
        <f>'1.2.sz.mell. '!C140+'1.3.sz.mell.'!C140+'1.4.sz.mell. '!C140</f>
        <v>38167591</v>
      </c>
      <c r="I140" s="560">
        <f t="shared" si="9"/>
        <v>0</v>
      </c>
    </row>
    <row r="141" spans="1:9" ht="12" customHeight="1" thickBot="1" x14ac:dyDescent="0.3">
      <c r="A141" s="14" t="s">
        <v>94</v>
      </c>
      <c r="B141" s="8" t="s">
        <v>327</v>
      </c>
      <c r="C141" s="665">
        <f t="shared" si="8"/>
        <v>0</v>
      </c>
      <c r="D141" s="145"/>
      <c r="E141" s="145"/>
      <c r="F141" s="145"/>
      <c r="H141" s="560">
        <f>'1.2.sz.mell. '!C141+'1.3.sz.mell.'!C141+'1.4.sz.mell. '!C141</f>
        <v>0</v>
      </c>
      <c r="I141" s="561">
        <f t="shared" si="9"/>
        <v>0</v>
      </c>
    </row>
    <row r="142" spans="1:9" ht="12" customHeight="1" thickBot="1" x14ac:dyDescent="0.3">
      <c r="A142" s="14" t="s">
        <v>95</v>
      </c>
      <c r="B142" s="8" t="s">
        <v>328</v>
      </c>
      <c r="C142" s="662">
        <f t="shared" si="8"/>
        <v>38167591</v>
      </c>
      <c r="D142" s="145">
        <v>38167591</v>
      </c>
      <c r="E142" s="145"/>
      <c r="F142" s="145"/>
      <c r="H142" s="560">
        <f>'1.2.sz.mell. '!C142+'1.3.sz.mell.'!C142+'1.4.sz.mell. '!C142</f>
        <v>38167591</v>
      </c>
      <c r="I142" s="562">
        <f t="shared" si="9"/>
        <v>0</v>
      </c>
    </row>
    <row r="143" spans="1:9" ht="12" customHeight="1" thickBot="1" x14ac:dyDescent="0.3">
      <c r="A143" s="14" t="s">
        <v>241</v>
      </c>
      <c r="B143" s="8" t="s">
        <v>506</v>
      </c>
      <c r="C143" s="665">
        <f t="shared" si="8"/>
        <v>0</v>
      </c>
      <c r="D143" s="145"/>
      <c r="E143" s="145"/>
      <c r="F143" s="145"/>
      <c r="H143" s="560">
        <f>'1.2.sz.mell. '!C143+'1.3.sz.mell.'!C143+'1.4.sz.mell. '!C143</f>
        <v>0</v>
      </c>
      <c r="I143" s="562">
        <f t="shared" si="9"/>
        <v>0</v>
      </c>
    </row>
    <row r="144" spans="1:9" ht="12" customHeight="1" thickBot="1" x14ac:dyDescent="0.3">
      <c r="A144" s="12" t="s">
        <v>242</v>
      </c>
      <c r="B144" s="6" t="s">
        <v>346</v>
      </c>
      <c r="C144" s="668">
        <f t="shared" si="8"/>
        <v>0</v>
      </c>
      <c r="D144" s="145"/>
      <c r="E144" s="145"/>
      <c r="F144" s="145"/>
      <c r="H144" s="560">
        <f>'1.2.sz.mell. '!C144+'1.3.sz.mell.'!C144+'1.4.sz.mell. '!C144</f>
        <v>0</v>
      </c>
      <c r="I144" s="563">
        <f t="shared" si="9"/>
        <v>0</v>
      </c>
    </row>
    <row r="145" spans="1:9" ht="12" customHeight="1" thickBot="1" x14ac:dyDescent="0.3">
      <c r="A145" s="19" t="s">
        <v>28</v>
      </c>
      <c r="B145" s="667" t="s">
        <v>507</v>
      </c>
      <c r="C145" s="669">
        <f t="shared" si="8"/>
        <v>0</v>
      </c>
      <c r="D145" s="341">
        <f>+D146+D147+D148+D149+D150</f>
        <v>0</v>
      </c>
      <c r="E145" s="165">
        <f>+E146+E147+E148+E149+E150</f>
        <v>0</v>
      </c>
      <c r="F145" s="165">
        <f>SUM(F146:F150)</f>
        <v>0</v>
      </c>
      <c r="H145" s="560">
        <f>'1.2.sz.mell. '!C145+'1.3.sz.mell.'!C145+'1.4.sz.mell. '!C145</f>
        <v>0</v>
      </c>
      <c r="I145" s="560">
        <f t="shared" si="9"/>
        <v>0</v>
      </c>
    </row>
    <row r="146" spans="1:9" ht="12" customHeight="1" thickBot="1" x14ac:dyDescent="0.3">
      <c r="A146" s="14" t="s">
        <v>96</v>
      </c>
      <c r="B146" s="8" t="s">
        <v>508</v>
      </c>
      <c r="C146" s="665">
        <f t="shared" si="8"/>
        <v>0</v>
      </c>
      <c r="D146" s="145"/>
      <c r="E146" s="145"/>
      <c r="F146" s="145"/>
      <c r="H146" s="560">
        <f>'1.2.sz.mell. '!C146+'1.3.sz.mell.'!C146+'1.4.sz.mell. '!C146</f>
        <v>0</v>
      </c>
      <c r="I146" s="561">
        <f t="shared" si="9"/>
        <v>0</v>
      </c>
    </row>
    <row r="147" spans="1:9" ht="12" customHeight="1" thickBot="1" x14ac:dyDescent="0.3">
      <c r="A147" s="14" t="s">
        <v>97</v>
      </c>
      <c r="B147" s="8" t="s">
        <v>509</v>
      </c>
      <c r="C147" s="665">
        <f t="shared" si="8"/>
        <v>0</v>
      </c>
      <c r="D147" s="145"/>
      <c r="E147" s="145"/>
      <c r="F147" s="145"/>
      <c r="H147" s="560">
        <f>'1.2.sz.mell. '!C147+'1.3.sz.mell.'!C147+'1.4.sz.mell. '!C147</f>
        <v>0</v>
      </c>
      <c r="I147" s="562">
        <f t="shared" si="9"/>
        <v>0</v>
      </c>
    </row>
    <row r="148" spans="1:9" ht="12" customHeight="1" thickBot="1" x14ac:dyDescent="0.3">
      <c r="A148" s="14" t="s">
        <v>253</v>
      </c>
      <c r="B148" s="8" t="s">
        <v>510</v>
      </c>
      <c r="C148" s="665">
        <f t="shared" si="8"/>
        <v>0</v>
      </c>
      <c r="D148" s="145"/>
      <c r="E148" s="145"/>
      <c r="F148" s="145"/>
      <c r="H148" s="560">
        <f>'1.2.sz.mell. '!C148+'1.3.sz.mell.'!C148+'1.4.sz.mell. '!C148</f>
        <v>0</v>
      </c>
      <c r="I148" s="562">
        <f t="shared" si="9"/>
        <v>0</v>
      </c>
    </row>
    <row r="149" spans="1:9" ht="12" customHeight="1" thickBot="1" x14ac:dyDescent="0.3">
      <c r="A149" s="14" t="s">
        <v>254</v>
      </c>
      <c r="B149" s="8" t="s">
        <v>511</v>
      </c>
      <c r="C149" s="665">
        <f t="shared" si="8"/>
        <v>0</v>
      </c>
      <c r="D149" s="145"/>
      <c r="E149" s="145"/>
      <c r="F149" s="145"/>
      <c r="H149" s="560">
        <f>'1.2.sz.mell. '!C149+'1.3.sz.mell.'!C149+'1.4.sz.mell. '!C149</f>
        <v>0</v>
      </c>
      <c r="I149" s="562">
        <f t="shared" si="9"/>
        <v>0</v>
      </c>
    </row>
    <row r="150" spans="1:9" ht="12" customHeight="1" thickBot="1" x14ac:dyDescent="0.3">
      <c r="A150" s="14" t="s">
        <v>512</v>
      </c>
      <c r="B150" s="8" t="s">
        <v>513</v>
      </c>
      <c r="C150" s="668">
        <f t="shared" si="8"/>
        <v>0</v>
      </c>
      <c r="D150" s="146"/>
      <c r="E150" s="146"/>
      <c r="F150" s="145"/>
      <c r="H150" s="560">
        <f>'1.2.sz.mell. '!C150+'1.3.sz.mell.'!C150+'1.4.sz.mell. '!C150</f>
        <v>0</v>
      </c>
      <c r="I150" s="563">
        <f t="shared" si="9"/>
        <v>0</v>
      </c>
    </row>
    <row r="151" spans="1:9" ht="12" customHeight="1" thickBot="1" x14ac:dyDescent="0.3">
      <c r="A151" s="19" t="s">
        <v>29</v>
      </c>
      <c r="B151" s="667" t="s">
        <v>514</v>
      </c>
      <c r="C151" s="669">
        <f t="shared" si="8"/>
        <v>0</v>
      </c>
      <c r="D151" s="341"/>
      <c r="E151" s="165"/>
      <c r="F151" s="301"/>
      <c r="H151" s="560">
        <f>'1.2.sz.mell. '!C151+'1.3.sz.mell.'!C151+'1.4.sz.mell. '!C151</f>
        <v>0</v>
      </c>
      <c r="I151" s="560">
        <f t="shared" si="9"/>
        <v>0</v>
      </c>
    </row>
    <row r="152" spans="1:9" ht="12" customHeight="1" thickBot="1" x14ac:dyDescent="0.3">
      <c r="A152" s="19" t="s">
        <v>30</v>
      </c>
      <c r="B152" s="667" t="s">
        <v>515</v>
      </c>
      <c r="C152" s="669">
        <f t="shared" si="8"/>
        <v>0</v>
      </c>
      <c r="D152" s="341"/>
      <c r="E152" s="165"/>
      <c r="F152" s="301"/>
      <c r="H152" s="560">
        <f>'1.2.sz.mell. '!C152+'1.3.sz.mell.'!C152+'1.4.sz.mell. '!C152</f>
        <v>0</v>
      </c>
      <c r="I152" s="560">
        <f t="shared" si="9"/>
        <v>0</v>
      </c>
    </row>
    <row r="153" spans="1:9" ht="15" customHeight="1" thickBot="1" x14ac:dyDescent="0.3">
      <c r="A153" s="19" t="s">
        <v>31</v>
      </c>
      <c r="B153" s="667" t="s">
        <v>516</v>
      </c>
      <c r="C153" s="669">
        <f t="shared" si="8"/>
        <v>146654295</v>
      </c>
      <c r="D153" s="342">
        <f>+D129+D133+D140+D145+D151+D152</f>
        <v>146654295</v>
      </c>
      <c r="E153" s="251">
        <f>+E129+E133+E140+E145+E151+E152</f>
        <v>0</v>
      </c>
      <c r="F153" s="251">
        <f>+F129+F133+F140+F145+F151+F152</f>
        <v>0</v>
      </c>
      <c r="G153" s="252"/>
      <c r="H153" s="560">
        <f>'1.2.sz.mell. '!C153+'1.3.sz.mell.'!C153+'1.4.sz.mell. '!C153</f>
        <v>146654295</v>
      </c>
      <c r="I153" s="560">
        <f t="shared" si="9"/>
        <v>0</v>
      </c>
    </row>
    <row r="154" spans="1:9" s="240" customFormat="1" ht="12.95" customHeight="1" thickBot="1" x14ac:dyDescent="0.25">
      <c r="A154" s="155" t="s">
        <v>32</v>
      </c>
      <c r="B154" s="670" t="s">
        <v>517</v>
      </c>
      <c r="C154" s="669">
        <f t="shared" si="8"/>
        <v>3295113469</v>
      </c>
      <c r="D154" s="342">
        <f>+D128+D153</f>
        <v>1521151276</v>
      </c>
      <c r="E154" s="251">
        <f>+E128+E153</f>
        <v>244350438</v>
      </c>
      <c r="F154" s="251">
        <f>+F128+F153</f>
        <v>1529611755</v>
      </c>
      <c r="H154" s="560">
        <f>'1.2.sz.mell. '!C154+'1.3.sz.mell.'!C154+'1.4.sz.mell. '!C154</f>
        <v>3295113469</v>
      </c>
      <c r="I154" s="560">
        <f t="shared" si="9"/>
        <v>0</v>
      </c>
    </row>
    <row r="155" spans="1:9" ht="7.5" customHeight="1" x14ac:dyDescent="0.25">
      <c r="C155" s="228"/>
    </row>
    <row r="156" spans="1:9" x14ac:dyDescent="0.25">
      <c r="A156" s="995" t="s">
        <v>329</v>
      </c>
      <c r="B156" s="995"/>
      <c r="C156" s="995"/>
    </row>
    <row r="157" spans="1:9" ht="15" customHeight="1" thickBot="1" x14ac:dyDescent="0.3">
      <c r="A157" s="992" t="s">
        <v>142</v>
      </c>
      <c r="B157" s="992"/>
      <c r="C157" s="166" t="s">
        <v>589</v>
      </c>
    </row>
    <row r="158" spans="1:9" ht="13.5" customHeight="1" thickBot="1" x14ac:dyDescent="0.3">
      <c r="A158" s="19">
        <v>1</v>
      </c>
      <c r="B158" s="24" t="s">
        <v>518</v>
      </c>
      <c r="C158" s="157">
        <f>+C62-C128</f>
        <v>-667501367</v>
      </c>
    </row>
    <row r="159" spans="1:9" ht="27.75" customHeight="1" thickBot="1" x14ac:dyDescent="0.3">
      <c r="A159" s="19" t="s">
        <v>23</v>
      </c>
      <c r="B159" s="24" t="s">
        <v>519</v>
      </c>
      <c r="C159" s="157">
        <f>+C86-C153</f>
        <v>667501367</v>
      </c>
      <c r="H159" s="558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11/2018.(V.31.)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8"/>
  <sheetViews>
    <sheetView view="pageLayout" zoomScaleNormal="115" zoomScaleSheetLayoutView="85" workbookViewId="0">
      <selection activeCell="D3" sqref="D3"/>
    </sheetView>
  </sheetViews>
  <sheetFormatPr defaultRowHeight="12.75" x14ac:dyDescent="0.2"/>
  <cols>
    <col min="1" max="1" width="19.5" style="581" customWidth="1"/>
    <col min="2" max="2" width="72" style="582" customWidth="1"/>
    <col min="3" max="3" width="25" style="583" customWidth="1"/>
    <col min="4" max="4" width="16.6640625" style="572" hidden="1" customWidth="1"/>
    <col min="5" max="5" width="11.83203125" style="572" hidden="1" customWidth="1"/>
    <col min="6" max="6" width="11.83203125" style="571" hidden="1" customWidth="1"/>
    <col min="7" max="16384" width="9.33203125" style="2"/>
  </cols>
  <sheetData>
    <row r="1" spans="1:6" s="1" customFormat="1" ht="16.5" customHeight="1" thickBot="1" x14ac:dyDescent="0.25">
      <c r="A1" s="118"/>
      <c r="B1" s="120"/>
      <c r="C1" s="143"/>
      <c r="D1" s="572"/>
      <c r="E1" s="572"/>
      <c r="F1" s="571"/>
    </row>
    <row r="2" spans="1:6" s="62" customFormat="1" ht="21" customHeight="1" x14ac:dyDescent="0.2">
      <c r="A2" s="231" t="s">
        <v>66</v>
      </c>
      <c r="B2" s="206" t="s">
        <v>177</v>
      </c>
      <c r="C2" s="208" t="s">
        <v>57</v>
      </c>
      <c r="D2" s="574"/>
      <c r="E2" s="574"/>
      <c r="F2" s="573"/>
    </row>
    <row r="3" spans="1:6" s="62" customFormat="1" ht="16.5" thickBot="1" x14ac:dyDescent="0.25">
      <c r="A3" s="121" t="s">
        <v>173</v>
      </c>
      <c r="B3" s="207" t="s">
        <v>354</v>
      </c>
      <c r="C3" s="304" t="s">
        <v>57</v>
      </c>
      <c r="D3" s="574"/>
      <c r="E3" s="574"/>
      <c r="F3" s="573"/>
    </row>
    <row r="4" spans="1:6" s="63" customFormat="1" ht="15.95" customHeight="1" thickBot="1" x14ac:dyDescent="0.3">
      <c r="A4" s="122"/>
      <c r="B4" s="122"/>
      <c r="C4" s="123" t="s">
        <v>589</v>
      </c>
      <c r="D4" s="574"/>
      <c r="E4" s="574"/>
      <c r="F4" s="573"/>
    </row>
    <row r="5" spans="1:6" ht="13.5" thickBot="1" x14ac:dyDescent="0.25">
      <c r="A5" s="232" t="s">
        <v>175</v>
      </c>
      <c r="B5" s="124" t="s">
        <v>58</v>
      </c>
      <c r="C5" s="209" t="s">
        <v>59</v>
      </c>
    </row>
    <row r="6" spans="1:6" s="49" customFormat="1" ht="12.95" customHeight="1" thickBot="1" x14ac:dyDescent="0.25">
      <c r="A6" s="98" t="s">
        <v>466</v>
      </c>
      <c r="B6" s="99" t="s">
        <v>467</v>
      </c>
      <c r="C6" s="100" t="s">
        <v>468</v>
      </c>
      <c r="D6" s="572"/>
      <c r="E6" s="572"/>
      <c r="F6" s="575"/>
    </row>
    <row r="7" spans="1:6" s="49" customFormat="1" ht="15.95" customHeight="1" thickBot="1" x14ac:dyDescent="0.25">
      <c r="A7" s="126"/>
      <c r="B7" s="127" t="s">
        <v>60</v>
      </c>
      <c r="C7" s="210"/>
      <c r="D7" s="572"/>
      <c r="E7" s="572"/>
      <c r="F7" s="575"/>
    </row>
    <row r="8" spans="1:6" s="49" customFormat="1" ht="12" customHeight="1" thickBot="1" x14ac:dyDescent="0.25">
      <c r="A8" s="31" t="s">
        <v>22</v>
      </c>
      <c r="B8" s="20" t="s">
        <v>201</v>
      </c>
      <c r="C8" s="157">
        <f>+C9+C10+C11+C12+C13+C14</f>
        <v>1319904176</v>
      </c>
      <c r="D8" s="576" t="e">
        <f>'9.1.1. sz. mell. '!C8+#REF!</f>
        <v>#REF!</v>
      </c>
      <c r="E8" s="576" t="e">
        <f t="shared" ref="E8:E71" si="0">C8-D8</f>
        <v>#REF!</v>
      </c>
      <c r="F8" s="575" t="e">
        <f>C8-D8</f>
        <v>#REF!</v>
      </c>
    </row>
    <row r="9" spans="1:6" s="64" customFormat="1" ht="12" customHeight="1" thickBot="1" x14ac:dyDescent="0.25">
      <c r="A9" s="255" t="s">
        <v>98</v>
      </c>
      <c r="B9" s="241" t="s">
        <v>202</v>
      </c>
      <c r="C9" s="279">
        <v>227855923</v>
      </c>
      <c r="D9" s="576" t="e">
        <f>'9.1.1. sz. mell. '!C9+#REF!</f>
        <v>#REF!</v>
      </c>
      <c r="E9" s="577" t="e">
        <f t="shared" si="0"/>
        <v>#REF!</v>
      </c>
      <c r="F9" s="575" t="e">
        <f t="shared" ref="F9:F72" si="1">C9-D9</f>
        <v>#REF!</v>
      </c>
    </row>
    <row r="10" spans="1:6" s="65" customFormat="1" ht="12" customHeight="1" thickBot="1" x14ac:dyDescent="0.25">
      <c r="A10" s="256" t="s">
        <v>99</v>
      </c>
      <c r="B10" s="242" t="s">
        <v>203</v>
      </c>
      <c r="C10" s="161">
        <v>224734134</v>
      </c>
      <c r="D10" s="576" t="e">
        <f>'9.1.1. sz. mell. '!C10+#REF!</f>
        <v>#REF!</v>
      </c>
      <c r="E10" s="578" t="e">
        <f t="shared" si="0"/>
        <v>#REF!</v>
      </c>
      <c r="F10" s="575" t="e">
        <f t="shared" si="1"/>
        <v>#REF!</v>
      </c>
    </row>
    <row r="11" spans="1:6" s="65" customFormat="1" ht="12" customHeight="1" thickBot="1" x14ac:dyDescent="0.25">
      <c r="A11" s="256" t="s">
        <v>100</v>
      </c>
      <c r="B11" s="242" t="s">
        <v>204</v>
      </c>
      <c r="C11" s="161">
        <f>126991000+65060600+119410000+192410145+62092600</f>
        <v>565964345</v>
      </c>
      <c r="D11" s="576" t="e">
        <f>'9.1.1. sz. mell. '!C11+#REF!</f>
        <v>#REF!</v>
      </c>
      <c r="E11" s="578" t="e">
        <f t="shared" si="0"/>
        <v>#REF!</v>
      </c>
      <c r="F11" s="575" t="e">
        <f t="shared" si="1"/>
        <v>#REF!</v>
      </c>
    </row>
    <row r="12" spans="1:6" s="65" customFormat="1" ht="12" customHeight="1" thickBot="1" x14ac:dyDescent="0.25">
      <c r="A12" s="256" t="s">
        <v>101</v>
      </c>
      <c r="B12" s="242" t="s">
        <v>205</v>
      </c>
      <c r="C12" s="161">
        <f>16122040+12622000</f>
        <v>28744040</v>
      </c>
      <c r="D12" s="576" t="e">
        <f>'9.1.1. sz. mell. '!C12+#REF!</f>
        <v>#REF!</v>
      </c>
      <c r="E12" s="578" t="e">
        <f t="shared" si="0"/>
        <v>#REF!</v>
      </c>
      <c r="F12" s="575" t="e">
        <f t="shared" si="1"/>
        <v>#REF!</v>
      </c>
    </row>
    <row r="13" spans="1:6" s="65" customFormat="1" ht="12" customHeight="1" thickBot="1" x14ac:dyDescent="0.25">
      <c r="A13" s="256" t="s">
        <v>137</v>
      </c>
      <c r="B13" s="242" t="s">
        <v>530</v>
      </c>
      <c r="C13" s="161">
        <f>16254886+63796813+190231327+1309600+1013108</f>
        <v>272605734</v>
      </c>
      <c r="D13" s="576" t="e">
        <f>'9.1.1. sz. mell. '!C13+#REF!</f>
        <v>#REF!</v>
      </c>
      <c r="E13" s="578" t="e">
        <f t="shared" si="0"/>
        <v>#REF!</v>
      </c>
      <c r="F13" s="575" t="e">
        <f t="shared" si="1"/>
        <v>#REF!</v>
      </c>
    </row>
    <row r="14" spans="1:6" s="64" customFormat="1" ht="12" customHeight="1" thickBot="1" x14ac:dyDescent="0.25">
      <c r="A14" s="257" t="s">
        <v>102</v>
      </c>
      <c r="B14" s="243" t="s">
        <v>470</v>
      </c>
      <c r="C14" s="161"/>
      <c r="D14" s="576" t="e">
        <f>'9.1.1. sz. mell. '!C14+#REF!</f>
        <v>#REF!</v>
      </c>
      <c r="E14" s="579" t="e">
        <f t="shared" si="0"/>
        <v>#REF!</v>
      </c>
      <c r="F14" s="575" t="e">
        <f t="shared" si="1"/>
        <v>#REF!</v>
      </c>
    </row>
    <row r="15" spans="1:6" s="64" customFormat="1" ht="12" customHeight="1" thickBot="1" x14ac:dyDescent="0.25">
      <c r="A15" s="31" t="s">
        <v>23</v>
      </c>
      <c r="B15" s="152" t="s">
        <v>206</v>
      </c>
      <c r="C15" s="157">
        <f>+C16+C17+C18+C19+C20</f>
        <v>243888366</v>
      </c>
      <c r="D15" s="576" t="e">
        <f>'9.1.1. sz. mell. '!C15+#REF!</f>
        <v>#REF!</v>
      </c>
      <c r="E15" s="576" t="e">
        <f t="shared" si="0"/>
        <v>#REF!</v>
      </c>
      <c r="F15" s="575" t="e">
        <f t="shared" si="1"/>
        <v>#REF!</v>
      </c>
    </row>
    <row r="16" spans="1:6" s="64" customFormat="1" ht="12" customHeight="1" thickBot="1" x14ac:dyDescent="0.25">
      <c r="A16" s="255" t="s">
        <v>104</v>
      </c>
      <c r="B16" s="241" t="s">
        <v>207</v>
      </c>
      <c r="C16" s="159"/>
      <c r="D16" s="576" t="e">
        <f>'9.1.1. sz. mell. '!C16+#REF!</f>
        <v>#REF!</v>
      </c>
      <c r="E16" s="577" t="e">
        <f t="shared" si="0"/>
        <v>#REF!</v>
      </c>
      <c r="F16" s="575" t="e">
        <f t="shared" si="1"/>
        <v>#REF!</v>
      </c>
    </row>
    <row r="17" spans="1:6" s="64" customFormat="1" ht="12" customHeight="1" thickBot="1" x14ac:dyDescent="0.25">
      <c r="A17" s="256" t="s">
        <v>105</v>
      </c>
      <c r="B17" s="242" t="s">
        <v>208</v>
      </c>
      <c r="C17" s="158"/>
      <c r="D17" s="576" t="e">
        <f>'9.1.1. sz. mell. '!C17+#REF!</f>
        <v>#REF!</v>
      </c>
      <c r="E17" s="578" t="e">
        <f t="shared" si="0"/>
        <v>#REF!</v>
      </c>
      <c r="F17" s="575" t="e">
        <f t="shared" si="1"/>
        <v>#REF!</v>
      </c>
    </row>
    <row r="18" spans="1:6" s="64" customFormat="1" ht="12" customHeight="1" thickBot="1" x14ac:dyDescent="0.25">
      <c r="A18" s="256" t="s">
        <v>106</v>
      </c>
      <c r="B18" s="242" t="s">
        <v>377</v>
      </c>
      <c r="C18" s="161"/>
      <c r="D18" s="576" t="e">
        <f>'9.1.1. sz. mell. '!C18+#REF!</f>
        <v>#REF!</v>
      </c>
      <c r="E18" s="578" t="e">
        <f t="shared" si="0"/>
        <v>#REF!</v>
      </c>
      <c r="F18" s="575" t="e">
        <f t="shared" si="1"/>
        <v>#REF!</v>
      </c>
    </row>
    <row r="19" spans="1:6" s="64" customFormat="1" ht="12" customHeight="1" thickBot="1" x14ac:dyDescent="0.25">
      <c r="A19" s="256" t="s">
        <v>107</v>
      </c>
      <c r="B19" s="242" t="s">
        <v>378</v>
      </c>
      <c r="C19" s="161"/>
      <c r="D19" s="576" t="e">
        <f>'9.1.1. sz. mell. '!C19+#REF!</f>
        <v>#REF!</v>
      </c>
      <c r="E19" s="578" t="e">
        <f t="shared" si="0"/>
        <v>#REF!</v>
      </c>
      <c r="F19" s="575" t="e">
        <f t="shared" si="1"/>
        <v>#REF!</v>
      </c>
    </row>
    <row r="20" spans="1:6" s="64" customFormat="1" ht="12" customHeight="1" thickBot="1" x14ac:dyDescent="0.25">
      <c r="A20" s="256" t="s">
        <v>108</v>
      </c>
      <c r="B20" s="242" t="s">
        <v>209</v>
      </c>
      <c r="C20" s="840">
        <f>3900000+4320000+125887110+24250000+85531256</f>
        <v>243888366</v>
      </c>
      <c r="D20" s="576" t="e">
        <f>'9.1.1. sz. mell. '!C20+#REF!</f>
        <v>#REF!</v>
      </c>
      <c r="E20" s="578" t="e">
        <f t="shared" si="0"/>
        <v>#REF!</v>
      </c>
      <c r="F20" s="575" t="e">
        <f t="shared" si="1"/>
        <v>#REF!</v>
      </c>
    </row>
    <row r="21" spans="1:6" s="65" customFormat="1" ht="12" customHeight="1" thickBot="1" x14ac:dyDescent="0.25">
      <c r="A21" s="257" t="s">
        <v>117</v>
      </c>
      <c r="B21" s="243" t="s">
        <v>210</v>
      </c>
      <c r="C21" s="937">
        <v>85531256</v>
      </c>
      <c r="D21" s="576" t="e">
        <f>'9.1.1. sz. mell. '!C21+#REF!</f>
        <v>#REF!</v>
      </c>
      <c r="E21" s="579" t="e">
        <f t="shared" si="0"/>
        <v>#REF!</v>
      </c>
      <c r="F21" s="575" t="e">
        <f t="shared" si="1"/>
        <v>#REF!</v>
      </c>
    </row>
    <row r="22" spans="1:6" s="65" customFormat="1" ht="12" customHeight="1" thickBot="1" x14ac:dyDescent="0.25">
      <c r="A22" s="31" t="s">
        <v>24</v>
      </c>
      <c r="B22" s="20" t="s">
        <v>211</v>
      </c>
      <c r="C22" s="157">
        <f>+C23+C24+C25+C26+C27</f>
        <v>68947847</v>
      </c>
      <c r="D22" s="576" t="e">
        <f>'9.1.1. sz. mell. '!C22+#REF!</f>
        <v>#REF!</v>
      </c>
      <c r="E22" s="576" t="e">
        <f t="shared" si="0"/>
        <v>#REF!</v>
      </c>
      <c r="F22" s="575" t="e">
        <f t="shared" si="1"/>
        <v>#REF!</v>
      </c>
    </row>
    <row r="23" spans="1:6" s="65" customFormat="1" ht="12" customHeight="1" thickBot="1" x14ac:dyDescent="0.25">
      <c r="A23" s="255" t="s">
        <v>87</v>
      </c>
      <c r="B23" s="241" t="s">
        <v>212</v>
      </c>
      <c r="C23" s="279"/>
      <c r="D23" s="576" t="e">
        <f>'9.1.1. sz. mell. '!C23+#REF!</f>
        <v>#REF!</v>
      </c>
      <c r="E23" s="577" t="e">
        <f t="shared" si="0"/>
        <v>#REF!</v>
      </c>
      <c r="F23" s="575" t="e">
        <f t="shared" si="1"/>
        <v>#REF!</v>
      </c>
    </row>
    <row r="24" spans="1:6" s="64" customFormat="1" ht="12" customHeight="1" thickBot="1" x14ac:dyDescent="0.25">
      <c r="A24" s="256" t="s">
        <v>88</v>
      </c>
      <c r="B24" s="242" t="s">
        <v>213</v>
      </c>
      <c r="C24" s="161"/>
      <c r="D24" s="576" t="e">
        <f>'9.1.1. sz. mell. '!C24+#REF!</f>
        <v>#REF!</v>
      </c>
      <c r="E24" s="578" t="e">
        <f t="shared" si="0"/>
        <v>#REF!</v>
      </c>
      <c r="F24" s="575" t="e">
        <f t="shared" si="1"/>
        <v>#REF!</v>
      </c>
    </row>
    <row r="25" spans="1:6" s="65" customFormat="1" ht="12" customHeight="1" thickBot="1" x14ac:dyDescent="0.25">
      <c r="A25" s="256" t="s">
        <v>89</v>
      </c>
      <c r="B25" s="242" t="s">
        <v>379</v>
      </c>
      <c r="C25" s="161"/>
      <c r="D25" s="576" t="e">
        <f>'9.1.1. sz. mell. '!C25+#REF!</f>
        <v>#REF!</v>
      </c>
      <c r="E25" s="578" t="e">
        <f t="shared" si="0"/>
        <v>#REF!</v>
      </c>
      <c r="F25" s="575" t="e">
        <f t="shared" si="1"/>
        <v>#REF!</v>
      </c>
    </row>
    <row r="26" spans="1:6" s="65" customFormat="1" ht="12" customHeight="1" thickBot="1" x14ac:dyDescent="0.25">
      <c r="A26" s="256" t="s">
        <v>90</v>
      </c>
      <c r="B26" s="242" t="s">
        <v>380</v>
      </c>
      <c r="C26" s="161"/>
      <c r="D26" s="576" t="e">
        <f>'9.1.1. sz. mell. '!C26+#REF!</f>
        <v>#REF!</v>
      </c>
      <c r="E26" s="578" t="e">
        <f t="shared" si="0"/>
        <v>#REF!</v>
      </c>
      <c r="F26" s="575" t="e">
        <f t="shared" si="1"/>
        <v>#REF!</v>
      </c>
    </row>
    <row r="27" spans="1:6" s="65" customFormat="1" ht="12" customHeight="1" thickBot="1" x14ac:dyDescent="0.25">
      <c r="A27" s="256" t="s">
        <v>148</v>
      </c>
      <c r="B27" s="242" t="s">
        <v>214</v>
      </c>
      <c r="C27" s="840">
        <f>5866130+3779393+3796748+55505576</f>
        <v>68947847</v>
      </c>
      <c r="D27" s="576" t="e">
        <f>'9.1.1. sz. mell. '!C27+#REF!</f>
        <v>#REF!</v>
      </c>
      <c r="E27" s="578" t="e">
        <f t="shared" si="0"/>
        <v>#REF!</v>
      </c>
      <c r="F27" s="575" t="e">
        <f t="shared" si="1"/>
        <v>#REF!</v>
      </c>
    </row>
    <row r="28" spans="1:6" s="65" customFormat="1" ht="12" customHeight="1" thickBot="1" x14ac:dyDescent="0.25">
      <c r="A28" s="257" t="s">
        <v>149</v>
      </c>
      <c r="B28" s="243" t="s">
        <v>215</v>
      </c>
      <c r="C28" s="937">
        <f>13442271+55505576</f>
        <v>68947847</v>
      </c>
      <c r="D28" s="576" t="e">
        <f>'9.1.1. sz. mell. '!C28+#REF!</f>
        <v>#REF!</v>
      </c>
      <c r="E28" s="579" t="e">
        <f t="shared" si="0"/>
        <v>#REF!</v>
      </c>
      <c r="F28" s="575" t="e">
        <f t="shared" si="1"/>
        <v>#REF!</v>
      </c>
    </row>
    <row r="29" spans="1:6" s="65" customFormat="1" ht="12" customHeight="1" thickBot="1" x14ac:dyDescent="0.25">
      <c r="A29" s="31" t="s">
        <v>150</v>
      </c>
      <c r="B29" s="20" t="s">
        <v>216</v>
      </c>
      <c r="C29" s="162">
        <f>+C30+C34+C35+C36</f>
        <v>352658000</v>
      </c>
      <c r="D29" s="576" t="e">
        <f>'9.1.1. sz. mell. '!C29+#REF!</f>
        <v>#REF!</v>
      </c>
      <c r="E29" s="576" t="e">
        <f t="shared" si="0"/>
        <v>#REF!</v>
      </c>
      <c r="F29" s="575" t="e">
        <f t="shared" si="1"/>
        <v>#REF!</v>
      </c>
    </row>
    <row r="30" spans="1:6" s="65" customFormat="1" ht="12" customHeight="1" thickBot="1" x14ac:dyDescent="0.25">
      <c r="A30" s="255" t="s">
        <v>217</v>
      </c>
      <c r="B30" s="241" t="s">
        <v>531</v>
      </c>
      <c r="C30" s="236">
        <f>SUM(C31:C33)</f>
        <v>308654000</v>
      </c>
      <c r="D30" s="576" t="e">
        <f>'9.1.1. sz. mell. '!C30+#REF!</f>
        <v>#REF!</v>
      </c>
      <c r="E30" s="577" t="e">
        <f t="shared" si="0"/>
        <v>#REF!</v>
      </c>
      <c r="F30" s="575" t="e">
        <f t="shared" si="1"/>
        <v>#REF!</v>
      </c>
    </row>
    <row r="31" spans="1:6" s="65" customFormat="1" ht="12" customHeight="1" thickBot="1" x14ac:dyDescent="0.25">
      <c r="A31" s="256" t="s">
        <v>218</v>
      </c>
      <c r="B31" s="242" t="s">
        <v>223</v>
      </c>
      <c r="C31" s="145">
        <f>7500000+70000000</f>
        <v>77500000</v>
      </c>
      <c r="D31" s="576" t="e">
        <f>'9.1.1. sz. mell. '!C31+#REF!</f>
        <v>#REF!</v>
      </c>
      <c r="E31" s="578" t="e">
        <f t="shared" si="0"/>
        <v>#REF!</v>
      </c>
      <c r="F31" s="575" t="e">
        <f t="shared" si="1"/>
        <v>#REF!</v>
      </c>
    </row>
    <row r="32" spans="1:6" s="65" customFormat="1" ht="12" customHeight="1" thickBot="1" x14ac:dyDescent="0.25">
      <c r="A32" s="256" t="s">
        <v>219</v>
      </c>
      <c r="B32" s="242" t="s">
        <v>571</v>
      </c>
      <c r="C32" s="145">
        <v>231154000</v>
      </c>
      <c r="D32" s="576" t="e">
        <f>'9.1.1. sz. mell. '!C32+#REF!</f>
        <v>#REF!</v>
      </c>
      <c r="E32" s="578" t="e">
        <f t="shared" si="0"/>
        <v>#REF!</v>
      </c>
      <c r="F32" s="575" t="e">
        <f t="shared" si="1"/>
        <v>#REF!</v>
      </c>
    </row>
    <row r="33" spans="1:6" s="65" customFormat="1" ht="12" customHeight="1" thickBot="1" x14ac:dyDescent="0.25">
      <c r="A33" s="256" t="s">
        <v>472</v>
      </c>
      <c r="B33" s="242" t="s">
        <v>568</v>
      </c>
      <c r="C33" s="308"/>
      <c r="D33" s="576" t="e">
        <f>'9.1.1. sz. mell. '!C33+#REF!</f>
        <v>#REF!</v>
      </c>
      <c r="E33" s="578" t="e">
        <f t="shared" si="0"/>
        <v>#REF!</v>
      </c>
      <c r="F33" s="575" t="e">
        <f t="shared" si="1"/>
        <v>#REF!</v>
      </c>
    </row>
    <row r="34" spans="1:6" s="65" customFormat="1" ht="12" customHeight="1" thickBot="1" x14ac:dyDescent="0.25">
      <c r="A34" s="256" t="s">
        <v>220</v>
      </c>
      <c r="B34" s="242" t="s">
        <v>225</v>
      </c>
      <c r="C34" s="145">
        <v>28000000</v>
      </c>
      <c r="D34" s="576" t="e">
        <f>'9.1.1. sz. mell. '!C34+#REF!</f>
        <v>#REF!</v>
      </c>
      <c r="E34" s="578" t="e">
        <f t="shared" si="0"/>
        <v>#REF!</v>
      </c>
      <c r="F34" s="575" t="e">
        <f t="shared" si="1"/>
        <v>#REF!</v>
      </c>
    </row>
    <row r="35" spans="1:6" s="65" customFormat="1" ht="12" customHeight="1" thickBot="1" x14ac:dyDescent="0.25">
      <c r="A35" s="256" t="s">
        <v>221</v>
      </c>
      <c r="B35" s="242" t="s">
        <v>226</v>
      </c>
      <c r="C35" s="308">
        <f>4000+4500000-4500000</f>
        <v>4000</v>
      </c>
      <c r="D35" s="576" t="e">
        <f>'9.1.1. sz. mell. '!C35+#REF!</f>
        <v>#REF!</v>
      </c>
      <c r="E35" s="578" t="e">
        <f t="shared" si="0"/>
        <v>#REF!</v>
      </c>
      <c r="F35" s="575" t="e">
        <f t="shared" si="1"/>
        <v>#REF!</v>
      </c>
    </row>
    <row r="36" spans="1:6" s="65" customFormat="1" ht="12" customHeight="1" thickBot="1" x14ac:dyDescent="0.25">
      <c r="A36" s="257" t="s">
        <v>222</v>
      </c>
      <c r="B36" s="243" t="s">
        <v>227</v>
      </c>
      <c r="C36" s="312">
        <f>1500000+2000000+1000000+7000000+4500000</f>
        <v>16000000</v>
      </c>
      <c r="D36" s="576" t="e">
        <f>'9.1.1. sz. mell. '!C36+#REF!</f>
        <v>#REF!</v>
      </c>
      <c r="E36" s="579" t="e">
        <f t="shared" si="0"/>
        <v>#REF!</v>
      </c>
      <c r="F36" s="575" t="e">
        <f t="shared" si="1"/>
        <v>#REF!</v>
      </c>
    </row>
    <row r="37" spans="1:6" s="65" customFormat="1" ht="12" customHeight="1" thickBot="1" x14ac:dyDescent="0.25">
      <c r="A37" s="31" t="s">
        <v>26</v>
      </c>
      <c r="B37" s="20" t="s">
        <v>474</v>
      </c>
      <c r="C37" s="157">
        <f>SUM(C38:C48)</f>
        <v>41941812</v>
      </c>
      <c r="D37" s="576" t="e">
        <f>'9.1.1. sz. mell. '!C37+#REF!</f>
        <v>#REF!</v>
      </c>
      <c r="E37" s="576" t="e">
        <f t="shared" si="0"/>
        <v>#REF!</v>
      </c>
      <c r="F37" s="575" t="e">
        <f t="shared" si="1"/>
        <v>#REF!</v>
      </c>
    </row>
    <row r="38" spans="1:6" s="65" customFormat="1" ht="12" customHeight="1" thickBot="1" x14ac:dyDescent="0.25">
      <c r="A38" s="255" t="s">
        <v>91</v>
      </c>
      <c r="B38" s="241" t="s">
        <v>230</v>
      </c>
      <c r="C38" s="335">
        <v>12159000</v>
      </c>
      <c r="D38" s="576" t="e">
        <f>'9.1.1. sz. mell. '!C38+#REF!</f>
        <v>#REF!</v>
      </c>
      <c r="E38" s="577" t="e">
        <f t="shared" si="0"/>
        <v>#REF!</v>
      </c>
      <c r="F38" s="575" t="e">
        <f t="shared" si="1"/>
        <v>#REF!</v>
      </c>
    </row>
    <row r="39" spans="1:6" s="65" customFormat="1" ht="12" customHeight="1" thickBot="1" x14ac:dyDescent="0.25">
      <c r="A39" s="256" t="s">
        <v>92</v>
      </c>
      <c r="B39" s="242" t="s">
        <v>231</v>
      </c>
      <c r="C39" s="308">
        <f>13910169+100000+62992</f>
        <v>14073161</v>
      </c>
      <c r="D39" s="576" t="e">
        <f>'9.1.1. sz. mell. '!C39+#REF!</f>
        <v>#REF!</v>
      </c>
      <c r="E39" s="578" t="e">
        <f t="shared" si="0"/>
        <v>#REF!</v>
      </c>
      <c r="F39" s="575" t="e">
        <f t="shared" si="1"/>
        <v>#REF!</v>
      </c>
    </row>
    <row r="40" spans="1:6" s="65" customFormat="1" ht="12" customHeight="1" thickBot="1" x14ac:dyDescent="0.25">
      <c r="A40" s="256" t="s">
        <v>93</v>
      </c>
      <c r="B40" s="242" t="s">
        <v>232</v>
      </c>
      <c r="C40" s="308">
        <f>500000+300000+50000+1400000+947000+300000</f>
        <v>3497000</v>
      </c>
      <c r="D40" s="576" t="e">
        <f>'9.1.1. sz. mell. '!C40+#REF!</f>
        <v>#REF!</v>
      </c>
      <c r="E40" s="578" t="e">
        <f t="shared" si="0"/>
        <v>#REF!</v>
      </c>
      <c r="F40" s="575" t="e">
        <f t="shared" si="1"/>
        <v>#REF!</v>
      </c>
    </row>
    <row r="41" spans="1:6" s="65" customFormat="1" ht="12" customHeight="1" thickBot="1" x14ac:dyDescent="0.25">
      <c r="A41" s="256" t="s">
        <v>152</v>
      </c>
      <c r="B41" s="242" t="s">
        <v>233</v>
      </c>
      <c r="C41" s="308">
        <v>430000</v>
      </c>
      <c r="D41" s="576" t="e">
        <f>'9.1.1. sz. mell. '!C41+#REF!</f>
        <v>#REF!</v>
      </c>
      <c r="E41" s="578" t="e">
        <f t="shared" si="0"/>
        <v>#REF!</v>
      </c>
      <c r="F41" s="575" t="e">
        <f t="shared" si="1"/>
        <v>#REF!</v>
      </c>
    </row>
    <row r="42" spans="1:6" s="65" customFormat="1" ht="12" customHeight="1" thickBot="1" x14ac:dyDescent="0.25">
      <c r="A42" s="256" t="s">
        <v>153</v>
      </c>
      <c r="B42" s="242" t="s">
        <v>234</v>
      </c>
      <c r="C42" s="308"/>
      <c r="D42" s="576" t="e">
        <f>'9.1.1. sz. mell. '!C42+#REF!</f>
        <v>#REF!</v>
      </c>
      <c r="E42" s="578" t="e">
        <f t="shared" si="0"/>
        <v>#REF!</v>
      </c>
      <c r="F42" s="575" t="e">
        <f t="shared" si="1"/>
        <v>#REF!</v>
      </c>
    </row>
    <row r="43" spans="1:6" s="65" customFormat="1" ht="12" customHeight="1" thickBot="1" x14ac:dyDescent="0.25">
      <c r="A43" s="256" t="s">
        <v>154</v>
      </c>
      <c r="B43" s="242" t="s">
        <v>235</v>
      </c>
      <c r="C43" s="308">
        <f>3283000+5162000+81000+13500+378000+81000+17008</f>
        <v>9015508</v>
      </c>
      <c r="D43" s="576" t="e">
        <f>'9.1.1. sz. mell. '!C43+#REF!</f>
        <v>#REF!</v>
      </c>
      <c r="E43" s="578" t="e">
        <f t="shared" si="0"/>
        <v>#REF!</v>
      </c>
      <c r="F43" s="575" t="e">
        <f t="shared" si="1"/>
        <v>#REF!</v>
      </c>
    </row>
    <row r="44" spans="1:6" s="65" customFormat="1" ht="12" customHeight="1" thickBot="1" x14ac:dyDescent="0.25">
      <c r="A44" s="256" t="s">
        <v>155</v>
      </c>
      <c r="B44" s="242" t="s">
        <v>236</v>
      </c>
      <c r="C44" s="308"/>
      <c r="D44" s="576" t="e">
        <f>'9.1.1. sz. mell. '!C44+#REF!</f>
        <v>#REF!</v>
      </c>
      <c r="E44" s="578" t="e">
        <f t="shared" si="0"/>
        <v>#REF!</v>
      </c>
      <c r="F44" s="575" t="e">
        <f t="shared" si="1"/>
        <v>#REF!</v>
      </c>
    </row>
    <row r="45" spans="1:6" s="65" customFormat="1" ht="12" customHeight="1" thickBot="1" x14ac:dyDescent="0.25">
      <c r="A45" s="256" t="s">
        <v>156</v>
      </c>
      <c r="B45" s="242" t="s">
        <v>237</v>
      </c>
      <c r="C45" s="308">
        <v>30000</v>
      </c>
      <c r="D45" s="576" t="e">
        <f>'9.1.1. sz. mell. '!C45+#REF!</f>
        <v>#REF!</v>
      </c>
      <c r="E45" s="578" t="e">
        <f t="shared" si="0"/>
        <v>#REF!</v>
      </c>
      <c r="F45" s="575" t="e">
        <f t="shared" si="1"/>
        <v>#REF!</v>
      </c>
    </row>
    <row r="46" spans="1:6" s="65" customFormat="1" ht="12" customHeight="1" thickBot="1" x14ac:dyDescent="0.25">
      <c r="A46" s="256" t="s">
        <v>228</v>
      </c>
      <c r="B46" s="242" t="s">
        <v>238</v>
      </c>
      <c r="C46" s="308"/>
      <c r="D46" s="576" t="e">
        <f>'9.1.1. sz. mell. '!C46+#REF!</f>
        <v>#REF!</v>
      </c>
      <c r="E46" s="578" t="e">
        <f t="shared" si="0"/>
        <v>#REF!</v>
      </c>
      <c r="F46" s="575" t="e">
        <f t="shared" si="1"/>
        <v>#REF!</v>
      </c>
    </row>
    <row r="47" spans="1:6" s="65" customFormat="1" ht="12" customHeight="1" thickBot="1" x14ac:dyDescent="0.25">
      <c r="A47" s="257" t="s">
        <v>229</v>
      </c>
      <c r="B47" s="243" t="s">
        <v>475</v>
      </c>
      <c r="C47" s="312">
        <v>500000</v>
      </c>
      <c r="D47" s="576" t="e">
        <f>'9.1.1. sz. mell. '!C47+#REF!</f>
        <v>#REF!</v>
      </c>
      <c r="E47" s="578" t="e">
        <f t="shared" si="0"/>
        <v>#REF!</v>
      </c>
      <c r="F47" s="575" t="e">
        <f t="shared" si="1"/>
        <v>#REF!</v>
      </c>
    </row>
    <row r="48" spans="1:6" s="65" customFormat="1" ht="12" customHeight="1" thickBot="1" x14ac:dyDescent="0.25">
      <c r="A48" s="257" t="s">
        <v>476</v>
      </c>
      <c r="B48" s="243" t="s">
        <v>239</v>
      </c>
      <c r="C48" s="841">
        <f>60000+600000+1577143</f>
        <v>2237143</v>
      </c>
      <c r="D48" s="576" t="e">
        <f>'9.1.1. sz. mell. '!C48+#REF!</f>
        <v>#REF!</v>
      </c>
      <c r="E48" s="579" t="e">
        <f t="shared" si="0"/>
        <v>#REF!</v>
      </c>
      <c r="F48" s="575" t="e">
        <f t="shared" si="1"/>
        <v>#REF!</v>
      </c>
    </row>
    <row r="49" spans="1:6" s="65" customFormat="1" ht="12" customHeight="1" thickBot="1" x14ac:dyDescent="0.25">
      <c r="A49" s="31" t="s">
        <v>27</v>
      </c>
      <c r="B49" s="20" t="s">
        <v>240</v>
      </c>
      <c r="C49" s="157">
        <f>SUM(C50:C54)</f>
        <v>30332500</v>
      </c>
      <c r="D49" s="576" t="e">
        <f>'9.1.1. sz. mell. '!C49+#REF!</f>
        <v>#REF!</v>
      </c>
      <c r="E49" s="576" t="e">
        <f t="shared" si="0"/>
        <v>#REF!</v>
      </c>
      <c r="F49" s="575" t="e">
        <f t="shared" si="1"/>
        <v>#REF!</v>
      </c>
    </row>
    <row r="50" spans="1:6" s="65" customFormat="1" ht="12" customHeight="1" thickBot="1" x14ac:dyDescent="0.25">
      <c r="A50" s="255" t="s">
        <v>94</v>
      </c>
      <c r="B50" s="241" t="s">
        <v>244</v>
      </c>
      <c r="C50" s="279"/>
      <c r="D50" s="576" t="e">
        <f>'9.1.1. sz. mell. '!C50+#REF!</f>
        <v>#REF!</v>
      </c>
      <c r="E50" s="577" t="e">
        <f t="shared" si="0"/>
        <v>#REF!</v>
      </c>
      <c r="F50" s="575" t="e">
        <f t="shared" si="1"/>
        <v>#REF!</v>
      </c>
    </row>
    <row r="51" spans="1:6" s="65" customFormat="1" ht="12" customHeight="1" thickBot="1" x14ac:dyDescent="0.25">
      <c r="A51" s="256" t="s">
        <v>95</v>
      </c>
      <c r="B51" s="242" t="s">
        <v>245</v>
      </c>
      <c r="C51" s="308">
        <v>30332500</v>
      </c>
      <c r="D51" s="576" t="e">
        <f>'9.1.1. sz. mell. '!C51+#REF!</f>
        <v>#REF!</v>
      </c>
      <c r="E51" s="578" t="e">
        <f t="shared" si="0"/>
        <v>#REF!</v>
      </c>
      <c r="F51" s="575" t="e">
        <f t="shared" si="1"/>
        <v>#REF!</v>
      </c>
    </row>
    <row r="52" spans="1:6" s="65" customFormat="1" ht="12" customHeight="1" thickBot="1" x14ac:dyDescent="0.25">
      <c r="A52" s="256" t="s">
        <v>241</v>
      </c>
      <c r="B52" s="242" t="s">
        <v>246</v>
      </c>
      <c r="C52" s="161"/>
      <c r="D52" s="576" t="e">
        <f>'9.1.1. sz. mell. '!C52+#REF!</f>
        <v>#REF!</v>
      </c>
      <c r="E52" s="578" t="e">
        <f t="shared" si="0"/>
        <v>#REF!</v>
      </c>
      <c r="F52" s="575" t="e">
        <f t="shared" si="1"/>
        <v>#REF!</v>
      </c>
    </row>
    <row r="53" spans="1:6" s="65" customFormat="1" ht="12" customHeight="1" thickBot="1" x14ac:dyDescent="0.25">
      <c r="A53" s="256" t="s">
        <v>242</v>
      </c>
      <c r="B53" s="242" t="s">
        <v>247</v>
      </c>
      <c r="C53" s="161"/>
      <c r="D53" s="576" t="e">
        <f>'9.1.1. sz. mell. '!C53+#REF!</f>
        <v>#REF!</v>
      </c>
      <c r="E53" s="578" t="e">
        <f t="shared" si="0"/>
        <v>#REF!</v>
      </c>
      <c r="F53" s="575" t="e">
        <f t="shared" si="1"/>
        <v>#REF!</v>
      </c>
    </row>
    <row r="54" spans="1:6" s="65" customFormat="1" ht="12" customHeight="1" thickBot="1" x14ac:dyDescent="0.25">
      <c r="A54" s="257" t="s">
        <v>243</v>
      </c>
      <c r="B54" s="243" t="s">
        <v>248</v>
      </c>
      <c r="C54" s="230"/>
      <c r="D54" s="576" t="e">
        <f>'9.1.1. sz. mell. '!C54+#REF!</f>
        <v>#REF!</v>
      </c>
      <c r="E54" s="579" t="e">
        <f t="shared" si="0"/>
        <v>#REF!</v>
      </c>
      <c r="F54" s="575" t="e">
        <f t="shared" si="1"/>
        <v>#REF!</v>
      </c>
    </row>
    <row r="55" spans="1:6" s="65" customFormat="1" ht="12" customHeight="1" thickBot="1" x14ac:dyDescent="0.25">
      <c r="A55" s="31" t="s">
        <v>157</v>
      </c>
      <c r="B55" s="20" t="s">
        <v>249</v>
      </c>
      <c r="C55" s="157">
        <f>SUM(C56:C58)</f>
        <v>4766000</v>
      </c>
      <c r="D55" s="576" t="e">
        <f>'9.1.1. sz. mell. '!C55+#REF!</f>
        <v>#REF!</v>
      </c>
      <c r="E55" s="576" t="e">
        <f t="shared" si="0"/>
        <v>#REF!</v>
      </c>
      <c r="F55" s="575" t="e">
        <f t="shared" si="1"/>
        <v>#REF!</v>
      </c>
    </row>
    <row r="56" spans="1:6" s="65" customFormat="1" ht="12" customHeight="1" thickBot="1" x14ac:dyDescent="0.25">
      <c r="A56" s="255" t="s">
        <v>96</v>
      </c>
      <c r="B56" s="241" t="s">
        <v>250</v>
      </c>
      <c r="C56" s="279"/>
      <c r="D56" s="576" t="e">
        <f>'9.1.1. sz. mell. '!C56+#REF!</f>
        <v>#REF!</v>
      </c>
      <c r="E56" s="577" t="e">
        <f t="shared" si="0"/>
        <v>#REF!</v>
      </c>
      <c r="F56" s="575" t="e">
        <f t="shared" si="1"/>
        <v>#REF!</v>
      </c>
    </row>
    <row r="57" spans="1:6" s="65" customFormat="1" ht="12" customHeight="1" thickBot="1" x14ac:dyDescent="0.25">
      <c r="A57" s="256" t="s">
        <v>97</v>
      </c>
      <c r="B57" s="242" t="s">
        <v>381</v>
      </c>
      <c r="C57" s="308">
        <f>1566000+300000</f>
        <v>1866000</v>
      </c>
      <c r="D57" s="576" t="e">
        <f>'9.1.1. sz. mell. '!C57+#REF!</f>
        <v>#REF!</v>
      </c>
      <c r="E57" s="578" t="e">
        <f t="shared" si="0"/>
        <v>#REF!</v>
      </c>
      <c r="F57" s="575" t="e">
        <f t="shared" si="1"/>
        <v>#REF!</v>
      </c>
    </row>
    <row r="58" spans="1:6" s="65" customFormat="1" ht="12" customHeight="1" thickBot="1" x14ac:dyDescent="0.25">
      <c r="A58" s="256" t="s">
        <v>253</v>
      </c>
      <c r="B58" s="242" t="s">
        <v>251</v>
      </c>
      <c r="C58" s="308">
        <v>2900000</v>
      </c>
      <c r="D58" s="576" t="e">
        <f>'9.1.1. sz. mell. '!C58+#REF!</f>
        <v>#REF!</v>
      </c>
      <c r="E58" s="578" t="e">
        <f t="shared" si="0"/>
        <v>#REF!</v>
      </c>
      <c r="F58" s="575" t="e">
        <f t="shared" si="1"/>
        <v>#REF!</v>
      </c>
    </row>
    <row r="59" spans="1:6" s="65" customFormat="1" ht="12" customHeight="1" thickBot="1" x14ac:dyDescent="0.25">
      <c r="A59" s="257" t="s">
        <v>254</v>
      </c>
      <c r="B59" s="243" t="s">
        <v>252</v>
      </c>
      <c r="C59" s="160"/>
      <c r="D59" s="576" t="e">
        <f>'9.1.1. sz. mell. '!C59+#REF!</f>
        <v>#REF!</v>
      </c>
      <c r="E59" s="579" t="e">
        <f t="shared" si="0"/>
        <v>#REF!</v>
      </c>
      <c r="F59" s="575" t="e">
        <f t="shared" si="1"/>
        <v>#REF!</v>
      </c>
    </row>
    <row r="60" spans="1:6" s="65" customFormat="1" ht="12" customHeight="1" thickBot="1" x14ac:dyDescent="0.25">
      <c r="A60" s="31" t="s">
        <v>29</v>
      </c>
      <c r="B60" s="152" t="s">
        <v>255</v>
      </c>
      <c r="C60" s="157">
        <f>SUM(C61:C63)</f>
        <v>0</v>
      </c>
      <c r="D60" s="576" t="e">
        <f>'9.1.1. sz. mell. '!C60+#REF!</f>
        <v>#REF!</v>
      </c>
      <c r="E60" s="576" t="e">
        <f t="shared" si="0"/>
        <v>#REF!</v>
      </c>
      <c r="F60" s="575" t="e">
        <f t="shared" si="1"/>
        <v>#REF!</v>
      </c>
    </row>
    <row r="61" spans="1:6" s="65" customFormat="1" ht="12" customHeight="1" thickBot="1" x14ac:dyDescent="0.25">
      <c r="A61" s="255" t="s">
        <v>158</v>
      </c>
      <c r="B61" s="241" t="s">
        <v>257</v>
      </c>
      <c r="C61" s="161"/>
      <c r="D61" s="576" t="e">
        <f>'9.1.1. sz. mell. '!C61+#REF!</f>
        <v>#REF!</v>
      </c>
      <c r="E61" s="577" t="e">
        <f t="shared" si="0"/>
        <v>#REF!</v>
      </c>
      <c r="F61" s="575" t="e">
        <f t="shared" si="1"/>
        <v>#REF!</v>
      </c>
    </row>
    <row r="62" spans="1:6" s="65" customFormat="1" ht="12" customHeight="1" thickBot="1" x14ac:dyDescent="0.25">
      <c r="A62" s="256" t="s">
        <v>159</v>
      </c>
      <c r="B62" s="242" t="s">
        <v>382</v>
      </c>
      <c r="C62" s="161"/>
      <c r="D62" s="576" t="e">
        <f>'9.1.1. sz. mell. '!C62+#REF!</f>
        <v>#REF!</v>
      </c>
      <c r="E62" s="578" t="e">
        <f t="shared" si="0"/>
        <v>#REF!</v>
      </c>
      <c r="F62" s="575" t="e">
        <f t="shared" si="1"/>
        <v>#REF!</v>
      </c>
    </row>
    <row r="63" spans="1:6" s="65" customFormat="1" ht="12" customHeight="1" thickBot="1" x14ac:dyDescent="0.25">
      <c r="A63" s="256" t="s">
        <v>181</v>
      </c>
      <c r="B63" s="242" t="s">
        <v>258</v>
      </c>
      <c r="C63" s="161"/>
      <c r="D63" s="576" t="e">
        <f>'9.1.1. sz. mell. '!C63+#REF!</f>
        <v>#REF!</v>
      </c>
      <c r="E63" s="578" t="e">
        <f t="shared" si="0"/>
        <v>#REF!</v>
      </c>
      <c r="F63" s="575" t="e">
        <f t="shared" si="1"/>
        <v>#REF!</v>
      </c>
    </row>
    <row r="64" spans="1:6" s="65" customFormat="1" ht="12" customHeight="1" thickBot="1" x14ac:dyDescent="0.25">
      <c r="A64" s="257" t="s">
        <v>256</v>
      </c>
      <c r="B64" s="243" t="s">
        <v>259</v>
      </c>
      <c r="C64" s="161"/>
      <c r="D64" s="576" t="e">
        <f>'9.1.1. sz. mell. '!C64+#REF!</f>
        <v>#REF!</v>
      </c>
      <c r="E64" s="579" t="e">
        <f t="shared" si="0"/>
        <v>#REF!</v>
      </c>
      <c r="F64" s="575" t="e">
        <f t="shared" si="1"/>
        <v>#REF!</v>
      </c>
    </row>
    <row r="65" spans="1:6" s="65" customFormat="1" ht="12" customHeight="1" thickBot="1" x14ac:dyDescent="0.25">
      <c r="A65" s="31" t="s">
        <v>30</v>
      </c>
      <c r="B65" s="20" t="s">
        <v>260</v>
      </c>
      <c r="C65" s="162">
        <f>+C8+C15+C22+C29+C37+C49+C55+C60</f>
        <v>2062438701</v>
      </c>
      <c r="D65" s="576" t="e">
        <f>'9.1.1. sz. mell. '!C65+#REF!</f>
        <v>#REF!</v>
      </c>
      <c r="E65" s="576" t="e">
        <f t="shared" si="0"/>
        <v>#REF!</v>
      </c>
      <c r="F65" s="575" t="e">
        <f t="shared" si="1"/>
        <v>#REF!</v>
      </c>
    </row>
    <row r="66" spans="1:6" s="65" customFormat="1" ht="12" customHeight="1" thickBot="1" x14ac:dyDescent="0.2">
      <c r="A66" s="258" t="s">
        <v>350</v>
      </c>
      <c r="B66" s="152" t="s">
        <v>262</v>
      </c>
      <c r="C66" s="157">
        <f>SUM(C67:C69)</f>
        <v>193478462</v>
      </c>
      <c r="D66" s="576" t="e">
        <f>'9.1.1. sz. mell. '!C66+#REF!</f>
        <v>#REF!</v>
      </c>
      <c r="E66" s="576" t="e">
        <f t="shared" si="0"/>
        <v>#REF!</v>
      </c>
      <c r="F66" s="575" t="e">
        <f t="shared" si="1"/>
        <v>#REF!</v>
      </c>
    </row>
    <row r="67" spans="1:6" s="65" customFormat="1" ht="12" customHeight="1" thickBot="1" x14ac:dyDescent="0.25">
      <c r="A67" s="255" t="s">
        <v>293</v>
      </c>
      <c r="B67" s="241" t="s">
        <v>263</v>
      </c>
      <c r="C67" s="308">
        <v>93478462</v>
      </c>
      <c r="D67" s="576" t="e">
        <f>'9.1.1. sz. mell. '!C67+#REF!</f>
        <v>#REF!</v>
      </c>
      <c r="E67" s="577" t="e">
        <f t="shared" si="0"/>
        <v>#REF!</v>
      </c>
      <c r="F67" s="575" t="e">
        <f t="shared" si="1"/>
        <v>#REF!</v>
      </c>
    </row>
    <row r="68" spans="1:6" s="65" customFormat="1" ht="12" customHeight="1" thickBot="1" x14ac:dyDescent="0.25">
      <c r="A68" s="256" t="s">
        <v>302</v>
      </c>
      <c r="B68" s="242" t="s">
        <v>264</v>
      </c>
      <c r="C68" s="308">
        <v>100000000</v>
      </c>
      <c r="D68" s="576" t="e">
        <f>'9.1.1. sz. mell. '!C68+#REF!</f>
        <v>#REF!</v>
      </c>
      <c r="E68" s="578" t="e">
        <f t="shared" si="0"/>
        <v>#REF!</v>
      </c>
      <c r="F68" s="575" t="e">
        <f t="shared" si="1"/>
        <v>#REF!</v>
      </c>
    </row>
    <row r="69" spans="1:6" s="65" customFormat="1" ht="12" customHeight="1" thickBot="1" x14ac:dyDescent="0.25">
      <c r="A69" s="257" t="s">
        <v>303</v>
      </c>
      <c r="B69" s="244" t="s">
        <v>265</v>
      </c>
      <c r="C69" s="161"/>
      <c r="D69" s="576" t="e">
        <f>'9.1.1. sz. mell. '!C69+#REF!</f>
        <v>#REF!</v>
      </c>
      <c r="E69" s="579" t="e">
        <f t="shared" si="0"/>
        <v>#REF!</v>
      </c>
      <c r="F69" s="575" t="e">
        <f t="shared" si="1"/>
        <v>#REF!</v>
      </c>
    </row>
    <row r="70" spans="1:6" s="65" customFormat="1" ht="12" customHeight="1" thickBot="1" x14ac:dyDescent="0.2">
      <c r="A70" s="258" t="s">
        <v>266</v>
      </c>
      <c r="B70" s="152" t="s">
        <v>267</v>
      </c>
      <c r="C70" s="157">
        <f>SUM(C71:C74)</f>
        <v>0</v>
      </c>
      <c r="D70" s="576" t="e">
        <f>'9.1.1. sz. mell. '!C70+#REF!</f>
        <v>#REF!</v>
      </c>
      <c r="E70" s="576" t="e">
        <f t="shared" si="0"/>
        <v>#REF!</v>
      </c>
      <c r="F70" s="575" t="e">
        <f t="shared" si="1"/>
        <v>#REF!</v>
      </c>
    </row>
    <row r="71" spans="1:6" s="65" customFormat="1" ht="12" customHeight="1" thickBot="1" x14ac:dyDescent="0.25">
      <c r="A71" s="255" t="s">
        <v>138</v>
      </c>
      <c r="B71" s="241" t="s">
        <v>268</v>
      </c>
      <c r="C71" s="161"/>
      <c r="D71" s="576" t="e">
        <f>'9.1.1. sz. mell. '!C71+#REF!</f>
        <v>#REF!</v>
      </c>
      <c r="E71" s="577" t="e">
        <f t="shared" si="0"/>
        <v>#REF!</v>
      </c>
      <c r="F71" s="575" t="e">
        <f t="shared" si="1"/>
        <v>#REF!</v>
      </c>
    </row>
    <row r="72" spans="1:6" s="65" customFormat="1" ht="12" customHeight="1" thickBot="1" x14ac:dyDescent="0.25">
      <c r="A72" s="256" t="s">
        <v>139</v>
      </c>
      <c r="B72" s="242" t="s">
        <v>269</v>
      </c>
      <c r="C72" s="161"/>
      <c r="D72" s="576" t="e">
        <f>'9.1.1. sz. mell. '!C72+#REF!</f>
        <v>#REF!</v>
      </c>
      <c r="E72" s="578" t="e">
        <f t="shared" ref="E72:E90" si="2">C72-D72</f>
        <v>#REF!</v>
      </c>
      <c r="F72" s="575" t="e">
        <f t="shared" si="1"/>
        <v>#REF!</v>
      </c>
    </row>
    <row r="73" spans="1:6" s="65" customFormat="1" ht="12" customHeight="1" thickBot="1" x14ac:dyDescent="0.25">
      <c r="A73" s="256" t="s">
        <v>294</v>
      </c>
      <c r="B73" s="242" t="s">
        <v>270</v>
      </c>
      <c r="C73" s="161"/>
      <c r="D73" s="576" t="e">
        <f>'9.1.1. sz. mell. '!C73+#REF!</f>
        <v>#REF!</v>
      </c>
      <c r="E73" s="578" t="e">
        <f t="shared" si="2"/>
        <v>#REF!</v>
      </c>
      <c r="F73" s="575" t="e">
        <f t="shared" ref="F73:F136" si="3">C73-D73</f>
        <v>#REF!</v>
      </c>
    </row>
    <row r="74" spans="1:6" s="65" customFormat="1" ht="12" customHeight="1" thickBot="1" x14ac:dyDescent="0.25">
      <c r="A74" s="257" t="s">
        <v>295</v>
      </c>
      <c r="B74" s="243" t="s">
        <v>271</v>
      </c>
      <c r="C74" s="161"/>
      <c r="D74" s="576" t="e">
        <f>'9.1.1. sz. mell. '!C74+#REF!</f>
        <v>#REF!</v>
      </c>
      <c r="E74" s="579" t="e">
        <f t="shared" si="2"/>
        <v>#REF!</v>
      </c>
      <c r="F74" s="575" t="e">
        <f t="shared" si="3"/>
        <v>#REF!</v>
      </c>
    </row>
    <row r="75" spans="1:6" s="65" customFormat="1" ht="12" customHeight="1" thickBot="1" x14ac:dyDescent="0.2">
      <c r="A75" s="258" t="s">
        <v>272</v>
      </c>
      <c r="B75" s="152" t="s">
        <v>273</v>
      </c>
      <c r="C75" s="157">
        <f>SUM(C76:C77)</f>
        <v>594503758</v>
      </c>
      <c r="D75" s="576" t="e">
        <f>'9.1.1. sz. mell. '!C75+#REF!</f>
        <v>#REF!</v>
      </c>
      <c r="E75" s="576" t="e">
        <f t="shared" si="2"/>
        <v>#REF!</v>
      </c>
      <c r="F75" s="575" t="e">
        <f t="shared" si="3"/>
        <v>#REF!</v>
      </c>
    </row>
    <row r="76" spans="1:6" s="65" customFormat="1" ht="12" customHeight="1" thickBot="1" x14ac:dyDescent="0.25">
      <c r="A76" s="255" t="s">
        <v>296</v>
      </c>
      <c r="B76" s="241" t="s">
        <v>274</v>
      </c>
      <c r="C76" s="308">
        <f>569119704+25384054</f>
        <v>594503758</v>
      </c>
      <c r="D76" s="576" t="e">
        <f>'9.1.1. sz. mell. '!C76+#REF!</f>
        <v>#REF!</v>
      </c>
      <c r="E76" s="577" t="e">
        <f t="shared" si="2"/>
        <v>#REF!</v>
      </c>
      <c r="F76" s="575" t="e">
        <f t="shared" si="3"/>
        <v>#REF!</v>
      </c>
    </row>
    <row r="77" spans="1:6" s="65" customFormat="1" ht="12" customHeight="1" thickBot="1" x14ac:dyDescent="0.25">
      <c r="A77" s="257" t="s">
        <v>297</v>
      </c>
      <c r="B77" s="243" t="s">
        <v>275</v>
      </c>
      <c r="C77" s="161"/>
      <c r="D77" s="576" t="e">
        <f>'9.1.1. sz. mell. '!C77+#REF!</f>
        <v>#REF!</v>
      </c>
      <c r="E77" s="579" t="e">
        <f t="shared" si="2"/>
        <v>#REF!</v>
      </c>
      <c r="F77" s="575" t="e">
        <f t="shared" si="3"/>
        <v>#REF!</v>
      </c>
    </row>
    <row r="78" spans="1:6" s="64" customFormat="1" ht="12" customHeight="1" thickBot="1" x14ac:dyDescent="0.2">
      <c r="A78" s="258" t="s">
        <v>276</v>
      </c>
      <c r="B78" s="152" t="s">
        <v>277</v>
      </c>
      <c r="C78" s="157">
        <f>SUM(C79:C81)</f>
        <v>0</v>
      </c>
      <c r="D78" s="576" t="e">
        <f>'9.1.1. sz. mell. '!C78+#REF!</f>
        <v>#REF!</v>
      </c>
      <c r="E78" s="576" t="e">
        <f t="shared" si="2"/>
        <v>#REF!</v>
      </c>
      <c r="F78" s="575" t="e">
        <f t="shared" si="3"/>
        <v>#REF!</v>
      </c>
    </row>
    <row r="79" spans="1:6" s="65" customFormat="1" ht="12" customHeight="1" thickBot="1" x14ac:dyDescent="0.25">
      <c r="A79" s="255" t="s">
        <v>298</v>
      </c>
      <c r="B79" s="241" t="s">
        <v>278</v>
      </c>
      <c r="C79" s="161"/>
      <c r="D79" s="576" t="e">
        <f>'9.1.1. sz. mell. '!C79+#REF!</f>
        <v>#REF!</v>
      </c>
      <c r="E79" s="577" t="e">
        <f t="shared" si="2"/>
        <v>#REF!</v>
      </c>
      <c r="F79" s="575" t="e">
        <f t="shared" si="3"/>
        <v>#REF!</v>
      </c>
    </row>
    <row r="80" spans="1:6" s="65" customFormat="1" ht="12" customHeight="1" thickBot="1" x14ac:dyDescent="0.25">
      <c r="A80" s="256" t="s">
        <v>299</v>
      </c>
      <c r="B80" s="242" t="s">
        <v>279</v>
      </c>
      <c r="C80" s="161"/>
      <c r="D80" s="576" t="e">
        <f>'9.1.1. sz. mell. '!C80+#REF!</f>
        <v>#REF!</v>
      </c>
      <c r="E80" s="578" t="e">
        <f t="shared" si="2"/>
        <v>#REF!</v>
      </c>
      <c r="F80" s="575" t="e">
        <f t="shared" si="3"/>
        <v>#REF!</v>
      </c>
    </row>
    <row r="81" spans="1:6" s="65" customFormat="1" ht="12" customHeight="1" thickBot="1" x14ac:dyDescent="0.25">
      <c r="A81" s="257" t="s">
        <v>300</v>
      </c>
      <c r="B81" s="243" t="s">
        <v>280</v>
      </c>
      <c r="C81" s="161"/>
      <c r="D81" s="576" t="e">
        <f>'9.1.1. sz. mell. '!C81+#REF!</f>
        <v>#REF!</v>
      </c>
      <c r="E81" s="579" t="e">
        <f t="shared" si="2"/>
        <v>#REF!</v>
      </c>
      <c r="F81" s="575" t="e">
        <f t="shared" si="3"/>
        <v>#REF!</v>
      </c>
    </row>
    <row r="82" spans="1:6" s="65" customFormat="1" ht="12" customHeight="1" thickBot="1" x14ac:dyDescent="0.2">
      <c r="A82" s="258" t="s">
        <v>281</v>
      </c>
      <c r="B82" s="152" t="s">
        <v>301</v>
      </c>
      <c r="C82" s="157">
        <f>SUM(C83:C86)</f>
        <v>0</v>
      </c>
      <c r="D82" s="576" t="e">
        <f>'9.1.1. sz. mell. '!C82+#REF!</f>
        <v>#REF!</v>
      </c>
      <c r="E82" s="576" t="e">
        <f t="shared" si="2"/>
        <v>#REF!</v>
      </c>
      <c r="F82" s="575" t="e">
        <f t="shared" si="3"/>
        <v>#REF!</v>
      </c>
    </row>
    <row r="83" spans="1:6" s="65" customFormat="1" ht="12" customHeight="1" thickBot="1" x14ac:dyDescent="0.25">
      <c r="A83" s="259" t="s">
        <v>282</v>
      </c>
      <c r="B83" s="241" t="s">
        <v>283</v>
      </c>
      <c r="C83" s="161"/>
      <c r="D83" s="576" t="e">
        <f>'9.1.1. sz. mell. '!C83+#REF!</f>
        <v>#REF!</v>
      </c>
      <c r="E83" s="577" t="e">
        <f t="shared" si="2"/>
        <v>#REF!</v>
      </c>
      <c r="F83" s="575" t="e">
        <f t="shared" si="3"/>
        <v>#REF!</v>
      </c>
    </row>
    <row r="84" spans="1:6" s="65" customFormat="1" ht="12" customHeight="1" thickBot="1" x14ac:dyDescent="0.25">
      <c r="A84" s="260" t="s">
        <v>284</v>
      </c>
      <c r="B84" s="242" t="s">
        <v>285</v>
      </c>
      <c r="C84" s="161"/>
      <c r="D84" s="576" t="e">
        <f>'9.1.1. sz. mell. '!C84+#REF!</f>
        <v>#REF!</v>
      </c>
      <c r="E84" s="578" t="e">
        <f t="shared" si="2"/>
        <v>#REF!</v>
      </c>
      <c r="F84" s="575" t="e">
        <f t="shared" si="3"/>
        <v>#REF!</v>
      </c>
    </row>
    <row r="85" spans="1:6" s="65" customFormat="1" ht="12" customHeight="1" thickBot="1" x14ac:dyDescent="0.25">
      <c r="A85" s="260" t="s">
        <v>286</v>
      </c>
      <c r="B85" s="242" t="s">
        <v>287</v>
      </c>
      <c r="C85" s="161"/>
      <c r="D85" s="576" t="e">
        <f>'9.1.1. sz. mell. '!C85+#REF!</f>
        <v>#REF!</v>
      </c>
      <c r="E85" s="578" t="e">
        <f t="shared" si="2"/>
        <v>#REF!</v>
      </c>
      <c r="F85" s="575" t="e">
        <f t="shared" si="3"/>
        <v>#REF!</v>
      </c>
    </row>
    <row r="86" spans="1:6" s="64" customFormat="1" ht="12" customHeight="1" thickBot="1" x14ac:dyDescent="0.25">
      <c r="A86" s="261" t="s">
        <v>288</v>
      </c>
      <c r="B86" s="243" t="s">
        <v>289</v>
      </c>
      <c r="C86" s="161"/>
      <c r="D86" s="576" t="e">
        <f>'9.1.1. sz. mell. '!C86+#REF!</f>
        <v>#REF!</v>
      </c>
      <c r="E86" s="579" t="e">
        <f t="shared" si="2"/>
        <v>#REF!</v>
      </c>
      <c r="F86" s="575" t="e">
        <f t="shared" si="3"/>
        <v>#REF!</v>
      </c>
    </row>
    <row r="87" spans="1:6" s="64" customFormat="1" ht="12" customHeight="1" thickBot="1" x14ac:dyDescent="0.2">
      <c r="A87" s="258" t="s">
        <v>290</v>
      </c>
      <c r="B87" s="152" t="s">
        <v>479</v>
      </c>
      <c r="C87" s="280"/>
      <c r="D87" s="576" t="e">
        <f>'9.1.1. sz. mell. '!C87+#REF!</f>
        <v>#REF!</v>
      </c>
      <c r="E87" s="576" t="e">
        <f t="shared" si="2"/>
        <v>#REF!</v>
      </c>
      <c r="F87" s="575" t="e">
        <f t="shared" si="3"/>
        <v>#REF!</v>
      </c>
    </row>
    <row r="88" spans="1:6" s="64" customFormat="1" ht="12" customHeight="1" thickBot="1" x14ac:dyDescent="0.2">
      <c r="A88" s="258" t="s">
        <v>532</v>
      </c>
      <c r="B88" s="152" t="s">
        <v>291</v>
      </c>
      <c r="C88" s="280"/>
      <c r="D88" s="576" t="e">
        <f>'9.1.1. sz. mell. '!C88+#REF!</f>
        <v>#REF!</v>
      </c>
      <c r="E88" s="576" t="e">
        <f t="shared" si="2"/>
        <v>#REF!</v>
      </c>
      <c r="F88" s="575" t="e">
        <f t="shared" si="3"/>
        <v>#REF!</v>
      </c>
    </row>
    <row r="89" spans="1:6" s="64" customFormat="1" ht="12" customHeight="1" thickBot="1" x14ac:dyDescent="0.2">
      <c r="A89" s="258" t="s">
        <v>533</v>
      </c>
      <c r="B89" s="248" t="s">
        <v>480</v>
      </c>
      <c r="C89" s="162">
        <f>+C66+C70+C75+C78+C82+C88+C87</f>
        <v>787982220</v>
      </c>
      <c r="D89" s="576" t="e">
        <f>'9.1.1. sz. mell. '!C89+#REF!</f>
        <v>#REF!</v>
      </c>
      <c r="E89" s="576" t="e">
        <f t="shared" si="2"/>
        <v>#REF!</v>
      </c>
      <c r="F89" s="575" t="e">
        <f t="shared" si="3"/>
        <v>#REF!</v>
      </c>
    </row>
    <row r="90" spans="1:6" s="64" customFormat="1" ht="12" customHeight="1" thickBot="1" x14ac:dyDescent="0.2">
      <c r="A90" s="262" t="s">
        <v>534</v>
      </c>
      <c r="B90" s="249" t="s">
        <v>535</v>
      </c>
      <c r="C90" s="162">
        <f>+C65+C89</f>
        <v>2850420921</v>
      </c>
      <c r="D90" s="576" t="e">
        <f>'9.1.1. sz. mell. '!C90+#REF!</f>
        <v>#REF!</v>
      </c>
      <c r="E90" s="576" t="e">
        <f t="shared" si="2"/>
        <v>#REF!</v>
      </c>
      <c r="F90" s="575" t="e">
        <f t="shared" si="3"/>
        <v>#REF!</v>
      </c>
    </row>
    <row r="91" spans="1:6" s="65" customFormat="1" ht="15" customHeight="1" thickBot="1" x14ac:dyDescent="0.25">
      <c r="A91" s="132"/>
      <c r="B91" s="133"/>
      <c r="C91" s="215"/>
      <c r="D91" s="576" t="e">
        <f>'9.1.1. sz. mell. '!C91+#REF!</f>
        <v>#REF!</v>
      </c>
      <c r="E91" s="572"/>
      <c r="F91" s="575" t="e">
        <f t="shared" si="3"/>
        <v>#REF!</v>
      </c>
    </row>
    <row r="92" spans="1:6" s="49" customFormat="1" ht="16.5" customHeight="1" thickBot="1" x14ac:dyDescent="0.25">
      <c r="A92" s="136"/>
      <c r="B92" s="137" t="s">
        <v>61</v>
      </c>
      <c r="C92" s="217"/>
      <c r="D92" s="576" t="e">
        <f>'9.1.1. sz. mell. '!C92+#REF!</f>
        <v>#REF!</v>
      </c>
      <c r="E92" s="572"/>
      <c r="F92" s="575" t="e">
        <f t="shared" si="3"/>
        <v>#REF!</v>
      </c>
    </row>
    <row r="93" spans="1:6" s="66" customFormat="1" ht="12" customHeight="1" thickBot="1" x14ac:dyDescent="0.25">
      <c r="A93" s="233" t="s">
        <v>22</v>
      </c>
      <c r="B93" s="25" t="s">
        <v>546</v>
      </c>
      <c r="C93" s="156">
        <f>+C94+C95+C96+C97+C98+C111</f>
        <v>721772117</v>
      </c>
      <c r="D93" s="576" t="e">
        <f>'9.1.1. sz. mell. '!C93+#REF!</f>
        <v>#REF!</v>
      </c>
      <c r="E93" s="576" t="e">
        <f t="shared" ref="E93:E155" si="4">C93-D93</f>
        <v>#REF!</v>
      </c>
      <c r="F93" s="575" t="e">
        <f t="shared" si="3"/>
        <v>#REF!</v>
      </c>
    </row>
    <row r="94" spans="1:6" ht="12" customHeight="1" thickBot="1" x14ac:dyDescent="0.25">
      <c r="A94" s="263" t="s">
        <v>98</v>
      </c>
      <c r="B94" s="9" t="s">
        <v>53</v>
      </c>
      <c r="C94" s="839">
        <f>2854500+25097896+75000+16116992+1182990+2491000+1095900-198000+58577+6274800+23800</f>
        <v>55073455</v>
      </c>
      <c r="D94" s="576" t="e">
        <f>'9.1.1. sz. mell. '!C94+#REF!</f>
        <v>#REF!</v>
      </c>
      <c r="E94" s="577" t="e">
        <f t="shared" si="4"/>
        <v>#REF!</v>
      </c>
      <c r="F94" s="575" t="e">
        <f t="shared" si="3"/>
        <v>#REF!</v>
      </c>
    </row>
    <row r="95" spans="1:6" ht="12" customHeight="1" thickBot="1" x14ac:dyDescent="0.25">
      <c r="A95" s="256" t="s">
        <v>99</v>
      </c>
      <c r="B95" s="7" t="s">
        <v>160</v>
      </c>
      <c r="C95" s="840">
        <f>500965+4771305+13275+17258+2940000+14000+207615+1015000+213701+281135-34749+11423+1380456+4650</f>
        <v>11336034</v>
      </c>
      <c r="D95" s="576" t="e">
        <f>'9.1.1. sz. mell. '!C95+#REF!</f>
        <v>#REF!</v>
      </c>
      <c r="E95" s="578" t="e">
        <f t="shared" si="4"/>
        <v>#REF!</v>
      </c>
      <c r="F95" s="575" t="e">
        <f t="shared" si="3"/>
        <v>#REF!</v>
      </c>
    </row>
    <row r="96" spans="1:6" ht="12" customHeight="1" thickBot="1" x14ac:dyDescent="0.25">
      <c r="A96" s="256" t="s">
        <v>100</v>
      </c>
      <c r="B96" s="7" t="s">
        <v>130</v>
      </c>
      <c r="C96" s="841">
        <f>13447475+835000+16099000+50000+52909601+3082677+6787092+2456000+4504030+871220+397000+194467+34163000+50473064+34200000+3285067+156511+9000000+563000+17207888+2681000+3300000+17042731+48545760+500000+381000+44100-8245+178500-37621053+63500+77000+8564000+45720</f>
        <v>294476105</v>
      </c>
      <c r="D96" s="576" t="e">
        <f>'9.1.1. sz. mell. '!C96+#REF!</f>
        <v>#REF!</v>
      </c>
      <c r="E96" s="578" t="e">
        <f t="shared" si="4"/>
        <v>#REF!</v>
      </c>
      <c r="F96" s="575" t="e">
        <f t="shared" si="3"/>
        <v>#REF!</v>
      </c>
    </row>
    <row r="97" spans="1:6" ht="12" customHeight="1" thickBot="1" x14ac:dyDescent="0.25">
      <c r="A97" s="256" t="s">
        <v>101</v>
      </c>
      <c r="B97" s="10" t="s">
        <v>161</v>
      </c>
      <c r="C97" s="841">
        <f>69500000+3500000+69312000</f>
        <v>142312000</v>
      </c>
      <c r="D97" s="576" t="e">
        <f>'9.1.1. sz. mell. '!C97+#REF!</f>
        <v>#REF!</v>
      </c>
      <c r="E97" s="578" t="e">
        <f t="shared" si="4"/>
        <v>#REF!</v>
      </c>
      <c r="F97" s="575" t="e">
        <f t="shared" si="3"/>
        <v>#REF!</v>
      </c>
    </row>
    <row r="98" spans="1:6" ht="12" customHeight="1" thickBot="1" x14ac:dyDescent="0.25">
      <c r="A98" s="256" t="s">
        <v>112</v>
      </c>
      <c r="B98" s="18" t="s">
        <v>162</v>
      </c>
      <c r="C98" s="312">
        <f>45183973+52959801+660000+100000+49357310+3869819</f>
        <v>152130903</v>
      </c>
      <c r="D98" s="576" t="e">
        <f>'9.1.1. sz. mell. '!C98+#REF!</f>
        <v>#REF!</v>
      </c>
      <c r="E98" s="578" t="e">
        <f t="shared" si="4"/>
        <v>#REF!</v>
      </c>
      <c r="F98" s="575" t="e">
        <f t="shared" si="3"/>
        <v>#REF!</v>
      </c>
    </row>
    <row r="99" spans="1:6" ht="12" customHeight="1" thickBot="1" x14ac:dyDescent="0.25">
      <c r="A99" s="256" t="s">
        <v>102</v>
      </c>
      <c r="B99" s="7" t="s">
        <v>536</v>
      </c>
      <c r="C99" s="312">
        <f>100000+3869819</f>
        <v>3969819</v>
      </c>
      <c r="D99" s="576" t="e">
        <f>'9.1.1. sz. mell. '!C99+#REF!</f>
        <v>#REF!</v>
      </c>
      <c r="E99" s="578" t="e">
        <f t="shared" si="4"/>
        <v>#REF!</v>
      </c>
      <c r="F99" s="575" t="e">
        <f t="shared" si="3"/>
        <v>#REF!</v>
      </c>
    </row>
    <row r="100" spans="1:6" ht="12" customHeight="1" thickBot="1" x14ac:dyDescent="0.25">
      <c r="A100" s="256" t="s">
        <v>103</v>
      </c>
      <c r="B100" s="89" t="s">
        <v>484</v>
      </c>
      <c r="C100" s="312"/>
      <c r="D100" s="576" t="e">
        <f>'9.1.1. sz. mell. '!C100+#REF!</f>
        <v>#REF!</v>
      </c>
      <c r="E100" s="578" t="e">
        <f t="shared" si="4"/>
        <v>#REF!</v>
      </c>
      <c r="F100" s="575" t="e">
        <f t="shared" si="3"/>
        <v>#REF!</v>
      </c>
    </row>
    <row r="101" spans="1:6" ht="12" customHeight="1" thickBot="1" x14ac:dyDescent="0.25">
      <c r="A101" s="256" t="s">
        <v>113</v>
      </c>
      <c r="B101" s="89" t="s">
        <v>485</v>
      </c>
      <c r="C101" s="312"/>
      <c r="D101" s="576" t="e">
        <f>'9.1.1. sz. mell. '!C101+#REF!</f>
        <v>#REF!</v>
      </c>
      <c r="E101" s="578" t="e">
        <f t="shared" si="4"/>
        <v>#REF!</v>
      </c>
      <c r="F101" s="575" t="e">
        <f t="shared" si="3"/>
        <v>#REF!</v>
      </c>
    </row>
    <row r="102" spans="1:6" ht="12" customHeight="1" thickBot="1" x14ac:dyDescent="0.25">
      <c r="A102" s="256" t="s">
        <v>114</v>
      </c>
      <c r="B102" s="89" t="s">
        <v>307</v>
      </c>
      <c r="C102" s="312"/>
      <c r="D102" s="576" t="e">
        <f>'9.1.1. sz. mell. '!C102+#REF!</f>
        <v>#REF!</v>
      </c>
      <c r="E102" s="578" t="e">
        <f t="shared" si="4"/>
        <v>#REF!</v>
      </c>
      <c r="F102" s="575" t="e">
        <f t="shared" si="3"/>
        <v>#REF!</v>
      </c>
    </row>
    <row r="103" spans="1:6" ht="12" customHeight="1" thickBot="1" x14ac:dyDescent="0.25">
      <c r="A103" s="256" t="s">
        <v>115</v>
      </c>
      <c r="B103" s="90" t="s">
        <v>308</v>
      </c>
      <c r="C103" s="312"/>
      <c r="D103" s="576" t="e">
        <f>'9.1.1. sz. mell. '!C103+#REF!</f>
        <v>#REF!</v>
      </c>
      <c r="E103" s="578" t="e">
        <f t="shared" si="4"/>
        <v>#REF!</v>
      </c>
      <c r="F103" s="575" t="e">
        <f t="shared" si="3"/>
        <v>#REF!</v>
      </c>
    </row>
    <row r="104" spans="1:6" ht="12" customHeight="1" thickBot="1" x14ac:dyDescent="0.25">
      <c r="A104" s="256" t="s">
        <v>116</v>
      </c>
      <c r="B104" s="90" t="s">
        <v>309</v>
      </c>
      <c r="C104" s="312"/>
      <c r="D104" s="576" t="e">
        <f>'9.1.1. sz. mell. '!C104+#REF!</f>
        <v>#REF!</v>
      </c>
      <c r="E104" s="578" t="e">
        <f t="shared" si="4"/>
        <v>#REF!</v>
      </c>
      <c r="F104" s="575" t="e">
        <f t="shared" si="3"/>
        <v>#REF!</v>
      </c>
    </row>
    <row r="105" spans="1:6" ht="12" customHeight="1" thickBot="1" x14ac:dyDescent="0.25">
      <c r="A105" s="256" t="s">
        <v>118</v>
      </c>
      <c r="B105" s="89" t="s">
        <v>310</v>
      </c>
      <c r="C105" s="312">
        <f>660000</f>
        <v>660000</v>
      </c>
      <c r="D105" s="576" t="e">
        <f>'9.1.1. sz. mell. '!C105+#REF!</f>
        <v>#REF!</v>
      </c>
      <c r="E105" s="578" t="e">
        <f t="shared" si="4"/>
        <v>#REF!</v>
      </c>
      <c r="F105" s="575" t="e">
        <f t="shared" si="3"/>
        <v>#REF!</v>
      </c>
    </row>
    <row r="106" spans="1:6" ht="12" customHeight="1" thickBot="1" x14ac:dyDescent="0.25">
      <c r="A106" s="256" t="s">
        <v>163</v>
      </c>
      <c r="B106" s="89" t="s">
        <v>311</v>
      </c>
      <c r="C106" s="312"/>
      <c r="D106" s="576" t="e">
        <f>'9.1.1. sz. mell. '!C106+#REF!</f>
        <v>#REF!</v>
      </c>
      <c r="E106" s="578" t="e">
        <f t="shared" si="4"/>
        <v>#REF!</v>
      </c>
      <c r="F106" s="575" t="e">
        <f t="shared" si="3"/>
        <v>#REF!</v>
      </c>
    </row>
    <row r="107" spans="1:6" ht="12" customHeight="1" thickBot="1" x14ac:dyDescent="0.25">
      <c r="A107" s="256" t="s">
        <v>305</v>
      </c>
      <c r="B107" s="90" t="s">
        <v>312</v>
      </c>
      <c r="C107" s="312"/>
      <c r="D107" s="576" t="e">
        <f>'9.1.1. sz. mell. '!C107+#REF!</f>
        <v>#REF!</v>
      </c>
      <c r="E107" s="578" t="e">
        <f t="shared" si="4"/>
        <v>#REF!</v>
      </c>
      <c r="F107" s="575" t="e">
        <f t="shared" si="3"/>
        <v>#REF!</v>
      </c>
    </row>
    <row r="108" spans="1:6" ht="12" customHeight="1" thickBot="1" x14ac:dyDescent="0.25">
      <c r="A108" s="264" t="s">
        <v>306</v>
      </c>
      <c r="B108" s="91" t="s">
        <v>313</v>
      </c>
      <c r="C108" s="312"/>
      <c r="D108" s="576" t="e">
        <f>'9.1.1. sz. mell. '!C108+#REF!</f>
        <v>#REF!</v>
      </c>
      <c r="E108" s="578" t="e">
        <f t="shared" si="4"/>
        <v>#REF!</v>
      </c>
      <c r="F108" s="575" t="e">
        <f t="shared" si="3"/>
        <v>#REF!</v>
      </c>
    </row>
    <row r="109" spans="1:6" ht="12" customHeight="1" thickBot="1" x14ac:dyDescent="0.25">
      <c r="A109" s="256" t="s">
        <v>486</v>
      </c>
      <c r="B109" s="91" t="s">
        <v>314</v>
      </c>
      <c r="C109" s="312"/>
      <c r="D109" s="576" t="e">
        <f>'9.1.1. sz. mell. '!C109+#REF!</f>
        <v>#REF!</v>
      </c>
      <c r="E109" s="578" t="e">
        <f t="shared" si="4"/>
        <v>#REF!</v>
      </c>
      <c r="F109" s="575" t="e">
        <f t="shared" si="3"/>
        <v>#REF!</v>
      </c>
    </row>
    <row r="110" spans="1:6" ht="12" customHeight="1" thickBot="1" x14ac:dyDescent="0.25">
      <c r="A110" s="256" t="s">
        <v>487</v>
      </c>
      <c r="B110" s="90" t="s">
        <v>315</v>
      </c>
      <c r="C110" s="308">
        <f>5697126+16985629+22501218+52959801+660000+49357310-660000</f>
        <v>147501084</v>
      </c>
      <c r="D110" s="576" t="e">
        <f>'9.1.1. sz. mell. '!C110+#REF!</f>
        <v>#REF!</v>
      </c>
      <c r="E110" s="578" t="e">
        <f t="shared" si="4"/>
        <v>#REF!</v>
      </c>
      <c r="F110" s="575" t="e">
        <f t="shared" si="3"/>
        <v>#REF!</v>
      </c>
    </row>
    <row r="111" spans="1:6" ht="12" customHeight="1" thickBot="1" x14ac:dyDescent="0.25">
      <c r="A111" s="256" t="s">
        <v>488</v>
      </c>
      <c r="B111" s="10" t="s">
        <v>54</v>
      </c>
      <c r="C111" s="161">
        <f>C112+C113</f>
        <v>66443620</v>
      </c>
      <c r="D111" s="576" t="e">
        <f>'9.1.1. sz. mell. '!C111+#REF!</f>
        <v>#REF!</v>
      </c>
      <c r="E111" s="578" t="e">
        <f t="shared" si="4"/>
        <v>#REF!</v>
      </c>
      <c r="F111" s="575" t="e">
        <f t="shared" si="3"/>
        <v>#REF!</v>
      </c>
    </row>
    <row r="112" spans="1:6" ht="12" customHeight="1" thickBot="1" x14ac:dyDescent="0.25">
      <c r="A112" s="257" t="s">
        <v>489</v>
      </c>
      <c r="B112" s="7" t="s">
        <v>537</v>
      </c>
      <c r="C112" s="841">
        <f>15000000-21705-8451320+266142</f>
        <v>6793117</v>
      </c>
      <c r="D112" s="576" t="e">
        <f>'9.1.1. sz. mell. '!C112+#REF!</f>
        <v>#REF!</v>
      </c>
      <c r="E112" s="578" t="e">
        <f t="shared" si="4"/>
        <v>#REF!</v>
      </c>
      <c r="F112" s="575" t="e">
        <f t="shared" si="3"/>
        <v>#REF!</v>
      </c>
    </row>
    <row r="113" spans="1:6" ht="12" customHeight="1" thickBot="1" x14ac:dyDescent="0.25">
      <c r="A113" s="265" t="s">
        <v>491</v>
      </c>
      <c r="B113" s="92" t="s">
        <v>538</v>
      </c>
      <c r="C113" s="869">
        <f>65846522-6946019+750000</f>
        <v>59650503</v>
      </c>
      <c r="D113" s="576" t="e">
        <f>'9.1.1. sz. mell. '!C113+#REF!</f>
        <v>#REF!</v>
      </c>
      <c r="E113" s="579" t="e">
        <f t="shared" si="4"/>
        <v>#REF!</v>
      </c>
      <c r="F113" s="575" t="e">
        <f t="shared" si="3"/>
        <v>#REF!</v>
      </c>
    </row>
    <row r="114" spans="1:6" ht="12" customHeight="1" thickBot="1" x14ac:dyDescent="0.25">
      <c r="A114" s="31" t="s">
        <v>23</v>
      </c>
      <c r="B114" s="24" t="s">
        <v>316</v>
      </c>
      <c r="C114" s="157">
        <f>+C115+C117+C119</f>
        <v>650230081</v>
      </c>
      <c r="D114" s="576" t="e">
        <f>'9.1.1. sz. mell. '!C114+#REF!</f>
        <v>#REF!</v>
      </c>
      <c r="E114" s="576" t="e">
        <f t="shared" si="4"/>
        <v>#REF!</v>
      </c>
      <c r="F114" s="575" t="e">
        <f t="shared" si="3"/>
        <v>#REF!</v>
      </c>
    </row>
    <row r="115" spans="1:6" ht="12" customHeight="1" thickBot="1" x14ac:dyDescent="0.25">
      <c r="A115" s="255" t="s">
        <v>104</v>
      </c>
      <c r="B115" s="7" t="s">
        <v>180</v>
      </c>
      <c r="C115" s="853">
        <f>359410+2345001+219008101+12873483+381000+1500000+3139585+33894811+377190+2338070+4950460+275000+20930495+5189661+457200+1422400+3000+6704583</f>
        <v>316149450</v>
      </c>
      <c r="D115" s="576" t="e">
        <f>'9.1.1. sz. mell. '!C115+#REF!</f>
        <v>#REF!</v>
      </c>
      <c r="E115" s="577" t="e">
        <f t="shared" si="4"/>
        <v>#REF!</v>
      </c>
      <c r="F115" s="575" t="e">
        <f t="shared" si="3"/>
        <v>#REF!</v>
      </c>
    </row>
    <row r="116" spans="1:6" ht="12" customHeight="1" thickBot="1" x14ac:dyDescent="0.25">
      <c r="A116" s="255" t="s">
        <v>105</v>
      </c>
      <c r="B116" s="11" t="s">
        <v>320</v>
      </c>
      <c r="C116" s="853">
        <f>12873483+33259811+218246101+20930495+1187993+6704583</f>
        <v>293202466</v>
      </c>
      <c r="D116" s="576" t="e">
        <f>'9.1.1. sz. mell. '!C116+#REF!</f>
        <v>#REF!</v>
      </c>
      <c r="E116" s="578" t="e">
        <f t="shared" si="4"/>
        <v>#REF!</v>
      </c>
      <c r="F116" s="575" t="e">
        <f t="shared" si="3"/>
        <v>#REF!</v>
      </c>
    </row>
    <row r="117" spans="1:6" ht="12" customHeight="1" thickBot="1" x14ac:dyDescent="0.25">
      <c r="A117" s="255" t="s">
        <v>106</v>
      </c>
      <c r="B117" s="11" t="s">
        <v>164</v>
      </c>
      <c r="C117" s="840">
        <f>180701362+1500000+37902555+48165993</f>
        <v>268269910</v>
      </c>
      <c r="D117" s="576" t="e">
        <f>'9.1.1. sz. mell. '!C117+#REF!</f>
        <v>#REF!</v>
      </c>
      <c r="E117" s="578" t="e">
        <f t="shared" si="4"/>
        <v>#REF!</v>
      </c>
      <c r="F117" s="575" t="e">
        <f t="shared" si="3"/>
        <v>#REF!</v>
      </c>
    </row>
    <row r="118" spans="1:6" ht="12" customHeight="1" thickBot="1" x14ac:dyDescent="0.25">
      <c r="A118" s="255" t="s">
        <v>107</v>
      </c>
      <c r="B118" s="11" t="s">
        <v>321</v>
      </c>
      <c r="C118" s="840">
        <f>146098020+36509260+48165993</f>
        <v>230773273</v>
      </c>
      <c r="D118" s="576" t="e">
        <f>'9.1.1. sz. mell. '!C118+#REF!</f>
        <v>#REF!</v>
      </c>
      <c r="E118" s="578" t="e">
        <f t="shared" si="4"/>
        <v>#REF!</v>
      </c>
      <c r="F118" s="575" t="e">
        <f t="shared" si="3"/>
        <v>#REF!</v>
      </c>
    </row>
    <row r="119" spans="1:6" ht="12" customHeight="1" thickBot="1" x14ac:dyDescent="0.25">
      <c r="A119" s="255" t="s">
        <v>108</v>
      </c>
      <c r="B119" s="154" t="s">
        <v>182</v>
      </c>
      <c r="C119" s="840">
        <f>65710721+100000</f>
        <v>65810721</v>
      </c>
      <c r="D119" s="576" t="e">
        <f>'9.1.1. sz. mell. '!C119+#REF!</f>
        <v>#REF!</v>
      </c>
      <c r="E119" s="578" t="e">
        <f t="shared" si="4"/>
        <v>#REF!</v>
      </c>
      <c r="F119" s="575" t="e">
        <f t="shared" si="3"/>
        <v>#REF!</v>
      </c>
    </row>
    <row r="120" spans="1:6" ht="12" customHeight="1" thickBot="1" x14ac:dyDescent="0.25">
      <c r="A120" s="255" t="s">
        <v>117</v>
      </c>
      <c r="B120" s="153" t="s">
        <v>383</v>
      </c>
      <c r="C120" s="308"/>
      <c r="D120" s="576" t="e">
        <f>'9.1.1. sz. mell. '!C120+#REF!</f>
        <v>#REF!</v>
      </c>
      <c r="E120" s="578" t="e">
        <f t="shared" si="4"/>
        <v>#REF!</v>
      </c>
      <c r="F120" s="575" t="e">
        <f t="shared" si="3"/>
        <v>#REF!</v>
      </c>
    </row>
    <row r="121" spans="1:6" ht="12" customHeight="1" thickBot="1" x14ac:dyDescent="0.25">
      <c r="A121" s="255" t="s">
        <v>119</v>
      </c>
      <c r="B121" s="237" t="s">
        <v>326</v>
      </c>
      <c r="C121" s="145"/>
      <c r="D121" s="576" t="e">
        <f>'9.1.1. sz. mell. '!C121+#REF!</f>
        <v>#REF!</v>
      </c>
      <c r="E121" s="578" t="e">
        <f t="shared" si="4"/>
        <v>#REF!</v>
      </c>
      <c r="F121" s="575" t="e">
        <f t="shared" si="3"/>
        <v>#REF!</v>
      </c>
    </row>
    <row r="122" spans="1:6" ht="12" customHeight="1" thickBot="1" x14ac:dyDescent="0.25">
      <c r="A122" s="255" t="s">
        <v>165</v>
      </c>
      <c r="B122" s="90" t="s">
        <v>309</v>
      </c>
      <c r="C122" s="145"/>
      <c r="D122" s="576" t="e">
        <f>'9.1.1. sz. mell. '!C122+#REF!</f>
        <v>#REF!</v>
      </c>
      <c r="E122" s="578" t="e">
        <f t="shared" si="4"/>
        <v>#REF!</v>
      </c>
      <c r="F122" s="575" t="e">
        <f t="shared" si="3"/>
        <v>#REF!</v>
      </c>
    </row>
    <row r="123" spans="1:6" ht="12" customHeight="1" thickBot="1" x14ac:dyDescent="0.25">
      <c r="A123" s="255" t="s">
        <v>166</v>
      </c>
      <c r="B123" s="90" t="s">
        <v>325</v>
      </c>
      <c r="C123" s="145"/>
      <c r="D123" s="576" t="e">
        <f>'9.1.1. sz. mell. '!C123+#REF!</f>
        <v>#REF!</v>
      </c>
      <c r="E123" s="578" t="e">
        <f t="shared" si="4"/>
        <v>#REF!</v>
      </c>
      <c r="F123" s="575" t="e">
        <f t="shared" si="3"/>
        <v>#REF!</v>
      </c>
    </row>
    <row r="124" spans="1:6" ht="12" customHeight="1" thickBot="1" x14ac:dyDescent="0.25">
      <c r="A124" s="255" t="s">
        <v>167</v>
      </c>
      <c r="B124" s="90" t="s">
        <v>324</v>
      </c>
      <c r="C124" s="145"/>
      <c r="D124" s="576" t="e">
        <f>'9.1.1. sz. mell. '!C124+#REF!</f>
        <v>#REF!</v>
      </c>
      <c r="E124" s="578" t="e">
        <f t="shared" si="4"/>
        <v>#REF!</v>
      </c>
      <c r="F124" s="575" t="e">
        <f t="shared" si="3"/>
        <v>#REF!</v>
      </c>
    </row>
    <row r="125" spans="1:6" ht="12" customHeight="1" thickBot="1" x14ac:dyDescent="0.25">
      <c r="A125" s="255" t="s">
        <v>317</v>
      </c>
      <c r="B125" s="90" t="s">
        <v>312</v>
      </c>
      <c r="C125" s="145"/>
      <c r="D125" s="576" t="e">
        <f>'9.1.1. sz. mell. '!C125+#REF!</f>
        <v>#REF!</v>
      </c>
      <c r="E125" s="578" t="e">
        <f t="shared" si="4"/>
        <v>#REF!</v>
      </c>
      <c r="F125" s="575" t="e">
        <f t="shared" si="3"/>
        <v>#REF!</v>
      </c>
    </row>
    <row r="126" spans="1:6" ht="12" customHeight="1" thickBot="1" x14ac:dyDescent="0.25">
      <c r="A126" s="255" t="s">
        <v>318</v>
      </c>
      <c r="B126" s="90" t="s">
        <v>323</v>
      </c>
      <c r="C126" s="145"/>
      <c r="D126" s="576" t="e">
        <f>'9.1.1. sz. mell. '!C126+#REF!</f>
        <v>#REF!</v>
      </c>
      <c r="E126" s="578" t="e">
        <f t="shared" si="4"/>
        <v>#REF!</v>
      </c>
      <c r="F126" s="575" t="e">
        <f t="shared" si="3"/>
        <v>#REF!</v>
      </c>
    </row>
    <row r="127" spans="1:6" ht="12" customHeight="1" thickBot="1" x14ac:dyDescent="0.25">
      <c r="A127" s="264" t="s">
        <v>319</v>
      </c>
      <c r="B127" s="90" t="s">
        <v>322</v>
      </c>
      <c r="C127" s="841">
        <f>65710721+100000</f>
        <v>65810721</v>
      </c>
      <c r="D127" s="576" t="e">
        <f>'9.1.1. sz. mell. '!C127+#REF!</f>
        <v>#REF!</v>
      </c>
      <c r="E127" s="579" t="e">
        <f t="shared" si="4"/>
        <v>#REF!</v>
      </c>
      <c r="F127" s="575" t="e">
        <f t="shared" si="3"/>
        <v>#REF!</v>
      </c>
    </row>
    <row r="128" spans="1:6" ht="12" customHeight="1" thickBot="1" x14ac:dyDescent="0.25">
      <c r="A128" s="31" t="s">
        <v>24</v>
      </c>
      <c r="B128" s="85" t="s">
        <v>493</v>
      </c>
      <c r="C128" s="157">
        <f>+C93+C114</f>
        <v>1372002198</v>
      </c>
      <c r="D128" s="576" t="e">
        <f>'9.1.1. sz. mell. '!C128+#REF!</f>
        <v>#REF!</v>
      </c>
      <c r="E128" s="576" t="e">
        <f t="shared" si="4"/>
        <v>#REF!</v>
      </c>
      <c r="F128" s="575" t="e">
        <f t="shared" si="3"/>
        <v>#REF!</v>
      </c>
    </row>
    <row r="129" spans="1:9" ht="12" customHeight="1" thickBot="1" x14ac:dyDescent="0.25">
      <c r="A129" s="31" t="s">
        <v>25</v>
      </c>
      <c r="B129" s="85" t="s">
        <v>494</v>
      </c>
      <c r="C129" s="157">
        <f>+C130+C131+C132</f>
        <v>108486704</v>
      </c>
      <c r="D129" s="576" t="e">
        <f>'9.1.1. sz. mell. '!C129+#REF!</f>
        <v>#REF!</v>
      </c>
      <c r="E129" s="576" t="e">
        <f t="shared" si="4"/>
        <v>#REF!</v>
      </c>
      <c r="F129" s="575" t="e">
        <f t="shared" si="3"/>
        <v>#REF!</v>
      </c>
    </row>
    <row r="130" spans="1:9" s="66" customFormat="1" ht="12" customHeight="1" thickBot="1" x14ac:dyDescent="0.25">
      <c r="A130" s="255" t="s">
        <v>217</v>
      </c>
      <c r="B130" s="8" t="s">
        <v>539</v>
      </c>
      <c r="C130" s="308">
        <f>4042704+4444000</f>
        <v>8486704</v>
      </c>
      <c r="D130" s="576" t="e">
        <f>'9.1.1. sz. mell. '!C130+#REF!</f>
        <v>#REF!</v>
      </c>
      <c r="E130" s="577" t="e">
        <f t="shared" si="4"/>
        <v>#REF!</v>
      </c>
      <c r="F130" s="575" t="e">
        <f t="shared" si="3"/>
        <v>#REF!</v>
      </c>
    </row>
    <row r="131" spans="1:9" ht="12" customHeight="1" thickBot="1" x14ac:dyDescent="0.25">
      <c r="A131" s="255" t="s">
        <v>220</v>
      </c>
      <c r="B131" s="8" t="s">
        <v>496</v>
      </c>
      <c r="C131" s="145">
        <v>100000000</v>
      </c>
      <c r="D131" s="576" t="e">
        <f>'9.1.1. sz. mell. '!C131+#REF!</f>
        <v>#REF!</v>
      </c>
      <c r="E131" s="578" t="e">
        <f t="shared" si="4"/>
        <v>#REF!</v>
      </c>
      <c r="F131" s="575" t="e">
        <f t="shared" si="3"/>
        <v>#REF!</v>
      </c>
    </row>
    <row r="132" spans="1:9" ht="12" customHeight="1" thickBot="1" x14ac:dyDescent="0.25">
      <c r="A132" s="264" t="s">
        <v>221</v>
      </c>
      <c r="B132" s="6" t="s">
        <v>540</v>
      </c>
      <c r="C132" s="145"/>
      <c r="D132" s="576" t="e">
        <f>'9.1.1. sz. mell. '!C132+#REF!</f>
        <v>#REF!</v>
      </c>
      <c r="E132" s="579" t="e">
        <f t="shared" si="4"/>
        <v>#REF!</v>
      </c>
      <c r="F132" s="575" t="e">
        <f t="shared" si="3"/>
        <v>#REF!</v>
      </c>
    </row>
    <row r="133" spans="1:9" ht="12" customHeight="1" thickBot="1" x14ac:dyDescent="0.25">
      <c r="A133" s="31" t="s">
        <v>26</v>
      </c>
      <c r="B133" s="85" t="s">
        <v>498</v>
      </c>
      <c r="C133" s="157">
        <f>+C134+C135+C136+C137+C138+C139</f>
        <v>0</v>
      </c>
      <c r="D133" s="576" t="e">
        <f>'9.1.1. sz. mell. '!C133+#REF!</f>
        <v>#REF!</v>
      </c>
      <c r="E133" s="576" t="e">
        <f t="shared" si="4"/>
        <v>#REF!</v>
      </c>
      <c r="F133" s="575" t="e">
        <f t="shared" si="3"/>
        <v>#REF!</v>
      </c>
    </row>
    <row r="134" spans="1:9" ht="12" customHeight="1" thickBot="1" x14ac:dyDescent="0.25">
      <c r="A134" s="255" t="s">
        <v>91</v>
      </c>
      <c r="B134" s="8" t="s">
        <v>499</v>
      </c>
      <c r="C134" s="145"/>
      <c r="D134" s="576" t="e">
        <f>'9.1.1. sz. mell. '!C134+#REF!</f>
        <v>#REF!</v>
      </c>
      <c r="E134" s="577" t="e">
        <f t="shared" si="4"/>
        <v>#REF!</v>
      </c>
      <c r="F134" s="575" t="e">
        <f t="shared" si="3"/>
        <v>#REF!</v>
      </c>
    </row>
    <row r="135" spans="1:9" ht="12" customHeight="1" thickBot="1" x14ac:dyDescent="0.25">
      <c r="A135" s="255" t="s">
        <v>92</v>
      </c>
      <c r="B135" s="8" t="s">
        <v>500</v>
      </c>
      <c r="C135" s="145"/>
      <c r="D135" s="576" t="e">
        <f>'9.1.1. sz. mell. '!C135+#REF!</f>
        <v>#REF!</v>
      </c>
      <c r="E135" s="578" t="e">
        <f t="shared" si="4"/>
        <v>#REF!</v>
      </c>
      <c r="F135" s="575" t="e">
        <f t="shared" si="3"/>
        <v>#REF!</v>
      </c>
    </row>
    <row r="136" spans="1:9" ht="12" customHeight="1" thickBot="1" x14ac:dyDescent="0.25">
      <c r="A136" s="255" t="s">
        <v>93</v>
      </c>
      <c r="B136" s="8" t="s">
        <v>501</v>
      </c>
      <c r="C136" s="145"/>
      <c r="D136" s="576" t="e">
        <f>'9.1.1. sz. mell. '!C136+#REF!</f>
        <v>#REF!</v>
      </c>
      <c r="E136" s="578" t="e">
        <f t="shared" si="4"/>
        <v>#REF!</v>
      </c>
      <c r="F136" s="575" t="e">
        <f t="shared" si="3"/>
        <v>#REF!</v>
      </c>
    </row>
    <row r="137" spans="1:9" ht="12" customHeight="1" thickBot="1" x14ac:dyDescent="0.25">
      <c r="A137" s="255" t="s">
        <v>152</v>
      </c>
      <c r="B137" s="8" t="s">
        <v>541</v>
      </c>
      <c r="C137" s="145"/>
      <c r="D137" s="576" t="e">
        <f>'9.1.1. sz. mell. '!C137+#REF!</f>
        <v>#REF!</v>
      </c>
      <c r="E137" s="578" t="e">
        <f t="shared" si="4"/>
        <v>#REF!</v>
      </c>
      <c r="F137" s="575" t="e">
        <f t="shared" ref="F137:F158" si="5">C137-D137</f>
        <v>#REF!</v>
      </c>
    </row>
    <row r="138" spans="1:9" ht="12" customHeight="1" thickBot="1" x14ac:dyDescent="0.25">
      <c r="A138" s="255" t="s">
        <v>153</v>
      </c>
      <c r="B138" s="8" t="s">
        <v>503</v>
      </c>
      <c r="C138" s="145"/>
      <c r="D138" s="576" t="e">
        <f>'9.1.1. sz. mell. '!C138+#REF!</f>
        <v>#REF!</v>
      </c>
      <c r="E138" s="578" t="e">
        <f t="shared" si="4"/>
        <v>#REF!</v>
      </c>
      <c r="F138" s="575" t="e">
        <f t="shared" si="5"/>
        <v>#REF!</v>
      </c>
    </row>
    <row r="139" spans="1:9" s="66" customFormat="1" ht="12" customHeight="1" thickBot="1" x14ac:dyDescent="0.25">
      <c r="A139" s="264" t="s">
        <v>154</v>
      </c>
      <c r="B139" s="6" t="s">
        <v>504</v>
      </c>
      <c r="C139" s="145"/>
      <c r="D139" s="576" t="e">
        <f>'9.1.1. sz. mell. '!C139+#REF!</f>
        <v>#REF!</v>
      </c>
      <c r="E139" s="579" t="e">
        <f t="shared" si="4"/>
        <v>#REF!</v>
      </c>
      <c r="F139" s="575" t="e">
        <f t="shared" si="5"/>
        <v>#REF!</v>
      </c>
    </row>
    <row r="140" spans="1:9" ht="12" customHeight="1" thickBot="1" x14ac:dyDescent="0.25">
      <c r="A140" s="31" t="s">
        <v>27</v>
      </c>
      <c r="B140" s="85" t="s">
        <v>542</v>
      </c>
      <c r="C140" s="162">
        <f>+C141+C142+C144+C145+C143</f>
        <v>38167591</v>
      </c>
      <c r="D140" s="576" t="e">
        <f>'9.1.1. sz. mell. '!C140+#REF!</f>
        <v>#REF!</v>
      </c>
      <c r="E140" s="576" t="e">
        <f t="shared" si="4"/>
        <v>#REF!</v>
      </c>
      <c r="F140" s="575" t="e">
        <f t="shared" si="5"/>
        <v>#REF!</v>
      </c>
      <c r="I140" s="144"/>
    </row>
    <row r="141" spans="1:9" ht="13.5" thickBot="1" x14ac:dyDescent="0.25">
      <c r="A141" s="255" t="s">
        <v>94</v>
      </c>
      <c r="B141" s="8" t="s">
        <v>327</v>
      </c>
      <c r="C141" s="145"/>
      <c r="D141" s="576" t="e">
        <f>'9.1.1. sz. mell. '!C141+#REF!</f>
        <v>#REF!</v>
      </c>
      <c r="E141" s="577" t="e">
        <f t="shared" si="4"/>
        <v>#REF!</v>
      </c>
      <c r="F141" s="575" t="e">
        <f t="shared" si="5"/>
        <v>#REF!</v>
      </c>
    </row>
    <row r="142" spans="1:9" ht="12" customHeight="1" thickBot="1" x14ac:dyDescent="0.25">
      <c r="A142" s="255" t="s">
        <v>95</v>
      </c>
      <c r="B142" s="8" t="s">
        <v>328</v>
      </c>
      <c r="C142" s="145">
        <v>38167591</v>
      </c>
      <c r="D142" s="576" t="e">
        <f>'9.1.1. sz. mell. '!C142+#REF!</f>
        <v>#REF!</v>
      </c>
      <c r="E142" s="578" t="e">
        <f t="shared" si="4"/>
        <v>#REF!</v>
      </c>
      <c r="F142" s="575" t="e">
        <f t="shared" si="5"/>
        <v>#REF!</v>
      </c>
    </row>
    <row r="143" spans="1:9" ht="12" customHeight="1" thickBot="1" x14ac:dyDescent="0.25">
      <c r="A143" s="255" t="s">
        <v>241</v>
      </c>
      <c r="B143" s="8" t="s">
        <v>543</v>
      </c>
      <c r="C143" s="145"/>
      <c r="D143" s="576" t="e">
        <f>'9.1.1. sz. mell. '!C143+#REF!</f>
        <v>#REF!</v>
      </c>
      <c r="E143" s="578" t="e">
        <f t="shared" si="4"/>
        <v>#REF!</v>
      </c>
      <c r="F143" s="575" t="e">
        <f t="shared" si="5"/>
        <v>#REF!</v>
      </c>
    </row>
    <row r="144" spans="1:9" s="66" customFormat="1" ht="12" customHeight="1" thickBot="1" x14ac:dyDescent="0.25">
      <c r="A144" s="255" t="s">
        <v>242</v>
      </c>
      <c r="B144" s="8" t="s">
        <v>506</v>
      </c>
      <c r="C144" s="145"/>
      <c r="D144" s="576" t="e">
        <f>'9.1.1. sz. mell. '!C144+#REF!</f>
        <v>#REF!</v>
      </c>
      <c r="E144" s="578" t="e">
        <f t="shared" si="4"/>
        <v>#REF!</v>
      </c>
      <c r="F144" s="575" t="e">
        <f t="shared" si="5"/>
        <v>#REF!</v>
      </c>
    </row>
    <row r="145" spans="1:6" s="66" customFormat="1" ht="12" customHeight="1" thickBot="1" x14ac:dyDescent="0.25">
      <c r="A145" s="264" t="s">
        <v>243</v>
      </c>
      <c r="B145" s="6" t="s">
        <v>346</v>
      </c>
      <c r="C145" s="145"/>
      <c r="D145" s="576" t="e">
        <f>'9.1.1. sz. mell. '!C145+#REF!</f>
        <v>#REF!</v>
      </c>
      <c r="E145" s="579" t="e">
        <f t="shared" si="4"/>
        <v>#REF!</v>
      </c>
      <c r="F145" s="575" t="e">
        <f t="shared" si="5"/>
        <v>#REF!</v>
      </c>
    </row>
    <row r="146" spans="1:6" s="66" customFormat="1" ht="12" customHeight="1" thickBot="1" x14ac:dyDescent="0.25">
      <c r="A146" s="31" t="s">
        <v>28</v>
      </c>
      <c r="B146" s="85" t="s">
        <v>507</v>
      </c>
      <c r="C146" s="165">
        <f>+C147+C148+C149+C150+C151</f>
        <v>0</v>
      </c>
      <c r="D146" s="576" t="e">
        <f>'9.1.1. sz. mell. '!C146+#REF!</f>
        <v>#REF!</v>
      </c>
      <c r="E146" s="576" t="e">
        <f t="shared" si="4"/>
        <v>#REF!</v>
      </c>
      <c r="F146" s="575" t="e">
        <f t="shared" si="5"/>
        <v>#REF!</v>
      </c>
    </row>
    <row r="147" spans="1:6" s="66" customFormat="1" ht="12" customHeight="1" thickBot="1" x14ac:dyDescent="0.25">
      <c r="A147" s="255" t="s">
        <v>96</v>
      </c>
      <c r="B147" s="8" t="s">
        <v>508</v>
      </c>
      <c r="C147" s="145"/>
      <c r="D147" s="576" t="e">
        <f>'9.1.1. sz. mell. '!C147+#REF!</f>
        <v>#REF!</v>
      </c>
      <c r="E147" s="577" t="e">
        <f t="shared" si="4"/>
        <v>#REF!</v>
      </c>
      <c r="F147" s="575" t="e">
        <f t="shared" si="5"/>
        <v>#REF!</v>
      </c>
    </row>
    <row r="148" spans="1:6" s="66" customFormat="1" ht="12" customHeight="1" thickBot="1" x14ac:dyDescent="0.25">
      <c r="A148" s="255" t="s">
        <v>97</v>
      </c>
      <c r="B148" s="8" t="s">
        <v>509</v>
      </c>
      <c r="C148" s="145"/>
      <c r="D148" s="576" t="e">
        <f>'9.1.1. sz. mell. '!C148+#REF!</f>
        <v>#REF!</v>
      </c>
      <c r="E148" s="578" t="e">
        <f t="shared" si="4"/>
        <v>#REF!</v>
      </c>
      <c r="F148" s="575" t="e">
        <f t="shared" si="5"/>
        <v>#REF!</v>
      </c>
    </row>
    <row r="149" spans="1:6" s="66" customFormat="1" ht="12" customHeight="1" thickBot="1" x14ac:dyDescent="0.25">
      <c r="A149" s="255" t="s">
        <v>253</v>
      </c>
      <c r="B149" s="8" t="s">
        <v>510</v>
      </c>
      <c r="C149" s="145"/>
      <c r="D149" s="576" t="e">
        <f>'9.1.1. sz. mell. '!C149+#REF!</f>
        <v>#REF!</v>
      </c>
      <c r="E149" s="578" t="e">
        <f t="shared" si="4"/>
        <v>#REF!</v>
      </c>
      <c r="F149" s="575" t="e">
        <f t="shared" si="5"/>
        <v>#REF!</v>
      </c>
    </row>
    <row r="150" spans="1:6" s="66" customFormat="1" ht="12" customHeight="1" thickBot="1" x14ac:dyDescent="0.25">
      <c r="A150" s="255" t="s">
        <v>254</v>
      </c>
      <c r="B150" s="8" t="s">
        <v>544</v>
      </c>
      <c r="C150" s="145"/>
      <c r="D150" s="576" t="e">
        <f>'9.1.1. sz. mell. '!C150+#REF!</f>
        <v>#REF!</v>
      </c>
      <c r="E150" s="578" t="e">
        <f t="shared" si="4"/>
        <v>#REF!</v>
      </c>
      <c r="F150" s="575" t="e">
        <f t="shared" si="5"/>
        <v>#REF!</v>
      </c>
    </row>
    <row r="151" spans="1:6" ht="12.75" customHeight="1" thickBot="1" x14ac:dyDescent="0.25">
      <c r="A151" s="264" t="s">
        <v>512</v>
      </c>
      <c r="B151" s="6" t="s">
        <v>513</v>
      </c>
      <c r="C151" s="146"/>
      <c r="D151" s="576" t="e">
        <f>'9.1.1. sz. mell. '!C151+#REF!</f>
        <v>#REF!</v>
      </c>
      <c r="E151" s="579" t="e">
        <f t="shared" si="4"/>
        <v>#REF!</v>
      </c>
      <c r="F151" s="575" t="e">
        <f t="shared" si="5"/>
        <v>#REF!</v>
      </c>
    </row>
    <row r="152" spans="1:6" ht="12.75" customHeight="1" thickBot="1" x14ac:dyDescent="0.25">
      <c r="A152" s="305" t="s">
        <v>29</v>
      </c>
      <c r="B152" s="85" t="s">
        <v>514</v>
      </c>
      <c r="C152" s="165"/>
      <c r="D152" s="576" t="e">
        <f>'9.1.1. sz. mell. '!C152+#REF!</f>
        <v>#REF!</v>
      </c>
      <c r="E152" s="576" t="e">
        <f t="shared" si="4"/>
        <v>#REF!</v>
      </c>
      <c r="F152" s="575" t="e">
        <f t="shared" si="5"/>
        <v>#REF!</v>
      </c>
    </row>
    <row r="153" spans="1:6" ht="12.75" customHeight="1" thickBot="1" x14ac:dyDescent="0.25">
      <c r="A153" s="305" t="s">
        <v>30</v>
      </c>
      <c r="B153" s="85" t="s">
        <v>515</v>
      </c>
      <c r="C153" s="165"/>
      <c r="D153" s="576" t="e">
        <f>'9.1.1. sz. mell. '!C153+#REF!</f>
        <v>#REF!</v>
      </c>
      <c r="E153" s="580" t="e">
        <f t="shared" si="4"/>
        <v>#REF!</v>
      </c>
      <c r="F153" s="575" t="e">
        <f t="shared" si="5"/>
        <v>#REF!</v>
      </c>
    </row>
    <row r="154" spans="1:6" ht="12" customHeight="1" thickBot="1" x14ac:dyDescent="0.25">
      <c r="A154" s="31" t="s">
        <v>31</v>
      </c>
      <c r="B154" s="85" t="s">
        <v>516</v>
      </c>
      <c r="C154" s="251">
        <f>+C129+C133+C140+C146+C152+C153</f>
        <v>146654295</v>
      </c>
      <c r="D154" s="576" t="e">
        <f>'9.1.1. sz. mell. '!C154+#REF!</f>
        <v>#REF!</v>
      </c>
      <c r="E154" s="576" t="e">
        <f t="shared" si="4"/>
        <v>#REF!</v>
      </c>
      <c r="F154" s="575" t="e">
        <f t="shared" si="5"/>
        <v>#REF!</v>
      </c>
    </row>
    <row r="155" spans="1:6" ht="15" customHeight="1" thickBot="1" x14ac:dyDescent="0.25">
      <c r="A155" s="266" t="s">
        <v>32</v>
      </c>
      <c r="B155" s="226" t="s">
        <v>517</v>
      </c>
      <c r="C155" s="251">
        <f>+C128+C154</f>
        <v>1518656493</v>
      </c>
      <c r="D155" s="576" t="e">
        <f>'9.1.1. sz. mell. '!C155+#REF!</f>
        <v>#REF!</v>
      </c>
      <c r="E155" s="576" t="e">
        <f t="shared" si="4"/>
        <v>#REF!</v>
      </c>
      <c r="F155" s="575" t="e">
        <f t="shared" si="5"/>
        <v>#REF!</v>
      </c>
    </row>
    <row r="156" spans="1:6" ht="13.5" thickBot="1" x14ac:dyDescent="0.25">
      <c r="D156" s="576" t="e">
        <f>'9.1.1. sz. mell. '!C156+#REF!</f>
        <v>#REF!</v>
      </c>
      <c r="F156" s="575" t="e">
        <f t="shared" si="5"/>
        <v>#REF!</v>
      </c>
    </row>
    <row r="157" spans="1:6" ht="15" customHeight="1" thickBot="1" x14ac:dyDescent="0.25">
      <c r="A157" s="141" t="s">
        <v>545</v>
      </c>
      <c r="B157" s="142"/>
      <c r="C157" s="84">
        <v>6</v>
      </c>
      <c r="D157" s="576" t="e">
        <f>'9.1.1. sz. mell. '!C157+#REF!</f>
        <v>#REF!</v>
      </c>
      <c r="F157" s="575" t="e">
        <f t="shared" si="5"/>
        <v>#REF!</v>
      </c>
    </row>
    <row r="158" spans="1:6" ht="14.25" customHeight="1" thickBot="1" x14ac:dyDescent="0.25">
      <c r="A158" s="141" t="s">
        <v>176</v>
      </c>
      <c r="B158" s="142"/>
      <c r="C158" s="84"/>
      <c r="D158" s="576" t="e">
        <f>'9.1.1. sz. mell. '!C158+#REF!</f>
        <v>#REF!</v>
      </c>
      <c r="F158" s="575" t="e">
        <f t="shared" si="5"/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11/2018.(V.31.)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B1" zoomScaleNormal="115" zoomScaleSheetLayoutView="85" workbookViewId="0">
      <selection activeCell="D3" sqref="D3"/>
    </sheetView>
  </sheetViews>
  <sheetFormatPr defaultRowHeight="12.75" x14ac:dyDescent="0.2"/>
  <cols>
    <col min="1" max="1" width="19.5" style="581" customWidth="1"/>
    <col min="2" max="2" width="72" style="582" customWidth="1"/>
    <col min="3" max="3" width="25" style="583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18"/>
      <c r="B1" s="120"/>
      <c r="C1" s="143"/>
    </row>
    <row r="2" spans="1:3" s="62" customFormat="1" ht="21" customHeight="1" x14ac:dyDescent="0.2">
      <c r="A2" s="231" t="s">
        <v>66</v>
      </c>
      <c r="B2" s="206" t="s">
        <v>177</v>
      </c>
      <c r="C2" s="208" t="s">
        <v>57</v>
      </c>
    </row>
    <row r="3" spans="1:3" s="62" customFormat="1" ht="16.5" thickBot="1" x14ac:dyDescent="0.25">
      <c r="A3" s="121" t="s">
        <v>173</v>
      </c>
      <c r="B3" s="207" t="s">
        <v>384</v>
      </c>
      <c r="C3" s="304" t="s">
        <v>64</v>
      </c>
    </row>
    <row r="4" spans="1:3" s="63" customFormat="1" ht="15.95" customHeight="1" thickBot="1" x14ac:dyDescent="0.3">
      <c r="A4" s="122"/>
      <c r="B4" s="122"/>
      <c r="C4" s="123" t="s">
        <v>590</v>
      </c>
    </row>
    <row r="5" spans="1:3" ht="13.5" thickBot="1" x14ac:dyDescent="0.25">
      <c r="A5" s="232" t="s">
        <v>175</v>
      </c>
      <c r="B5" s="124" t="s">
        <v>58</v>
      </c>
      <c r="C5" s="209" t="s">
        <v>59</v>
      </c>
    </row>
    <row r="6" spans="1:3" s="49" customFormat="1" ht="12.95" customHeight="1" thickBot="1" x14ac:dyDescent="0.25">
      <c r="A6" s="98" t="s">
        <v>466</v>
      </c>
      <c r="B6" s="99" t="s">
        <v>467</v>
      </c>
      <c r="C6" s="100" t="s">
        <v>468</v>
      </c>
    </row>
    <row r="7" spans="1:3" s="49" customFormat="1" ht="15.95" customHeight="1" thickBot="1" x14ac:dyDescent="0.25">
      <c r="A7" s="126"/>
      <c r="B7" s="127" t="s">
        <v>60</v>
      </c>
      <c r="C7" s="210"/>
    </row>
    <row r="8" spans="1:3" s="49" customFormat="1" ht="12" customHeight="1" thickBot="1" x14ac:dyDescent="0.25">
      <c r="A8" s="31" t="s">
        <v>22</v>
      </c>
      <c r="B8" s="20" t="s">
        <v>201</v>
      </c>
      <c r="C8" s="157">
        <f>+C9+C10+C11+C12+C13+C14</f>
        <v>1123360277</v>
      </c>
    </row>
    <row r="9" spans="1:3" s="64" customFormat="1" ht="12" customHeight="1" x14ac:dyDescent="0.2">
      <c r="A9" s="255" t="s">
        <v>98</v>
      </c>
      <c r="B9" s="241" t="s">
        <v>202</v>
      </c>
      <c r="C9" s="335">
        <v>227855923</v>
      </c>
    </row>
    <row r="10" spans="1:3" s="65" customFormat="1" ht="12" customHeight="1" x14ac:dyDescent="0.2">
      <c r="A10" s="256" t="s">
        <v>99</v>
      </c>
      <c r="B10" s="242" t="s">
        <v>203</v>
      </c>
      <c r="C10" s="308">
        <v>224734134</v>
      </c>
    </row>
    <row r="11" spans="1:3" s="65" customFormat="1" ht="12" customHeight="1" x14ac:dyDescent="0.2">
      <c r="A11" s="256" t="s">
        <v>100</v>
      </c>
      <c r="B11" s="242" t="s">
        <v>204</v>
      </c>
      <c r="C11" s="308">
        <f>126991000+65060600+192410145+62092600</f>
        <v>446554345</v>
      </c>
    </row>
    <row r="12" spans="1:3" s="65" customFormat="1" ht="12" customHeight="1" x14ac:dyDescent="0.2">
      <c r="A12" s="256" t="s">
        <v>101</v>
      </c>
      <c r="B12" s="242" t="s">
        <v>205</v>
      </c>
      <c r="C12" s="308">
        <v>16122040</v>
      </c>
    </row>
    <row r="13" spans="1:3" s="65" customFormat="1" ht="12" customHeight="1" x14ac:dyDescent="0.2">
      <c r="A13" s="256" t="s">
        <v>137</v>
      </c>
      <c r="B13" s="242" t="s">
        <v>530</v>
      </c>
      <c r="C13" s="308">
        <f>16254886+190231327+1309600+298022</f>
        <v>208093835</v>
      </c>
    </row>
    <row r="14" spans="1:3" s="64" customFormat="1" ht="12" customHeight="1" thickBot="1" x14ac:dyDescent="0.25">
      <c r="A14" s="257" t="s">
        <v>102</v>
      </c>
      <c r="B14" s="243" t="s">
        <v>470</v>
      </c>
      <c r="C14" s="161"/>
    </row>
    <row r="15" spans="1:3" s="64" customFormat="1" ht="12" customHeight="1" thickBot="1" x14ac:dyDescent="0.25">
      <c r="A15" s="31" t="s">
        <v>23</v>
      </c>
      <c r="B15" s="152" t="s">
        <v>206</v>
      </c>
      <c r="C15" s="157">
        <f>+C16+C17+C18+C19+C20</f>
        <v>114101256</v>
      </c>
    </row>
    <row r="16" spans="1:3" s="64" customFormat="1" ht="12" customHeight="1" x14ac:dyDescent="0.2">
      <c r="A16" s="255" t="s">
        <v>104</v>
      </c>
      <c r="B16" s="241" t="s">
        <v>207</v>
      </c>
      <c r="C16" s="159"/>
    </row>
    <row r="17" spans="1:3" s="64" customFormat="1" ht="12" customHeight="1" x14ac:dyDescent="0.2">
      <c r="A17" s="256" t="s">
        <v>105</v>
      </c>
      <c r="B17" s="242" t="s">
        <v>208</v>
      </c>
      <c r="C17" s="158"/>
    </row>
    <row r="18" spans="1:3" s="64" customFormat="1" ht="12" customHeight="1" x14ac:dyDescent="0.2">
      <c r="A18" s="256" t="s">
        <v>106</v>
      </c>
      <c r="B18" s="242" t="s">
        <v>377</v>
      </c>
      <c r="C18" s="161"/>
    </row>
    <row r="19" spans="1:3" s="64" customFormat="1" ht="12" customHeight="1" x14ac:dyDescent="0.2">
      <c r="A19" s="256" t="s">
        <v>107</v>
      </c>
      <c r="B19" s="242" t="s">
        <v>378</v>
      </c>
      <c r="C19" s="161"/>
    </row>
    <row r="20" spans="1:3" s="64" customFormat="1" ht="12" customHeight="1" x14ac:dyDescent="0.2">
      <c r="A20" s="256" t="s">
        <v>108</v>
      </c>
      <c r="B20" s="242" t="s">
        <v>209</v>
      </c>
      <c r="C20" s="840">
        <f>4320000+24250000+85531256</f>
        <v>114101256</v>
      </c>
    </row>
    <row r="21" spans="1:3" s="65" customFormat="1" ht="12" customHeight="1" thickBot="1" x14ac:dyDescent="0.25">
      <c r="A21" s="257" t="s">
        <v>117</v>
      </c>
      <c r="B21" s="243" t="s">
        <v>210</v>
      </c>
      <c r="C21" s="937">
        <v>85531256</v>
      </c>
    </row>
    <row r="22" spans="1:3" s="65" customFormat="1" ht="12" customHeight="1" thickBot="1" x14ac:dyDescent="0.25">
      <c r="A22" s="31" t="s">
        <v>24</v>
      </c>
      <c r="B22" s="20" t="s">
        <v>211</v>
      </c>
      <c r="C22" s="157">
        <f>+C23+C24+C25+C26+C27</f>
        <v>68947847</v>
      </c>
    </row>
    <row r="23" spans="1:3" s="65" customFormat="1" ht="12" customHeight="1" x14ac:dyDescent="0.2">
      <c r="A23" s="255" t="s">
        <v>87</v>
      </c>
      <c r="B23" s="241" t="s">
        <v>212</v>
      </c>
      <c r="C23" s="279"/>
    </row>
    <row r="24" spans="1:3" s="64" customFormat="1" ht="12" customHeight="1" x14ac:dyDescent="0.2">
      <c r="A24" s="256" t="s">
        <v>88</v>
      </c>
      <c r="B24" s="242" t="s">
        <v>213</v>
      </c>
      <c r="C24" s="161"/>
    </row>
    <row r="25" spans="1:3" s="65" customFormat="1" ht="12" customHeight="1" x14ac:dyDescent="0.2">
      <c r="A25" s="256" t="s">
        <v>89</v>
      </c>
      <c r="B25" s="242" t="s">
        <v>379</v>
      </c>
      <c r="C25" s="161"/>
    </row>
    <row r="26" spans="1:3" s="65" customFormat="1" ht="12" customHeight="1" x14ac:dyDescent="0.2">
      <c r="A26" s="256" t="s">
        <v>90</v>
      </c>
      <c r="B26" s="242" t="s">
        <v>380</v>
      </c>
      <c r="C26" s="161"/>
    </row>
    <row r="27" spans="1:3" s="65" customFormat="1" ht="12" customHeight="1" x14ac:dyDescent="0.2">
      <c r="A27" s="256" t="s">
        <v>148</v>
      </c>
      <c r="B27" s="242" t="s">
        <v>214</v>
      </c>
      <c r="C27" s="840">
        <f>5866130+3779393+3796748+55505576</f>
        <v>68947847</v>
      </c>
    </row>
    <row r="28" spans="1:3" s="65" customFormat="1" ht="12" customHeight="1" thickBot="1" x14ac:dyDescent="0.25">
      <c r="A28" s="257" t="s">
        <v>149</v>
      </c>
      <c r="B28" s="243" t="s">
        <v>215</v>
      </c>
      <c r="C28" s="937">
        <f>13442271+55505576</f>
        <v>68947847</v>
      </c>
    </row>
    <row r="29" spans="1:3" s="65" customFormat="1" ht="12" customHeight="1" thickBot="1" x14ac:dyDescent="0.25">
      <c r="A29" s="31" t="s">
        <v>150</v>
      </c>
      <c r="B29" s="20" t="s">
        <v>216</v>
      </c>
      <c r="C29" s="162">
        <f>+C30+C34+C35+C36</f>
        <v>352658000</v>
      </c>
    </row>
    <row r="30" spans="1:3" s="65" customFormat="1" ht="12" customHeight="1" x14ac:dyDescent="0.2">
      <c r="A30" s="255" t="s">
        <v>217</v>
      </c>
      <c r="B30" s="241" t="s">
        <v>531</v>
      </c>
      <c r="C30" s="236">
        <f>SUM(C31:C33)</f>
        <v>308654000</v>
      </c>
    </row>
    <row r="31" spans="1:3" s="65" customFormat="1" ht="12" customHeight="1" x14ac:dyDescent="0.2">
      <c r="A31" s="256" t="s">
        <v>218</v>
      </c>
      <c r="B31" s="242" t="s">
        <v>223</v>
      </c>
      <c r="C31" s="145">
        <v>77500000</v>
      </c>
    </row>
    <row r="32" spans="1:3" s="65" customFormat="1" ht="12" customHeight="1" x14ac:dyDescent="0.2">
      <c r="A32" s="256" t="s">
        <v>219</v>
      </c>
      <c r="B32" s="242" t="s">
        <v>571</v>
      </c>
      <c r="C32" s="145">
        <v>231154000</v>
      </c>
    </row>
    <row r="33" spans="1:3" s="65" customFormat="1" ht="12" customHeight="1" x14ac:dyDescent="0.2">
      <c r="A33" s="256" t="s">
        <v>472</v>
      </c>
      <c r="B33" s="242" t="s">
        <v>568</v>
      </c>
      <c r="C33" s="308"/>
    </row>
    <row r="34" spans="1:3" s="65" customFormat="1" ht="12" customHeight="1" x14ac:dyDescent="0.2">
      <c r="A34" s="256" t="s">
        <v>220</v>
      </c>
      <c r="B34" s="242" t="s">
        <v>225</v>
      </c>
      <c r="C34" s="308">
        <v>28000000</v>
      </c>
    </row>
    <row r="35" spans="1:3" s="65" customFormat="1" ht="12" customHeight="1" x14ac:dyDescent="0.2">
      <c r="A35" s="256" t="s">
        <v>221</v>
      </c>
      <c r="B35" s="242" t="s">
        <v>226</v>
      </c>
      <c r="C35" s="308">
        <f>4504000-4500000</f>
        <v>4000</v>
      </c>
    </row>
    <row r="36" spans="1:3" s="65" customFormat="1" ht="12" customHeight="1" thickBot="1" x14ac:dyDescent="0.25">
      <c r="A36" s="257" t="s">
        <v>222</v>
      </c>
      <c r="B36" s="243" t="s">
        <v>227</v>
      </c>
      <c r="C36" s="312">
        <f>11500000+4500000</f>
        <v>16000000</v>
      </c>
    </row>
    <row r="37" spans="1:3" s="65" customFormat="1" ht="12" customHeight="1" thickBot="1" x14ac:dyDescent="0.25">
      <c r="A37" s="31" t="s">
        <v>26</v>
      </c>
      <c r="B37" s="20" t="s">
        <v>474</v>
      </c>
      <c r="C37" s="157">
        <f>SUM(C38:C48)</f>
        <v>26359812</v>
      </c>
    </row>
    <row r="38" spans="1:3" s="65" customFormat="1" ht="12" customHeight="1" x14ac:dyDescent="0.2">
      <c r="A38" s="255" t="s">
        <v>91</v>
      </c>
      <c r="B38" s="241" t="s">
        <v>230</v>
      </c>
      <c r="C38" s="335"/>
    </row>
    <row r="39" spans="1:3" s="65" customFormat="1" ht="12" customHeight="1" x14ac:dyDescent="0.2">
      <c r="A39" s="256" t="s">
        <v>92</v>
      </c>
      <c r="B39" s="242" t="s">
        <v>231</v>
      </c>
      <c r="C39" s="308">
        <f>13910169+100000</f>
        <v>14010169</v>
      </c>
    </row>
    <row r="40" spans="1:3" s="65" customFormat="1" ht="12" customHeight="1" x14ac:dyDescent="0.2">
      <c r="A40" s="256" t="s">
        <v>93</v>
      </c>
      <c r="B40" s="242" t="s">
        <v>232</v>
      </c>
      <c r="C40" s="308">
        <f>500000+300000+50000+1400000+947000+300000</f>
        <v>3497000</v>
      </c>
    </row>
    <row r="41" spans="1:3" s="65" customFormat="1" ht="12" customHeight="1" x14ac:dyDescent="0.2">
      <c r="A41" s="256" t="s">
        <v>152</v>
      </c>
      <c r="B41" s="242" t="s">
        <v>233</v>
      </c>
      <c r="C41" s="308">
        <v>430000</v>
      </c>
    </row>
    <row r="42" spans="1:3" s="65" customFormat="1" ht="12" customHeight="1" x14ac:dyDescent="0.2">
      <c r="A42" s="256" t="s">
        <v>153</v>
      </c>
      <c r="B42" s="242" t="s">
        <v>234</v>
      </c>
      <c r="C42" s="308"/>
    </row>
    <row r="43" spans="1:3" s="65" customFormat="1" ht="12" customHeight="1" x14ac:dyDescent="0.2">
      <c r="A43" s="256" t="s">
        <v>154</v>
      </c>
      <c r="B43" s="242" t="s">
        <v>235</v>
      </c>
      <c r="C43" s="308">
        <f>5162000+81000+13500+378000+81000</f>
        <v>5715500</v>
      </c>
    </row>
    <row r="44" spans="1:3" s="65" customFormat="1" ht="12" customHeight="1" x14ac:dyDescent="0.2">
      <c r="A44" s="256" t="s">
        <v>155</v>
      </c>
      <c r="B44" s="242" t="s">
        <v>236</v>
      </c>
      <c r="C44" s="308"/>
    </row>
    <row r="45" spans="1:3" s="65" customFormat="1" ht="12" customHeight="1" x14ac:dyDescent="0.2">
      <c r="A45" s="256" t="s">
        <v>156</v>
      </c>
      <c r="B45" s="242" t="s">
        <v>237</v>
      </c>
      <c r="C45" s="308">
        <v>30000</v>
      </c>
    </row>
    <row r="46" spans="1:3" s="65" customFormat="1" ht="12" customHeight="1" x14ac:dyDescent="0.2">
      <c r="A46" s="256" t="s">
        <v>228</v>
      </c>
      <c r="B46" s="242" t="s">
        <v>238</v>
      </c>
      <c r="C46" s="308"/>
    </row>
    <row r="47" spans="1:3" s="65" customFormat="1" ht="12" customHeight="1" x14ac:dyDescent="0.2">
      <c r="A47" s="257" t="s">
        <v>229</v>
      </c>
      <c r="B47" s="243" t="s">
        <v>475</v>
      </c>
      <c r="C47" s="312">
        <v>500000</v>
      </c>
    </row>
    <row r="48" spans="1:3" s="65" customFormat="1" ht="12" customHeight="1" thickBot="1" x14ac:dyDescent="0.25">
      <c r="A48" s="257" t="s">
        <v>476</v>
      </c>
      <c r="B48" s="243" t="s">
        <v>239</v>
      </c>
      <c r="C48" s="937">
        <f>600000+1577143</f>
        <v>2177143</v>
      </c>
    </row>
    <row r="49" spans="1:3" s="65" customFormat="1" ht="12" customHeight="1" thickBot="1" x14ac:dyDescent="0.25">
      <c r="A49" s="31" t="s">
        <v>27</v>
      </c>
      <c r="B49" s="706" t="s">
        <v>240</v>
      </c>
      <c r="C49" s="351">
        <f>SUM(C50:C54)</f>
        <v>30332500</v>
      </c>
    </row>
    <row r="50" spans="1:3" s="65" customFormat="1" ht="12" customHeight="1" x14ac:dyDescent="0.2">
      <c r="A50" s="255" t="s">
        <v>94</v>
      </c>
      <c r="B50" s="241" t="s">
        <v>244</v>
      </c>
      <c r="C50" s="279"/>
    </row>
    <row r="51" spans="1:3" s="65" customFormat="1" ht="12" customHeight="1" x14ac:dyDescent="0.2">
      <c r="A51" s="256" t="s">
        <v>95</v>
      </c>
      <c r="B51" s="242" t="s">
        <v>245</v>
      </c>
      <c r="C51" s="308">
        <v>30332500</v>
      </c>
    </row>
    <row r="52" spans="1:3" s="65" customFormat="1" ht="12" customHeight="1" x14ac:dyDescent="0.2">
      <c r="A52" s="256" t="s">
        <v>241</v>
      </c>
      <c r="B52" s="242" t="s">
        <v>246</v>
      </c>
      <c r="C52" s="161"/>
    </row>
    <row r="53" spans="1:3" s="65" customFormat="1" ht="12" customHeight="1" x14ac:dyDescent="0.2">
      <c r="A53" s="256" t="s">
        <v>242</v>
      </c>
      <c r="B53" s="242" t="s">
        <v>247</v>
      </c>
      <c r="C53" s="161"/>
    </row>
    <row r="54" spans="1:3" s="65" customFormat="1" ht="12" customHeight="1" thickBot="1" x14ac:dyDescent="0.25">
      <c r="A54" s="257" t="s">
        <v>243</v>
      </c>
      <c r="B54" s="243" t="s">
        <v>248</v>
      </c>
      <c r="C54" s="230"/>
    </row>
    <row r="55" spans="1:3" s="65" customFormat="1" ht="12" customHeight="1" thickBot="1" x14ac:dyDescent="0.25">
      <c r="A55" s="31" t="s">
        <v>157</v>
      </c>
      <c r="B55" s="20" t="s">
        <v>249</v>
      </c>
      <c r="C55" s="157">
        <f>SUM(C56:C58)</f>
        <v>2900000</v>
      </c>
    </row>
    <row r="56" spans="1:3" s="65" customFormat="1" ht="12" customHeight="1" x14ac:dyDescent="0.2">
      <c r="A56" s="255" t="s">
        <v>96</v>
      </c>
      <c r="B56" s="241" t="s">
        <v>250</v>
      </c>
      <c r="C56" s="159"/>
    </row>
    <row r="57" spans="1:3" s="65" customFormat="1" ht="12" customHeight="1" x14ac:dyDescent="0.2">
      <c r="A57" s="256" t="s">
        <v>97</v>
      </c>
      <c r="B57" s="242" t="s">
        <v>381</v>
      </c>
      <c r="C57" s="161"/>
    </row>
    <row r="58" spans="1:3" s="65" customFormat="1" ht="12" customHeight="1" x14ac:dyDescent="0.2">
      <c r="A58" s="256" t="s">
        <v>253</v>
      </c>
      <c r="B58" s="242" t="s">
        <v>251</v>
      </c>
      <c r="C58" s="308">
        <v>2900000</v>
      </c>
    </row>
    <row r="59" spans="1:3" s="65" customFormat="1" ht="12" customHeight="1" thickBot="1" x14ac:dyDescent="0.25">
      <c r="A59" s="257" t="s">
        <v>254</v>
      </c>
      <c r="B59" s="243" t="s">
        <v>252</v>
      </c>
      <c r="C59" s="160"/>
    </row>
    <row r="60" spans="1:3" s="65" customFormat="1" ht="12" customHeight="1" thickBot="1" x14ac:dyDescent="0.25">
      <c r="A60" s="31" t="s">
        <v>29</v>
      </c>
      <c r="B60" s="152" t="s">
        <v>255</v>
      </c>
      <c r="C60" s="157">
        <f>SUM(C61:C63)</f>
        <v>0</v>
      </c>
    </row>
    <row r="61" spans="1:3" s="65" customFormat="1" ht="12" customHeight="1" x14ac:dyDescent="0.2">
      <c r="A61" s="255" t="s">
        <v>158</v>
      </c>
      <c r="B61" s="241" t="s">
        <v>257</v>
      </c>
      <c r="C61" s="161"/>
    </row>
    <row r="62" spans="1:3" s="65" customFormat="1" ht="12" customHeight="1" x14ac:dyDescent="0.2">
      <c r="A62" s="256" t="s">
        <v>159</v>
      </c>
      <c r="B62" s="242" t="s">
        <v>382</v>
      </c>
      <c r="C62" s="161"/>
    </row>
    <row r="63" spans="1:3" s="65" customFormat="1" ht="12" customHeight="1" x14ac:dyDescent="0.2">
      <c r="A63" s="256" t="s">
        <v>181</v>
      </c>
      <c r="B63" s="242" t="s">
        <v>258</v>
      </c>
      <c r="C63" s="161"/>
    </row>
    <row r="64" spans="1:3" s="65" customFormat="1" ht="12" customHeight="1" thickBot="1" x14ac:dyDescent="0.25">
      <c r="A64" s="257" t="s">
        <v>256</v>
      </c>
      <c r="B64" s="243" t="s">
        <v>259</v>
      </c>
      <c r="C64" s="161"/>
    </row>
    <row r="65" spans="1:3" s="65" customFormat="1" ht="12" customHeight="1" thickBot="1" x14ac:dyDescent="0.25">
      <c r="A65" s="31" t="s">
        <v>30</v>
      </c>
      <c r="B65" s="20" t="s">
        <v>260</v>
      </c>
      <c r="C65" s="162">
        <f>+C8+C15+C22+C29+C37+C49+C55+C60</f>
        <v>1718659692</v>
      </c>
    </row>
    <row r="66" spans="1:3" s="65" customFormat="1" ht="12" customHeight="1" thickBot="1" x14ac:dyDescent="0.2">
      <c r="A66" s="258" t="s">
        <v>350</v>
      </c>
      <c r="B66" s="152" t="s">
        <v>262</v>
      </c>
      <c r="C66" s="157">
        <f>SUM(C67:C69)</f>
        <v>193478462</v>
      </c>
    </row>
    <row r="67" spans="1:3" s="65" customFormat="1" ht="12" customHeight="1" x14ac:dyDescent="0.2">
      <c r="A67" s="255" t="s">
        <v>293</v>
      </c>
      <c r="B67" s="241" t="s">
        <v>263</v>
      </c>
      <c r="C67" s="308">
        <v>93478462</v>
      </c>
    </row>
    <row r="68" spans="1:3" s="65" customFormat="1" ht="12" customHeight="1" x14ac:dyDescent="0.2">
      <c r="A68" s="256" t="s">
        <v>302</v>
      </c>
      <c r="B68" s="242" t="s">
        <v>264</v>
      </c>
      <c r="C68" s="308">
        <v>100000000</v>
      </c>
    </row>
    <row r="69" spans="1:3" s="65" customFormat="1" ht="12" customHeight="1" thickBot="1" x14ac:dyDescent="0.25">
      <c r="A69" s="257" t="s">
        <v>303</v>
      </c>
      <c r="B69" s="244" t="s">
        <v>265</v>
      </c>
      <c r="C69" s="161"/>
    </row>
    <row r="70" spans="1:3" s="65" customFormat="1" ht="12" customHeight="1" thickBot="1" x14ac:dyDescent="0.2">
      <c r="A70" s="258" t="s">
        <v>266</v>
      </c>
      <c r="B70" s="152" t="s">
        <v>267</v>
      </c>
      <c r="C70" s="157">
        <f>SUM(C71:C74)</f>
        <v>0</v>
      </c>
    </row>
    <row r="71" spans="1:3" s="65" customFormat="1" ht="12" customHeight="1" x14ac:dyDescent="0.2">
      <c r="A71" s="255" t="s">
        <v>138</v>
      </c>
      <c r="B71" s="241" t="s">
        <v>268</v>
      </c>
      <c r="C71" s="161"/>
    </row>
    <row r="72" spans="1:3" s="65" customFormat="1" ht="12" customHeight="1" x14ac:dyDescent="0.2">
      <c r="A72" s="256" t="s">
        <v>139</v>
      </c>
      <c r="B72" s="242" t="s">
        <v>269</v>
      </c>
      <c r="C72" s="161"/>
    </row>
    <row r="73" spans="1:3" s="65" customFormat="1" ht="12" customHeight="1" x14ac:dyDescent="0.2">
      <c r="A73" s="256" t="s">
        <v>294</v>
      </c>
      <c r="B73" s="242" t="s">
        <v>270</v>
      </c>
      <c r="C73" s="161"/>
    </row>
    <row r="74" spans="1:3" s="65" customFormat="1" ht="12" customHeight="1" thickBot="1" x14ac:dyDescent="0.25">
      <c r="A74" s="257" t="s">
        <v>295</v>
      </c>
      <c r="B74" s="243" t="s">
        <v>271</v>
      </c>
      <c r="C74" s="161"/>
    </row>
    <row r="75" spans="1:3" s="65" customFormat="1" ht="12" customHeight="1" thickBot="1" x14ac:dyDescent="0.2">
      <c r="A75" s="258" t="s">
        <v>272</v>
      </c>
      <c r="B75" s="152" t="s">
        <v>273</v>
      </c>
      <c r="C75" s="157">
        <f>SUM(C76:C77)</f>
        <v>594503758</v>
      </c>
    </row>
    <row r="76" spans="1:3" s="65" customFormat="1" ht="12" customHeight="1" x14ac:dyDescent="0.2">
      <c r="A76" s="255" t="s">
        <v>296</v>
      </c>
      <c r="B76" s="241" t="s">
        <v>274</v>
      </c>
      <c r="C76" s="308">
        <f>569119704+25384054</f>
        <v>594503758</v>
      </c>
    </row>
    <row r="77" spans="1:3" s="65" customFormat="1" ht="12" customHeight="1" thickBot="1" x14ac:dyDescent="0.25">
      <c r="A77" s="257" t="s">
        <v>297</v>
      </c>
      <c r="B77" s="243" t="s">
        <v>275</v>
      </c>
      <c r="C77" s="161"/>
    </row>
    <row r="78" spans="1:3" s="64" customFormat="1" ht="12" customHeight="1" thickBot="1" x14ac:dyDescent="0.2">
      <c r="A78" s="258" t="s">
        <v>276</v>
      </c>
      <c r="B78" s="152" t="s">
        <v>277</v>
      </c>
      <c r="C78" s="157">
        <f>SUM(C79:C81)</f>
        <v>0</v>
      </c>
    </row>
    <row r="79" spans="1:3" s="65" customFormat="1" ht="12" customHeight="1" x14ac:dyDescent="0.2">
      <c r="A79" s="255" t="s">
        <v>298</v>
      </c>
      <c r="B79" s="241" t="s">
        <v>278</v>
      </c>
      <c r="C79" s="161"/>
    </row>
    <row r="80" spans="1:3" s="65" customFormat="1" ht="12" customHeight="1" x14ac:dyDescent="0.2">
      <c r="A80" s="256" t="s">
        <v>299</v>
      </c>
      <c r="B80" s="242" t="s">
        <v>279</v>
      </c>
      <c r="C80" s="161"/>
    </row>
    <row r="81" spans="1:6" s="65" customFormat="1" ht="12" customHeight="1" thickBot="1" x14ac:dyDescent="0.25">
      <c r="A81" s="257" t="s">
        <v>300</v>
      </c>
      <c r="B81" s="243" t="s">
        <v>280</v>
      </c>
      <c r="C81" s="161"/>
    </row>
    <row r="82" spans="1:6" s="65" customFormat="1" ht="12" customHeight="1" thickBot="1" x14ac:dyDescent="0.2">
      <c r="A82" s="258" t="s">
        <v>281</v>
      </c>
      <c r="B82" s="152" t="s">
        <v>301</v>
      </c>
      <c r="C82" s="157">
        <f>SUM(C83:C86)</f>
        <v>0</v>
      </c>
    </row>
    <row r="83" spans="1:6" s="65" customFormat="1" ht="12" customHeight="1" x14ac:dyDescent="0.2">
      <c r="A83" s="259" t="s">
        <v>282</v>
      </c>
      <c r="B83" s="241" t="s">
        <v>283</v>
      </c>
      <c r="C83" s="161"/>
    </row>
    <row r="84" spans="1:6" s="65" customFormat="1" ht="12" customHeight="1" x14ac:dyDescent="0.2">
      <c r="A84" s="260" t="s">
        <v>284</v>
      </c>
      <c r="B84" s="242" t="s">
        <v>285</v>
      </c>
      <c r="C84" s="161"/>
    </row>
    <row r="85" spans="1:6" s="65" customFormat="1" ht="12" customHeight="1" x14ac:dyDescent="0.2">
      <c r="A85" s="260" t="s">
        <v>286</v>
      </c>
      <c r="B85" s="242" t="s">
        <v>287</v>
      </c>
      <c r="C85" s="161"/>
    </row>
    <row r="86" spans="1:6" s="64" customFormat="1" ht="12" customHeight="1" thickBot="1" x14ac:dyDescent="0.25">
      <c r="A86" s="261" t="s">
        <v>288</v>
      </c>
      <c r="B86" s="243" t="s">
        <v>289</v>
      </c>
      <c r="C86" s="161"/>
    </row>
    <row r="87" spans="1:6" s="64" customFormat="1" ht="12" customHeight="1" thickBot="1" x14ac:dyDescent="0.2">
      <c r="A87" s="258" t="s">
        <v>290</v>
      </c>
      <c r="B87" s="152" t="s">
        <v>479</v>
      </c>
      <c r="C87" s="280"/>
    </row>
    <row r="88" spans="1:6" s="64" customFormat="1" ht="12" customHeight="1" thickBot="1" x14ac:dyDescent="0.2">
      <c r="A88" s="258" t="s">
        <v>532</v>
      </c>
      <c r="B88" s="152" t="s">
        <v>291</v>
      </c>
      <c r="C88" s="280"/>
    </row>
    <row r="89" spans="1:6" s="64" customFormat="1" ht="12" customHeight="1" thickBot="1" x14ac:dyDescent="0.2">
      <c r="A89" s="258" t="s">
        <v>533</v>
      </c>
      <c r="B89" s="248" t="s">
        <v>480</v>
      </c>
      <c r="C89" s="162">
        <f>+C66+C70+C75+C78+C82+C88+C87</f>
        <v>787982220</v>
      </c>
    </row>
    <row r="90" spans="1:6" s="64" customFormat="1" ht="12" customHeight="1" thickBot="1" x14ac:dyDescent="0.2">
      <c r="A90" s="262" t="s">
        <v>534</v>
      </c>
      <c r="B90" s="249" t="s">
        <v>535</v>
      </c>
      <c r="C90" s="162">
        <f>+C65+C89</f>
        <v>2506641912</v>
      </c>
      <c r="F90" s="50"/>
    </row>
    <row r="91" spans="1:6" s="65" customFormat="1" ht="15" customHeight="1" thickBot="1" x14ac:dyDescent="0.25">
      <c r="A91" s="132"/>
      <c r="B91" s="133"/>
      <c r="C91" s="215"/>
    </row>
    <row r="92" spans="1:6" s="49" customFormat="1" ht="16.5" customHeight="1" thickBot="1" x14ac:dyDescent="0.25">
      <c r="A92" s="136"/>
      <c r="B92" s="137" t="s">
        <v>61</v>
      </c>
      <c r="C92" s="217"/>
    </row>
    <row r="93" spans="1:6" s="66" customFormat="1" ht="12" customHeight="1" thickBot="1" x14ac:dyDescent="0.25">
      <c r="A93" s="233" t="s">
        <v>22</v>
      </c>
      <c r="B93" s="25" t="s">
        <v>546</v>
      </c>
      <c r="C93" s="156">
        <f>+C94+C95+C96+C97+C98+C111</f>
        <v>626438047</v>
      </c>
    </row>
    <row r="94" spans="1:6" ht="12" customHeight="1" x14ac:dyDescent="0.2">
      <c r="A94" s="263" t="s">
        <v>98</v>
      </c>
      <c r="B94" s="9" t="s">
        <v>53</v>
      </c>
      <c r="C94" s="839">
        <f>2854500+25097896+11111000+584100+20000+1182990+1095900-198000+58577+6274800+23800</f>
        <v>48105563</v>
      </c>
    </row>
    <row r="95" spans="1:6" ht="12" customHeight="1" x14ac:dyDescent="0.2">
      <c r="A95" s="256" t="s">
        <v>99</v>
      </c>
      <c r="B95" s="7" t="s">
        <v>160</v>
      </c>
      <c r="C95" s="840">
        <f>500965+4771305+2167000+14000+207615+213701-34749+11423+1380456+4650</f>
        <v>9236366</v>
      </c>
    </row>
    <row r="96" spans="1:6" ht="12" customHeight="1" x14ac:dyDescent="0.2">
      <c r="A96" s="256" t="s">
        <v>100</v>
      </c>
      <c r="B96" s="7" t="s">
        <v>130</v>
      </c>
      <c r="C96" s="841">
        <f>13447475+835000+50000+52909601+6787092+2456000+4504030+871220+34163000+50473064+3285067+9000000+443000+120000+17207888+17042731+48545760+500000+381000+178500-37621053+63500+8564000+45720</f>
        <v>234252595</v>
      </c>
    </row>
    <row r="97" spans="1:3" ht="12" customHeight="1" x14ac:dyDescent="0.2">
      <c r="A97" s="256" t="s">
        <v>101</v>
      </c>
      <c r="B97" s="10" t="s">
        <v>161</v>
      </c>
      <c r="C97" s="841">
        <f>69500000+3500000+69312000</f>
        <v>142312000</v>
      </c>
    </row>
    <row r="98" spans="1:3" ht="12" customHeight="1" x14ac:dyDescent="0.2">
      <c r="A98" s="256" t="s">
        <v>112</v>
      </c>
      <c r="B98" s="18" t="s">
        <v>162</v>
      </c>
      <c r="C98" s="312">
        <f>5697126+16985629+16551218+32866801+100000+660000+49357310+3869819</f>
        <v>126087903</v>
      </c>
    </row>
    <row r="99" spans="1:3" ht="12" customHeight="1" x14ac:dyDescent="0.2">
      <c r="A99" s="256" t="s">
        <v>102</v>
      </c>
      <c r="B99" s="7" t="s">
        <v>536</v>
      </c>
      <c r="C99" s="312">
        <f>100000+3869819</f>
        <v>3969819</v>
      </c>
    </row>
    <row r="100" spans="1:3" ht="12" customHeight="1" x14ac:dyDescent="0.2">
      <c r="A100" s="256" t="s">
        <v>103</v>
      </c>
      <c r="B100" s="89" t="s">
        <v>484</v>
      </c>
      <c r="C100" s="312"/>
    </row>
    <row r="101" spans="1:3" ht="12" customHeight="1" x14ac:dyDescent="0.2">
      <c r="A101" s="256" t="s">
        <v>113</v>
      </c>
      <c r="B101" s="89" t="s">
        <v>485</v>
      </c>
      <c r="C101" s="312"/>
    </row>
    <row r="102" spans="1:3" ht="12" customHeight="1" x14ac:dyDescent="0.2">
      <c r="A102" s="256" t="s">
        <v>114</v>
      </c>
      <c r="B102" s="89" t="s">
        <v>307</v>
      </c>
      <c r="C102" s="312"/>
    </row>
    <row r="103" spans="1:3" ht="12" customHeight="1" x14ac:dyDescent="0.2">
      <c r="A103" s="256" t="s">
        <v>115</v>
      </c>
      <c r="B103" s="90" t="s">
        <v>308</v>
      </c>
      <c r="C103" s="312"/>
    </row>
    <row r="104" spans="1:3" ht="12" customHeight="1" x14ac:dyDescent="0.2">
      <c r="A104" s="256" t="s">
        <v>116</v>
      </c>
      <c r="B104" s="90" t="s">
        <v>309</v>
      </c>
      <c r="C104" s="312"/>
    </row>
    <row r="105" spans="1:3" ht="12" customHeight="1" x14ac:dyDescent="0.2">
      <c r="A105" s="256" t="s">
        <v>118</v>
      </c>
      <c r="B105" s="89" t="s">
        <v>310</v>
      </c>
      <c r="C105" s="312">
        <f>660000</f>
        <v>660000</v>
      </c>
    </row>
    <row r="106" spans="1:3" ht="12" customHeight="1" x14ac:dyDescent="0.2">
      <c r="A106" s="256" t="s">
        <v>163</v>
      </c>
      <c r="B106" s="89" t="s">
        <v>311</v>
      </c>
      <c r="C106" s="312"/>
    </row>
    <row r="107" spans="1:3" ht="12" customHeight="1" x14ac:dyDescent="0.2">
      <c r="A107" s="256" t="s">
        <v>305</v>
      </c>
      <c r="B107" s="90" t="s">
        <v>312</v>
      </c>
      <c r="C107" s="312"/>
    </row>
    <row r="108" spans="1:3" ht="12" customHeight="1" x14ac:dyDescent="0.2">
      <c r="A108" s="264" t="s">
        <v>306</v>
      </c>
      <c r="B108" s="91" t="s">
        <v>313</v>
      </c>
      <c r="C108" s="312"/>
    </row>
    <row r="109" spans="1:3" ht="12" customHeight="1" x14ac:dyDescent="0.2">
      <c r="A109" s="256" t="s">
        <v>486</v>
      </c>
      <c r="B109" s="91" t="s">
        <v>314</v>
      </c>
      <c r="C109" s="312"/>
    </row>
    <row r="110" spans="1:3" ht="12" customHeight="1" x14ac:dyDescent="0.2">
      <c r="A110" s="256" t="s">
        <v>487</v>
      </c>
      <c r="B110" s="90" t="s">
        <v>315</v>
      </c>
      <c r="C110" s="308">
        <f>5697126+16985629+16551218+32866801+660000+49357310-660000</f>
        <v>121458084</v>
      </c>
    </row>
    <row r="111" spans="1:3" ht="12" customHeight="1" x14ac:dyDescent="0.2">
      <c r="A111" s="256" t="s">
        <v>488</v>
      </c>
      <c r="B111" s="10" t="s">
        <v>54</v>
      </c>
      <c r="C111" s="161">
        <f>SUM(C112:C113)</f>
        <v>66443620</v>
      </c>
    </row>
    <row r="112" spans="1:3" ht="12" customHeight="1" x14ac:dyDescent="0.2">
      <c r="A112" s="257" t="s">
        <v>489</v>
      </c>
      <c r="B112" s="7" t="s">
        <v>537</v>
      </c>
      <c r="C112" s="841">
        <f>15000000-21705-8451320+266142</f>
        <v>6793117</v>
      </c>
    </row>
    <row r="113" spans="1:6" ht="12" customHeight="1" thickBot="1" x14ac:dyDescent="0.25">
      <c r="A113" s="265" t="s">
        <v>491</v>
      </c>
      <c r="B113" s="92" t="s">
        <v>538</v>
      </c>
      <c r="C113" s="869">
        <f>65846522-6946019+750000</f>
        <v>59650503</v>
      </c>
    </row>
    <row r="114" spans="1:6" ht="12" customHeight="1" thickBot="1" x14ac:dyDescent="0.25">
      <c r="A114" s="31" t="s">
        <v>23</v>
      </c>
      <c r="B114" s="24" t="s">
        <v>316</v>
      </c>
      <c r="C114" s="157">
        <f>+C115+C117+C119</f>
        <v>635554008</v>
      </c>
    </row>
    <row r="115" spans="1:6" ht="12" customHeight="1" x14ac:dyDescent="0.2">
      <c r="A115" s="255" t="s">
        <v>104</v>
      </c>
      <c r="B115" s="7" t="s">
        <v>180</v>
      </c>
      <c r="C115" s="853">
        <f>359410+2345001+219008101+381000+1500000+3139585+33894811+2338070+4950460+275000+20930495+5189661+457200+6704583</f>
        <v>301473377</v>
      </c>
    </row>
    <row r="116" spans="1:6" ht="12" customHeight="1" x14ac:dyDescent="0.2">
      <c r="A116" s="255" t="s">
        <v>105</v>
      </c>
      <c r="B116" s="11" t="s">
        <v>320</v>
      </c>
      <c r="C116" s="853">
        <f>218246101+33259811+20930495+1187993+6704583</f>
        <v>280328983</v>
      </c>
    </row>
    <row r="117" spans="1:6" ht="12" customHeight="1" x14ac:dyDescent="0.2">
      <c r="A117" s="255" t="s">
        <v>106</v>
      </c>
      <c r="B117" s="11" t="s">
        <v>164</v>
      </c>
      <c r="C117" s="840">
        <f>180701362+1500000+37902555+48165993</f>
        <v>268269910</v>
      </c>
    </row>
    <row r="118" spans="1:6" ht="12" customHeight="1" x14ac:dyDescent="0.2">
      <c r="A118" s="255" t="s">
        <v>107</v>
      </c>
      <c r="B118" s="11" t="s">
        <v>321</v>
      </c>
      <c r="C118" s="840">
        <f>146098020+36509260+48165993</f>
        <v>230773273</v>
      </c>
    </row>
    <row r="119" spans="1:6" ht="12" customHeight="1" x14ac:dyDescent="0.2">
      <c r="A119" s="255" t="s">
        <v>108</v>
      </c>
      <c r="B119" s="154" t="s">
        <v>182</v>
      </c>
      <c r="C119" s="841">
        <f>65710721+100000</f>
        <v>65810721</v>
      </c>
    </row>
    <row r="120" spans="1:6" ht="12" customHeight="1" x14ac:dyDescent="0.2">
      <c r="A120" s="255" t="s">
        <v>117</v>
      </c>
      <c r="B120" s="153" t="s">
        <v>383</v>
      </c>
      <c r="C120" s="308"/>
    </row>
    <row r="121" spans="1:6" ht="12" customHeight="1" x14ac:dyDescent="0.2">
      <c r="A121" s="255" t="s">
        <v>119</v>
      </c>
      <c r="B121" s="237" t="s">
        <v>326</v>
      </c>
      <c r="C121" s="308"/>
    </row>
    <row r="122" spans="1:6" ht="12" customHeight="1" x14ac:dyDescent="0.2">
      <c r="A122" s="255" t="s">
        <v>165</v>
      </c>
      <c r="B122" s="90" t="s">
        <v>309</v>
      </c>
      <c r="C122" s="145"/>
    </row>
    <row r="123" spans="1:6" ht="12" customHeight="1" x14ac:dyDescent="0.2">
      <c r="A123" s="255" t="s">
        <v>166</v>
      </c>
      <c r="B123" s="90" t="s">
        <v>325</v>
      </c>
      <c r="C123" s="145"/>
    </row>
    <row r="124" spans="1:6" ht="12" customHeight="1" x14ac:dyDescent="0.2">
      <c r="A124" s="255" t="s">
        <v>167</v>
      </c>
      <c r="B124" s="90" t="s">
        <v>324</v>
      </c>
      <c r="C124" s="145"/>
    </row>
    <row r="125" spans="1:6" ht="12" customHeight="1" x14ac:dyDescent="0.2">
      <c r="A125" s="255" t="s">
        <v>317</v>
      </c>
      <c r="B125" s="90" t="s">
        <v>312</v>
      </c>
      <c r="C125" s="145"/>
    </row>
    <row r="126" spans="1:6" ht="12" customHeight="1" x14ac:dyDescent="0.2">
      <c r="A126" s="255" t="s">
        <v>318</v>
      </c>
      <c r="B126" s="90" t="s">
        <v>323</v>
      </c>
      <c r="C126" s="145"/>
    </row>
    <row r="127" spans="1:6" ht="12" customHeight="1" thickBot="1" x14ac:dyDescent="0.25">
      <c r="A127" s="264" t="s">
        <v>319</v>
      </c>
      <c r="B127" s="90" t="s">
        <v>322</v>
      </c>
      <c r="C127" s="841">
        <f>65710721+100000</f>
        <v>65810721</v>
      </c>
    </row>
    <row r="128" spans="1:6" ht="12" customHeight="1" thickBot="1" x14ac:dyDescent="0.25">
      <c r="A128" s="31" t="s">
        <v>24</v>
      </c>
      <c r="B128" s="85" t="s">
        <v>493</v>
      </c>
      <c r="C128" s="157">
        <f>+C93+C114</f>
        <v>1261992055</v>
      </c>
      <c r="F128" s="316"/>
    </row>
    <row r="129" spans="1:11" ht="12" customHeight="1" thickBot="1" x14ac:dyDescent="0.25">
      <c r="A129" s="31" t="s">
        <v>25</v>
      </c>
      <c r="B129" s="85" t="s">
        <v>494</v>
      </c>
      <c r="C129" s="157">
        <f>+C130+C131+C132</f>
        <v>104042704</v>
      </c>
    </row>
    <row r="130" spans="1:11" s="66" customFormat="1" ht="12" customHeight="1" x14ac:dyDescent="0.2">
      <c r="A130" s="255" t="s">
        <v>217</v>
      </c>
      <c r="B130" s="8" t="s">
        <v>539</v>
      </c>
      <c r="C130" s="308">
        <v>4042704</v>
      </c>
    </row>
    <row r="131" spans="1:11" ht="12" customHeight="1" x14ac:dyDescent="0.2">
      <c r="A131" s="255" t="s">
        <v>220</v>
      </c>
      <c r="B131" s="8" t="s">
        <v>496</v>
      </c>
      <c r="C131" s="145">
        <v>100000000</v>
      </c>
    </row>
    <row r="132" spans="1:11" ht="12" customHeight="1" thickBot="1" x14ac:dyDescent="0.25">
      <c r="A132" s="264" t="s">
        <v>221</v>
      </c>
      <c r="B132" s="6" t="s">
        <v>540</v>
      </c>
      <c r="C132" s="145"/>
    </row>
    <row r="133" spans="1:11" ht="12" customHeight="1" thickBot="1" x14ac:dyDescent="0.25">
      <c r="A133" s="31" t="s">
        <v>26</v>
      </c>
      <c r="B133" s="85" t="s">
        <v>498</v>
      </c>
      <c r="C133" s="157">
        <f>+C134+C135+C136+C137+C138+C139</f>
        <v>0</v>
      </c>
    </row>
    <row r="134" spans="1:11" ht="12" customHeight="1" x14ac:dyDescent="0.2">
      <c r="A134" s="255" t="s">
        <v>91</v>
      </c>
      <c r="B134" s="8" t="s">
        <v>499</v>
      </c>
      <c r="C134" s="145"/>
    </row>
    <row r="135" spans="1:11" ht="12" customHeight="1" x14ac:dyDescent="0.2">
      <c r="A135" s="255" t="s">
        <v>92</v>
      </c>
      <c r="B135" s="8" t="s">
        <v>500</v>
      </c>
      <c r="C135" s="145"/>
    </row>
    <row r="136" spans="1:11" ht="12" customHeight="1" x14ac:dyDescent="0.2">
      <c r="A136" s="255" t="s">
        <v>93</v>
      </c>
      <c r="B136" s="8" t="s">
        <v>501</v>
      </c>
      <c r="C136" s="145"/>
    </row>
    <row r="137" spans="1:11" ht="12" customHeight="1" x14ac:dyDescent="0.2">
      <c r="A137" s="255" t="s">
        <v>152</v>
      </c>
      <c r="B137" s="8" t="s">
        <v>541</v>
      </c>
      <c r="C137" s="145"/>
    </row>
    <row r="138" spans="1:11" ht="12" customHeight="1" x14ac:dyDescent="0.2">
      <c r="A138" s="255" t="s">
        <v>153</v>
      </c>
      <c r="B138" s="8" t="s">
        <v>503</v>
      </c>
      <c r="C138" s="145"/>
    </row>
    <row r="139" spans="1:11" s="66" customFormat="1" ht="12" customHeight="1" thickBot="1" x14ac:dyDescent="0.25">
      <c r="A139" s="264" t="s">
        <v>154</v>
      </c>
      <c r="B139" s="6" t="s">
        <v>504</v>
      </c>
      <c r="C139" s="145"/>
    </row>
    <row r="140" spans="1:11" ht="12" customHeight="1" thickBot="1" x14ac:dyDescent="0.25">
      <c r="A140" s="31" t="s">
        <v>27</v>
      </c>
      <c r="B140" s="85" t="s">
        <v>542</v>
      </c>
      <c r="C140" s="162">
        <f>+C141+C142+C144+C145+C143</f>
        <v>38167591</v>
      </c>
      <c r="K140" s="144"/>
    </row>
    <row r="141" spans="1:11" x14ac:dyDescent="0.2">
      <c r="A141" s="255" t="s">
        <v>94</v>
      </c>
      <c r="B141" s="8" t="s">
        <v>327</v>
      </c>
      <c r="C141" s="145"/>
    </row>
    <row r="142" spans="1:11" ht="12" customHeight="1" x14ac:dyDescent="0.2">
      <c r="A142" s="255" t="s">
        <v>95</v>
      </c>
      <c r="B142" s="8" t="s">
        <v>328</v>
      </c>
      <c r="C142" s="145">
        <v>38167591</v>
      </c>
    </row>
    <row r="143" spans="1:11" s="66" customFormat="1" ht="12" customHeight="1" x14ac:dyDescent="0.2">
      <c r="A143" s="255" t="s">
        <v>241</v>
      </c>
      <c r="B143" s="8" t="s">
        <v>543</v>
      </c>
      <c r="C143" s="145"/>
    </row>
    <row r="144" spans="1:11" s="66" customFormat="1" ht="12" customHeight="1" x14ac:dyDescent="0.2">
      <c r="A144" s="255" t="s">
        <v>242</v>
      </c>
      <c r="B144" s="8" t="s">
        <v>506</v>
      </c>
      <c r="C144" s="145"/>
    </row>
    <row r="145" spans="1:6" s="66" customFormat="1" ht="12" customHeight="1" thickBot="1" x14ac:dyDescent="0.25">
      <c r="A145" s="264" t="s">
        <v>243</v>
      </c>
      <c r="B145" s="6" t="s">
        <v>346</v>
      </c>
      <c r="C145" s="145"/>
    </row>
    <row r="146" spans="1:6" s="66" customFormat="1" ht="12" customHeight="1" thickBot="1" x14ac:dyDescent="0.25">
      <c r="A146" s="31" t="s">
        <v>28</v>
      </c>
      <c r="B146" s="85" t="s">
        <v>507</v>
      </c>
      <c r="C146" s="165">
        <f>+C147+C148+C149+C150+C151</f>
        <v>0</v>
      </c>
    </row>
    <row r="147" spans="1:6" s="66" customFormat="1" ht="12" customHeight="1" x14ac:dyDescent="0.2">
      <c r="A147" s="255" t="s">
        <v>96</v>
      </c>
      <c r="B147" s="8" t="s">
        <v>508</v>
      </c>
      <c r="C147" s="145"/>
    </row>
    <row r="148" spans="1:6" s="66" customFormat="1" ht="12" customHeight="1" x14ac:dyDescent="0.2">
      <c r="A148" s="255" t="s">
        <v>97</v>
      </c>
      <c r="B148" s="8" t="s">
        <v>509</v>
      </c>
      <c r="C148" s="145"/>
    </row>
    <row r="149" spans="1:6" s="66" customFormat="1" ht="12" customHeight="1" x14ac:dyDescent="0.2">
      <c r="A149" s="255" t="s">
        <v>253</v>
      </c>
      <c r="B149" s="8" t="s">
        <v>510</v>
      </c>
      <c r="C149" s="145"/>
    </row>
    <row r="150" spans="1:6" ht="12.75" customHeight="1" x14ac:dyDescent="0.2">
      <c r="A150" s="255" t="s">
        <v>254</v>
      </c>
      <c r="B150" s="8" t="s">
        <v>544</v>
      </c>
      <c r="C150" s="145"/>
    </row>
    <row r="151" spans="1:6" ht="12.75" customHeight="1" thickBot="1" x14ac:dyDescent="0.25">
      <c r="A151" s="264" t="s">
        <v>512</v>
      </c>
      <c r="B151" s="6" t="s">
        <v>513</v>
      </c>
      <c r="C151" s="146"/>
    </row>
    <row r="152" spans="1:6" ht="12.75" customHeight="1" thickBot="1" x14ac:dyDescent="0.25">
      <c r="A152" s="305" t="s">
        <v>29</v>
      </c>
      <c r="B152" s="85" t="s">
        <v>514</v>
      </c>
      <c r="C152" s="165"/>
    </row>
    <row r="153" spans="1:6" ht="12" customHeight="1" thickBot="1" x14ac:dyDescent="0.25">
      <c r="A153" s="305" t="s">
        <v>30</v>
      </c>
      <c r="B153" s="85" t="s">
        <v>515</v>
      </c>
      <c r="C153" s="165"/>
    </row>
    <row r="154" spans="1:6" ht="15" customHeight="1" thickBot="1" x14ac:dyDescent="0.25">
      <c r="A154" s="31" t="s">
        <v>31</v>
      </c>
      <c r="B154" s="85" t="s">
        <v>516</v>
      </c>
      <c r="C154" s="251">
        <f>+C129+C133+C140+C146+C152+C153</f>
        <v>142210295</v>
      </c>
    </row>
    <row r="155" spans="1:6" ht="13.5" thickBot="1" x14ac:dyDescent="0.25">
      <c r="A155" s="266" t="s">
        <v>32</v>
      </c>
      <c r="B155" s="226" t="s">
        <v>517</v>
      </c>
      <c r="C155" s="251">
        <f>+C128+C154</f>
        <v>1404202350</v>
      </c>
      <c r="F155" s="36"/>
    </row>
    <row r="156" spans="1:6" ht="15" customHeight="1" thickBot="1" x14ac:dyDescent="0.25"/>
    <row r="157" spans="1:6" ht="14.25" customHeight="1" thickBot="1" x14ac:dyDescent="0.25">
      <c r="A157" s="141" t="s">
        <v>545</v>
      </c>
      <c r="B157" s="142"/>
      <c r="C157" s="84">
        <v>6</v>
      </c>
    </row>
    <row r="158" spans="1:6" ht="13.5" thickBot="1" x14ac:dyDescent="0.25">
      <c r="A158" s="141" t="s">
        <v>176</v>
      </c>
      <c r="B158" s="142"/>
      <c r="C158" s="8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 melléklet a 11/2018.(V.31.)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view="pageLayout" zoomScaleNormal="11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12.6640625" style="496" bestFit="1" customWidth="1"/>
    <col min="4" max="4" width="9.33203125" style="140" customWidth="1"/>
    <col min="5" max="5" width="10" style="584" hidden="1" customWidth="1"/>
    <col min="6" max="6" width="10.5" style="584" hidden="1" customWidth="1"/>
    <col min="7" max="16384" width="9.33203125" style="140"/>
  </cols>
  <sheetData>
    <row r="1" spans="1:6" s="119" customFormat="1" ht="21" customHeight="1" thickBot="1" x14ac:dyDescent="0.25">
      <c r="A1" s="118"/>
      <c r="B1" s="120"/>
      <c r="C1" s="273"/>
      <c r="E1" s="584"/>
      <c r="F1" s="584"/>
    </row>
    <row r="2" spans="1:6" s="274" customFormat="1" ht="36" customHeight="1" x14ac:dyDescent="0.2">
      <c r="A2" s="231" t="s">
        <v>174</v>
      </c>
      <c r="B2" s="206" t="s">
        <v>463</v>
      </c>
      <c r="C2" s="220" t="s">
        <v>64</v>
      </c>
      <c r="E2" s="585"/>
      <c r="F2" s="585"/>
    </row>
    <row r="3" spans="1:6" s="274" customFormat="1" ht="24.75" thickBot="1" x14ac:dyDescent="0.25">
      <c r="A3" s="267" t="s">
        <v>173</v>
      </c>
      <c r="B3" s="207" t="s">
        <v>354</v>
      </c>
      <c r="C3" s="221" t="s">
        <v>57</v>
      </c>
      <c r="E3" s="585"/>
      <c r="F3" s="585"/>
    </row>
    <row r="4" spans="1:6" s="275" customFormat="1" ht="15.95" customHeight="1" thickBot="1" x14ac:dyDescent="0.3">
      <c r="A4" s="122"/>
      <c r="B4" s="122"/>
      <c r="C4" s="123" t="s">
        <v>590</v>
      </c>
      <c r="E4" s="585"/>
      <c r="F4" s="585"/>
    </row>
    <row r="5" spans="1:6" ht="13.5" thickBot="1" x14ac:dyDescent="0.25">
      <c r="A5" s="232" t="s">
        <v>175</v>
      </c>
      <c r="B5" s="124" t="s">
        <v>58</v>
      </c>
      <c r="C5" s="125" t="s">
        <v>59</v>
      </c>
    </row>
    <row r="6" spans="1:6" s="276" customFormat="1" ht="12.95" customHeight="1" thickBot="1" x14ac:dyDescent="0.25">
      <c r="A6" s="98" t="s">
        <v>466</v>
      </c>
      <c r="B6" s="99" t="s">
        <v>467</v>
      </c>
      <c r="C6" s="100" t="s">
        <v>468</v>
      </c>
      <c r="E6" s="586"/>
      <c r="F6" s="586"/>
    </row>
    <row r="7" spans="1:6" s="276" customFormat="1" ht="15.95" customHeight="1" thickBot="1" x14ac:dyDescent="0.25">
      <c r="A7" s="126"/>
      <c r="B7" s="127" t="s">
        <v>60</v>
      </c>
      <c r="C7" s="128"/>
      <c r="E7" s="586"/>
      <c r="F7" s="586"/>
    </row>
    <row r="8" spans="1:6" s="222" customFormat="1" ht="12" customHeight="1" thickBot="1" x14ac:dyDescent="0.25">
      <c r="A8" s="98" t="s">
        <v>22</v>
      </c>
      <c r="B8" s="129" t="s">
        <v>548</v>
      </c>
      <c r="C8" s="171">
        <f>SUM(C9:C19)</f>
        <v>8986898</v>
      </c>
      <c r="E8" s="587" t="e">
        <f>'9.2.1. sz. mell'!C8+#REF!+'9.2.3. sz. mell.'!C8</f>
        <v>#REF!</v>
      </c>
      <c r="F8" s="587" t="e">
        <f t="shared" ref="F8:F42" si="0">C8-E8</f>
        <v>#REF!</v>
      </c>
    </row>
    <row r="9" spans="1:6" s="222" customFormat="1" ht="12" customHeight="1" x14ac:dyDescent="0.2">
      <c r="A9" s="268" t="s">
        <v>98</v>
      </c>
      <c r="B9" s="9" t="s">
        <v>230</v>
      </c>
      <c r="C9" s="211"/>
      <c r="E9" s="587" t="e">
        <f>'9.2.1. sz. mell'!C9+#REF!+'9.2.3. sz. mell.'!C9</f>
        <v>#REF!</v>
      </c>
      <c r="F9" s="587" t="e">
        <f t="shared" si="0"/>
        <v>#REF!</v>
      </c>
    </row>
    <row r="10" spans="1:6" s="222" customFormat="1" ht="12" customHeight="1" x14ac:dyDescent="0.2">
      <c r="A10" s="269" t="s">
        <v>99</v>
      </c>
      <c r="B10" s="7" t="s">
        <v>231</v>
      </c>
      <c r="C10" s="53">
        <v>6228440</v>
      </c>
      <c r="E10" s="587" t="e">
        <f>'9.2.1. sz. mell'!C10+#REF!+'9.2.3. sz. mell.'!C10</f>
        <v>#REF!</v>
      </c>
      <c r="F10" s="587" t="e">
        <f t="shared" si="0"/>
        <v>#REF!</v>
      </c>
    </row>
    <row r="11" spans="1:6" s="222" customFormat="1" ht="12" customHeight="1" x14ac:dyDescent="0.2">
      <c r="A11" s="269" t="s">
        <v>100</v>
      </c>
      <c r="B11" s="7" t="s">
        <v>232</v>
      </c>
      <c r="C11" s="53">
        <f>300000+52200</f>
        <v>352200</v>
      </c>
      <c r="E11" s="587" t="e">
        <f>'9.2.1. sz. mell'!C11+#REF!+'9.2.3. sz. mell.'!C11</f>
        <v>#REF!</v>
      </c>
      <c r="F11" s="587" t="e">
        <f t="shared" si="0"/>
        <v>#REF!</v>
      </c>
    </row>
    <row r="12" spans="1:6" s="222" customFormat="1" ht="12" customHeight="1" x14ac:dyDescent="0.2">
      <c r="A12" s="269" t="s">
        <v>101</v>
      </c>
      <c r="B12" s="7" t="s">
        <v>233</v>
      </c>
      <c r="C12" s="53"/>
      <c r="E12" s="587" t="e">
        <f>'9.2.1. sz. mell'!C12+#REF!+'9.2.3. sz. mell.'!C12</f>
        <v>#REF!</v>
      </c>
      <c r="F12" s="587" t="e">
        <f t="shared" si="0"/>
        <v>#REF!</v>
      </c>
    </row>
    <row r="13" spans="1:6" s="222" customFormat="1" ht="12" customHeight="1" x14ac:dyDescent="0.2">
      <c r="A13" s="269" t="s">
        <v>137</v>
      </c>
      <c r="B13" s="7" t="s">
        <v>234</v>
      </c>
      <c r="C13" s="53"/>
      <c r="E13" s="587" t="e">
        <f>'9.2.1. sz. mell'!C13+#REF!+'9.2.3. sz. mell.'!C13</f>
        <v>#REF!</v>
      </c>
      <c r="F13" s="587" t="e">
        <f t="shared" si="0"/>
        <v>#REF!</v>
      </c>
    </row>
    <row r="14" spans="1:6" s="222" customFormat="1" ht="12" customHeight="1" x14ac:dyDescent="0.2">
      <c r="A14" s="269" t="s">
        <v>102</v>
      </c>
      <c r="B14" s="7" t="s">
        <v>355</v>
      </c>
      <c r="C14" s="53">
        <f>1791000+14094</f>
        <v>1805094</v>
      </c>
      <c r="E14" s="587" t="e">
        <f>'9.2.1. sz. mell'!C14+#REF!+'9.2.3. sz. mell.'!C14</f>
        <v>#REF!</v>
      </c>
      <c r="F14" s="587" t="e">
        <f t="shared" si="0"/>
        <v>#REF!</v>
      </c>
    </row>
    <row r="15" spans="1:6" s="222" customFormat="1" ht="12" customHeight="1" x14ac:dyDescent="0.2">
      <c r="A15" s="269" t="s">
        <v>103</v>
      </c>
      <c r="B15" s="6" t="s">
        <v>356</v>
      </c>
      <c r="C15" s="53"/>
      <c r="E15" s="587" t="e">
        <f>'9.2.1. sz. mell'!C15+#REF!+'9.2.3. sz. mell.'!C15</f>
        <v>#REF!</v>
      </c>
      <c r="F15" s="587" t="e">
        <f t="shared" si="0"/>
        <v>#REF!</v>
      </c>
    </row>
    <row r="16" spans="1:6" s="222" customFormat="1" ht="12" customHeight="1" x14ac:dyDescent="0.2">
      <c r="A16" s="269" t="s">
        <v>113</v>
      </c>
      <c r="B16" s="7" t="s">
        <v>237</v>
      </c>
      <c r="C16" s="172"/>
      <c r="E16" s="587" t="e">
        <f>'9.2.1. sz. mell'!C16+#REF!+'9.2.3. sz. mell.'!C16</f>
        <v>#REF!</v>
      </c>
      <c r="F16" s="587" t="e">
        <f t="shared" si="0"/>
        <v>#REF!</v>
      </c>
    </row>
    <row r="17" spans="1:6" s="277" customFormat="1" ht="12" customHeight="1" x14ac:dyDescent="0.2">
      <c r="A17" s="269" t="s">
        <v>114</v>
      </c>
      <c r="B17" s="7" t="s">
        <v>238</v>
      </c>
      <c r="C17" s="53"/>
      <c r="E17" s="587" t="e">
        <f>'9.2.1. sz. mell'!C17+#REF!+'9.2.3. sz. mell.'!C17</f>
        <v>#REF!</v>
      </c>
      <c r="F17" s="587" t="e">
        <f t="shared" si="0"/>
        <v>#REF!</v>
      </c>
    </row>
    <row r="18" spans="1:6" s="277" customFormat="1" ht="12" customHeight="1" x14ac:dyDescent="0.2">
      <c r="A18" s="269" t="s">
        <v>115</v>
      </c>
      <c r="B18" s="7" t="s">
        <v>475</v>
      </c>
      <c r="C18" s="870"/>
      <c r="E18" s="587" t="e">
        <f>'9.2.1. sz. mell'!C18+#REF!+'9.2.3. sz. mell.'!C18</f>
        <v>#REF!</v>
      </c>
      <c r="F18" s="587" t="e">
        <f t="shared" si="0"/>
        <v>#REF!</v>
      </c>
    </row>
    <row r="19" spans="1:6" s="277" customFormat="1" ht="12" customHeight="1" thickBot="1" x14ac:dyDescent="0.25">
      <c r="A19" s="269" t="s">
        <v>116</v>
      </c>
      <c r="B19" s="6" t="s">
        <v>239</v>
      </c>
      <c r="C19" s="870">
        <f>100000+501164</f>
        <v>601164</v>
      </c>
      <c r="E19" s="587" t="e">
        <f>'9.2.1. sz. mell'!C19+#REF!+'9.2.3. sz. mell.'!C19</f>
        <v>#REF!</v>
      </c>
      <c r="F19" s="587" t="e">
        <f t="shared" si="0"/>
        <v>#REF!</v>
      </c>
    </row>
    <row r="20" spans="1:6" s="222" customFormat="1" ht="12" customHeight="1" thickBot="1" x14ac:dyDescent="0.25">
      <c r="A20" s="98" t="s">
        <v>23</v>
      </c>
      <c r="B20" s="129" t="s">
        <v>357</v>
      </c>
      <c r="C20" s="171">
        <f>SUM(C21:C23)</f>
        <v>2772415</v>
      </c>
      <c r="E20" s="587" t="e">
        <f>'9.2.1. sz. mell'!C20+#REF!+'9.2.3. sz. mell.'!C20</f>
        <v>#REF!</v>
      </c>
      <c r="F20" s="587" t="e">
        <f t="shared" si="0"/>
        <v>#REF!</v>
      </c>
    </row>
    <row r="21" spans="1:6" s="277" customFormat="1" ht="12" customHeight="1" x14ac:dyDescent="0.2">
      <c r="A21" s="269" t="s">
        <v>104</v>
      </c>
      <c r="B21" s="8" t="s">
        <v>207</v>
      </c>
      <c r="C21" s="169"/>
      <c r="E21" s="587" t="e">
        <f>'9.2.1. sz. mell'!C21+#REF!+'9.2.3. sz. mell.'!C21</f>
        <v>#REF!</v>
      </c>
      <c r="F21" s="587" t="e">
        <f t="shared" si="0"/>
        <v>#REF!</v>
      </c>
    </row>
    <row r="22" spans="1:6" s="277" customFormat="1" ht="12" customHeight="1" x14ac:dyDescent="0.2">
      <c r="A22" s="269" t="s">
        <v>105</v>
      </c>
      <c r="B22" s="7" t="s">
        <v>358</v>
      </c>
      <c r="C22" s="53"/>
      <c r="E22" s="587" t="e">
        <f>'9.2.1. sz. mell'!C22+#REF!+'9.2.3. sz. mell.'!C22</f>
        <v>#REF!</v>
      </c>
      <c r="F22" s="587" t="e">
        <f t="shared" si="0"/>
        <v>#REF!</v>
      </c>
    </row>
    <row r="23" spans="1:6" s="277" customFormat="1" ht="12" customHeight="1" x14ac:dyDescent="0.2">
      <c r="A23" s="269" t="s">
        <v>106</v>
      </c>
      <c r="B23" s="7" t="s">
        <v>359</v>
      </c>
      <c r="C23" s="53">
        <f>3096237-344442+20620</f>
        <v>2772415</v>
      </c>
      <c r="E23" s="587" t="e">
        <f>'9.2.1. sz. mell'!C23+#REF!+'9.2.3. sz. mell.'!C23</f>
        <v>#REF!</v>
      </c>
      <c r="F23" s="587" t="e">
        <f t="shared" si="0"/>
        <v>#REF!</v>
      </c>
    </row>
    <row r="24" spans="1:6" s="277" customFormat="1" ht="12" customHeight="1" thickBot="1" x14ac:dyDescent="0.25">
      <c r="A24" s="269" t="s">
        <v>107</v>
      </c>
      <c r="B24" s="7" t="s">
        <v>549</v>
      </c>
      <c r="C24" s="53"/>
      <c r="E24" s="587" t="e">
        <f>'9.2.1. sz. mell'!C24+#REF!+'9.2.3. sz. mell.'!C24</f>
        <v>#REF!</v>
      </c>
      <c r="F24" s="587" t="e">
        <f t="shared" si="0"/>
        <v>#REF!</v>
      </c>
    </row>
    <row r="25" spans="1:6" s="277" customFormat="1" ht="12" customHeight="1" thickBot="1" x14ac:dyDescent="0.25">
      <c r="A25" s="101" t="s">
        <v>24</v>
      </c>
      <c r="B25" s="85" t="s">
        <v>151</v>
      </c>
      <c r="C25" s="196"/>
      <c r="E25" s="587" t="e">
        <f>'9.2.1. sz. mell'!C25+#REF!+'9.2.3. sz. mell.'!C25</f>
        <v>#REF!</v>
      </c>
      <c r="F25" s="587" t="e">
        <f t="shared" si="0"/>
        <v>#REF!</v>
      </c>
    </row>
    <row r="26" spans="1:6" s="277" customFormat="1" ht="12" customHeight="1" thickBot="1" x14ac:dyDescent="0.25">
      <c r="A26" s="101" t="s">
        <v>25</v>
      </c>
      <c r="B26" s="85" t="s">
        <v>550</v>
      </c>
      <c r="C26" s="171">
        <f>+C27+C28+C29</f>
        <v>0</v>
      </c>
      <c r="E26" s="587" t="e">
        <f>'9.2.1. sz. mell'!C26+#REF!+'9.2.3. sz. mell.'!C26</f>
        <v>#REF!</v>
      </c>
      <c r="F26" s="587" t="e">
        <f t="shared" si="0"/>
        <v>#REF!</v>
      </c>
    </row>
    <row r="27" spans="1:6" s="277" customFormat="1" ht="12" customHeight="1" x14ac:dyDescent="0.2">
      <c r="A27" s="270" t="s">
        <v>217</v>
      </c>
      <c r="B27" s="271" t="s">
        <v>212</v>
      </c>
      <c r="C27" s="51"/>
      <c r="E27" s="587" t="e">
        <f>'9.2.1. sz. mell'!C27+#REF!+'9.2.3. sz. mell.'!C27</f>
        <v>#REF!</v>
      </c>
      <c r="F27" s="587" t="e">
        <f t="shared" si="0"/>
        <v>#REF!</v>
      </c>
    </row>
    <row r="28" spans="1:6" s="277" customFormat="1" ht="12" customHeight="1" x14ac:dyDescent="0.2">
      <c r="A28" s="270" t="s">
        <v>220</v>
      </c>
      <c r="B28" s="271" t="s">
        <v>358</v>
      </c>
      <c r="C28" s="169"/>
      <c r="E28" s="587" t="e">
        <f>'9.2.1. sz. mell'!C28+#REF!+'9.2.3. sz. mell.'!C28</f>
        <v>#REF!</v>
      </c>
      <c r="F28" s="587" t="e">
        <f t="shared" si="0"/>
        <v>#REF!</v>
      </c>
    </row>
    <row r="29" spans="1:6" s="277" customFormat="1" ht="12" customHeight="1" x14ac:dyDescent="0.2">
      <c r="A29" s="270" t="s">
        <v>221</v>
      </c>
      <c r="B29" s="272" t="s">
        <v>360</v>
      </c>
      <c r="C29" s="169"/>
      <c r="E29" s="587" t="e">
        <f>'9.2.1. sz. mell'!C29+#REF!+'9.2.3. sz. mell.'!C29</f>
        <v>#REF!</v>
      </c>
      <c r="F29" s="587" t="e">
        <f t="shared" si="0"/>
        <v>#REF!</v>
      </c>
    </row>
    <row r="30" spans="1:6" s="277" customFormat="1" ht="12" customHeight="1" thickBot="1" x14ac:dyDescent="0.25">
      <c r="A30" s="269" t="s">
        <v>222</v>
      </c>
      <c r="B30" s="88" t="s">
        <v>551</v>
      </c>
      <c r="C30" s="54"/>
      <c r="E30" s="587" t="e">
        <f>'9.2.1. sz. mell'!C30+#REF!+'9.2.3. sz. mell.'!C30</f>
        <v>#REF!</v>
      </c>
      <c r="F30" s="587" t="e">
        <f t="shared" si="0"/>
        <v>#REF!</v>
      </c>
    </row>
    <row r="31" spans="1:6" s="277" customFormat="1" ht="12" customHeight="1" thickBot="1" x14ac:dyDescent="0.25">
      <c r="A31" s="101" t="s">
        <v>26</v>
      </c>
      <c r="B31" s="85" t="s">
        <v>361</v>
      </c>
      <c r="C31" s="171">
        <f>+C32+C33+C34</f>
        <v>0</v>
      </c>
      <c r="E31" s="587" t="e">
        <f>'9.2.1. sz. mell'!C31+#REF!+'9.2.3. sz. mell.'!C31</f>
        <v>#REF!</v>
      </c>
      <c r="F31" s="587" t="e">
        <f t="shared" si="0"/>
        <v>#REF!</v>
      </c>
    </row>
    <row r="32" spans="1:6" s="277" customFormat="1" ht="12" customHeight="1" x14ac:dyDescent="0.2">
      <c r="A32" s="270" t="s">
        <v>91</v>
      </c>
      <c r="B32" s="271" t="s">
        <v>244</v>
      </c>
      <c r="C32" s="51"/>
      <c r="E32" s="587" t="e">
        <f>'9.2.1. sz. mell'!C32+#REF!+'9.2.3. sz. mell.'!C32</f>
        <v>#REF!</v>
      </c>
      <c r="F32" s="587" t="e">
        <f t="shared" si="0"/>
        <v>#REF!</v>
      </c>
    </row>
    <row r="33" spans="1:6" s="277" customFormat="1" ht="12" customHeight="1" x14ac:dyDescent="0.2">
      <c r="A33" s="270" t="s">
        <v>92</v>
      </c>
      <c r="B33" s="272" t="s">
        <v>245</v>
      </c>
      <c r="C33" s="172"/>
      <c r="E33" s="587" t="e">
        <f>'9.2.1. sz. mell'!C33+#REF!+'9.2.3. sz. mell.'!C33</f>
        <v>#REF!</v>
      </c>
      <c r="F33" s="587" t="e">
        <f t="shared" si="0"/>
        <v>#REF!</v>
      </c>
    </row>
    <row r="34" spans="1:6" s="277" customFormat="1" ht="12" customHeight="1" thickBot="1" x14ac:dyDescent="0.25">
      <c r="A34" s="269" t="s">
        <v>93</v>
      </c>
      <c r="B34" s="88" t="s">
        <v>246</v>
      </c>
      <c r="C34" s="54"/>
      <c r="E34" s="587" t="e">
        <f>'9.2.1. sz. mell'!C34+#REF!+'9.2.3. sz. mell.'!C34</f>
        <v>#REF!</v>
      </c>
      <c r="F34" s="587" t="e">
        <f t="shared" si="0"/>
        <v>#REF!</v>
      </c>
    </row>
    <row r="35" spans="1:6" s="222" customFormat="1" ht="12" customHeight="1" thickBot="1" x14ac:dyDescent="0.25">
      <c r="A35" s="101" t="s">
        <v>27</v>
      </c>
      <c r="B35" s="85" t="s">
        <v>332</v>
      </c>
      <c r="C35" s="196"/>
      <c r="E35" s="587" t="e">
        <f>'9.2.1. sz. mell'!C35+#REF!+'9.2.3. sz. mell.'!C35</f>
        <v>#REF!</v>
      </c>
      <c r="F35" s="587" t="e">
        <f t="shared" si="0"/>
        <v>#REF!</v>
      </c>
    </row>
    <row r="36" spans="1:6" s="222" customFormat="1" ht="12" customHeight="1" thickBot="1" x14ac:dyDescent="0.25">
      <c r="A36" s="101" t="s">
        <v>28</v>
      </c>
      <c r="B36" s="85" t="s">
        <v>362</v>
      </c>
      <c r="C36" s="213"/>
      <c r="E36" s="587" t="e">
        <f>'9.2.1. sz. mell'!C36+#REF!+'9.2.3. sz. mell.'!C36</f>
        <v>#REF!</v>
      </c>
      <c r="F36" s="587" t="e">
        <f t="shared" si="0"/>
        <v>#REF!</v>
      </c>
    </row>
    <row r="37" spans="1:6" s="222" customFormat="1" ht="12" customHeight="1" thickBot="1" x14ac:dyDescent="0.25">
      <c r="A37" s="98" t="s">
        <v>29</v>
      </c>
      <c r="B37" s="85" t="s">
        <v>363</v>
      </c>
      <c r="C37" s="214">
        <f>+C8+C20+C25+C26+C31+C35+C36</f>
        <v>11759313</v>
      </c>
      <c r="E37" s="587" t="e">
        <f>'9.2.1. sz. mell'!C37+#REF!+'9.2.3. sz. mell.'!C37</f>
        <v>#REF!</v>
      </c>
      <c r="F37" s="587" t="e">
        <f t="shared" si="0"/>
        <v>#REF!</v>
      </c>
    </row>
    <row r="38" spans="1:6" s="222" customFormat="1" ht="12" customHeight="1" thickBot="1" x14ac:dyDescent="0.25">
      <c r="A38" s="130" t="s">
        <v>30</v>
      </c>
      <c r="B38" s="85" t="s">
        <v>364</v>
      </c>
      <c r="C38" s="214">
        <f>+C39+C40+C41</f>
        <v>233205944</v>
      </c>
      <c r="E38" s="587" t="e">
        <f>'9.2.1. sz. mell'!C38+#REF!+'9.2.3. sz. mell.'!C38</f>
        <v>#REF!</v>
      </c>
      <c r="F38" s="587" t="e">
        <f t="shared" si="0"/>
        <v>#REF!</v>
      </c>
    </row>
    <row r="39" spans="1:6" s="222" customFormat="1" ht="12" customHeight="1" x14ac:dyDescent="0.2">
      <c r="A39" s="270" t="s">
        <v>365</v>
      </c>
      <c r="B39" s="271" t="s">
        <v>189</v>
      </c>
      <c r="C39" s="51">
        <f>3148853+63321</f>
        <v>3212174</v>
      </c>
      <c r="E39" s="587" t="e">
        <f>'9.2.1. sz. mell'!C39+#REF!+'9.2.3. sz. mell.'!C39</f>
        <v>#REF!</v>
      </c>
      <c r="F39" s="587" t="e">
        <f t="shared" si="0"/>
        <v>#REF!</v>
      </c>
    </row>
    <row r="40" spans="1:6" s="222" customFormat="1" ht="12" customHeight="1" x14ac:dyDescent="0.2">
      <c r="A40" s="270" t="s">
        <v>366</v>
      </c>
      <c r="B40" s="272" t="s">
        <v>13</v>
      </c>
      <c r="C40" s="172"/>
      <c r="E40" s="587" t="e">
        <f>'9.2.1. sz. mell'!C40+#REF!+'9.2.3. sz. mell.'!C40</f>
        <v>#REF!</v>
      </c>
      <c r="F40" s="587" t="e">
        <f t="shared" si="0"/>
        <v>#REF!</v>
      </c>
    </row>
    <row r="41" spans="1:6" s="277" customFormat="1" ht="12" customHeight="1" thickBot="1" x14ac:dyDescent="0.25">
      <c r="A41" s="269" t="s">
        <v>367</v>
      </c>
      <c r="B41" s="88" t="s">
        <v>368</v>
      </c>
      <c r="C41" s="843">
        <f>228217724-1278+1777324</f>
        <v>229993770</v>
      </c>
      <c r="E41" s="587" t="e">
        <f>'9.2.1. sz. mell'!C41+#REF!+'9.2.3. sz. mell.'!C41</f>
        <v>#REF!</v>
      </c>
      <c r="F41" s="587" t="e">
        <f t="shared" si="0"/>
        <v>#REF!</v>
      </c>
    </row>
    <row r="42" spans="1:6" s="277" customFormat="1" ht="15" customHeight="1" thickBot="1" x14ac:dyDescent="0.25">
      <c r="A42" s="130" t="s">
        <v>31</v>
      </c>
      <c r="B42" s="131" t="s">
        <v>369</v>
      </c>
      <c r="C42" s="217">
        <f>+C37+C38</f>
        <v>244965257</v>
      </c>
      <c r="E42" s="587" t="e">
        <f>'9.2.1. sz. mell'!C42+#REF!+'9.2.3. sz. mell.'!C42</f>
        <v>#REF!</v>
      </c>
      <c r="F42" s="587" t="e">
        <f t="shared" si="0"/>
        <v>#REF!</v>
      </c>
    </row>
    <row r="43" spans="1:6" s="277" customFormat="1" ht="15" customHeight="1" x14ac:dyDescent="0.2">
      <c r="A43" s="132"/>
      <c r="B43" s="133"/>
      <c r="C43" s="215"/>
      <c r="E43" s="587" t="e">
        <f>'9.2.1. sz. mell'!C43+#REF!+'9.2.3. sz. mell.'!C43</f>
        <v>#REF!</v>
      </c>
      <c r="F43" s="584"/>
    </row>
    <row r="44" spans="1:6" ht="13.5" thickBot="1" x14ac:dyDescent="0.25">
      <c r="A44" s="134"/>
      <c r="B44" s="135"/>
      <c r="C44" s="216"/>
      <c r="E44" s="587" t="e">
        <f>'9.2.1. sz. mell'!C44+#REF!+'9.2.3. sz. mell.'!C44</f>
        <v>#REF!</v>
      </c>
    </row>
    <row r="45" spans="1:6" s="276" customFormat="1" ht="16.5" customHeight="1" thickBot="1" x14ac:dyDescent="0.25">
      <c r="A45" s="136"/>
      <c r="B45" s="137" t="s">
        <v>61</v>
      </c>
      <c r="C45" s="217"/>
      <c r="E45" s="587" t="e">
        <f>'9.2.1. sz. mell'!C45+#REF!+'9.2.3. sz. mell.'!C45</f>
        <v>#REF!</v>
      </c>
      <c r="F45" s="586"/>
    </row>
    <row r="46" spans="1:6" s="278" customFormat="1" ht="12" customHeight="1" thickBot="1" x14ac:dyDescent="0.25">
      <c r="A46" s="101" t="s">
        <v>22</v>
      </c>
      <c r="B46" s="85" t="s">
        <v>370</v>
      </c>
      <c r="C46" s="171">
        <f>SUM(C47:C51)</f>
        <v>240045277</v>
      </c>
      <c r="E46" s="587" t="e">
        <f>'9.2.1. sz. mell'!C46+#REF!+'9.2.3. sz. mell.'!C46</f>
        <v>#REF!</v>
      </c>
      <c r="F46" s="587" t="e">
        <f t="shared" ref="F46:F58" si="1">C46-E46</f>
        <v>#REF!</v>
      </c>
    </row>
    <row r="47" spans="1:6" ht="12" customHeight="1" x14ac:dyDescent="0.2">
      <c r="A47" s="269" t="s">
        <v>98</v>
      </c>
      <c r="B47" s="8" t="s">
        <v>53</v>
      </c>
      <c r="C47" s="820">
        <f>139878591-175365-569836+152400+1337422+71400</f>
        <v>140694612</v>
      </c>
      <c r="E47" s="587" t="e">
        <f>'9.2.1. sz. mell'!C47+#REF!+'9.2.3. sz. mell.'!C47</f>
        <v>#REF!</v>
      </c>
      <c r="F47" s="587" t="e">
        <f t="shared" si="1"/>
        <v>#REF!</v>
      </c>
    </row>
    <row r="48" spans="1:6" ht="12" customHeight="1" x14ac:dyDescent="0.2">
      <c r="A48" s="269" t="s">
        <v>99</v>
      </c>
      <c r="B48" s="7" t="s">
        <v>160</v>
      </c>
      <c r="C48" s="822">
        <f>29776525-18991+3298+98926-416745+62043+268072+13930</f>
        <v>29787058</v>
      </c>
      <c r="E48" s="587" t="e">
        <f>'9.2.1. sz. mell'!C48+#REF!+'9.2.3. sz. mell.'!C48</f>
        <v>#REF!</v>
      </c>
      <c r="F48" s="587" t="e">
        <f t="shared" si="1"/>
        <v>#REF!</v>
      </c>
    </row>
    <row r="49" spans="1:10" ht="12" customHeight="1" x14ac:dyDescent="0.2">
      <c r="A49" s="269" t="s">
        <v>100</v>
      </c>
      <c r="B49" s="7" t="s">
        <v>130</v>
      </c>
      <c r="C49" s="53">
        <f>45442679-83792-152400+20620</f>
        <v>45227107</v>
      </c>
      <c r="E49" s="587" t="e">
        <f>'9.2.1. sz. mell'!C49+#REF!+'9.2.3. sz. mell.'!C49</f>
        <v>#REF!</v>
      </c>
      <c r="F49" s="587" t="e">
        <f t="shared" si="1"/>
        <v>#REF!</v>
      </c>
    </row>
    <row r="50" spans="1:10" ht="12" customHeight="1" x14ac:dyDescent="0.2">
      <c r="A50" s="269" t="s">
        <v>101</v>
      </c>
      <c r="B50" s="7" t="s">
        <v>161</v>
      </c>
      <c r="C50" s="53">
        <v>24250000</v>
      </c>
      <c r="E50" s="587" t="e">
        <f>'9.2.1. sz. mell'!C50+#REF!+'9.2.3. sz. mell.'!C50</f>
        <v>#REF!</v>
      </c>
      <c r="F50" s="587" t="e">
        <f t="shared" si="1"/>
        <v>#REF!</v>
      </c>
    </row>
    <row r="51" spans="1:10" ht="12" customHeight="1" thickBot="1" x14ac:dyDescent="0.25">
      <c r="A51" s="269" t="s">
        <v>137</v>
      </c>
      <c r="B51" s="7" t="s">
        <v>162</v>
      </c>
      <c r="C51" s="822">
        <f>86500</f>
        <v>86500</v>
      </c>
      <c r="E51" s="587" t="e">
        <f>'9.2.1. sz. mell'!C51+#REF!+'9.2.3. sz. mell.'!C51</f>
        <v>#REF!</v>
      </c>
      <c r="F51" s="587" t="e">
        <f t="shared" si="1"/>
        <v>#REF!</v>
      </c>
    </row>
    <row r="52" spans="1:10" ht="12" customHeight="1" thickBot="1" x14ac:dyDescent="0.25">
      <c r="A52" s="101" t="s">
        <v>23</v>
      </c>
      <c r="B52" s="85" t="s">
        <v>371</v>
      </c>
      <c r="C52" s="171">
        <f>SUM(C53:C55)</f>
        <v>4919980</v>
      </c>
      <c r="E52" s="587" t="e">
        <f>'9.2.1. sz. mell'!C52+#REF!+'9.2.3. sz. mell.'!C52</f>
        <v>#REF!</v>
      </c>
      <c r="F52" s="587" t="e">
        <f t="shared" si="1"/>
        <v>#REF!</v>
      </c>
    </row>
    <row r="53" spans="1:10" s="278" customFormat="1" ht="12" customHeight="1" x14ac:dyDescent="0.2">
      <c r="A53" s="269" t="s">
        <v>104</v>
      </c>
      <c r="B53" s="8" t="s">
        <v>180</v>
      </c>
      <c r="C53" s="51">
        <v>4919980</v>
      </c>
      <c r="E53" s="587" t="e">
        <f>'9.2.1. sz. mell'!C53+#REF!+'9.2.3. sz. mell.'!C53</f>
        <v>#REF!</v>
      </c>
      <c r="F53" s="587" t="e">
        <f t="shared" si="1"/>
        <v>#REF!</v>
      </c>
    </row>
    <row r="54" spans="1:10" ht="12" customHeight="1" x14ac:dyDescent="0.2">
      <c r="A54" s="269" t="s">
        <v>105</v>
      </c>
      <c r="B54" s="7" t="s">
        <v>164</v>
      </c>
      <c r="C54" s="53"/>
      <c r="E54" s="587" t="e">
        <f>'9.2.1. sz. mell'!C54+#REF!+'9.2.3. sz. mell.'!C54</f>
        <v>#REF!</v>
      </c>
      <c r="F54" s="587" t="e">
        <f t="shared" si="1"/>
        <v>#REF!</v>
      </c>
    </row>
    <row r="55" spans="1:10" ht="12" customHeight="1" x14ac:dyDescent="0.2">
      <c r="A55" s="269" t="s">
        <v>106</v>
      </c>
      <c r="B55" s="7" t="s">
        <v>62</v>
      </c>
      <c r="C55" s="53"/>
      <c r="E55" s="587" t="e">
        <f>'9.2.1. sz. mell'!C55+#REF!+'9.2.3. sz. mell.'!C55</f>
        <v>#REF!</v>
      </c>
      <c r="F55" s="587" t="e">
        <f t="shared" si="1"/>
        <v>#REF!</v>
      </c>
    </row>
    <row r="56" spans="1:10" ht="12" customHeight="1" thickBot="1" x14ac:dyDescent="0.25">
      <c r="A56" s="269" t="s">
        <v>107</v>
      </c>
      <c r="B56" s="7" t="s">
        <v>552</v>
      </c>
      <c r="C56" s="53"/>
      <c r="E56" s="587" t="e">
        <f>'9.2.1. sz. mell'!C56+#REF!+'9.2.3. sz. mell.'!C56</f>
        <v>#REF!</v>
      </c>
      <c r="F56" s="587" t="e">
        <f t="shared" si="1"/>
        <v>#REF!</v>
      </c>
    </row>
    <row r="57" spans="1:10" ht="12" customHeight="1" thickBot="1" x14ac:dyDescent="0.25">
      <c r="A57" s="101" t="s">
        <v>24</v>
      </c>
      <c r="B57" s="85" t="s">
        <v>17</v>
      </c>
      <c r="C57" s="196"/>
      <c r="E57" s="587" t="e">
        <f>'9.2.1. sz. mell'!C57+#REF!+'9.2.3. sz. mell.'!C57</f>
        <v>#REF!</v>
      </c>
      <c r="F57" s="587" t="e">
        <f t="shared" si="1"/>
        <v>#REF!</v>
      </c>
    </row>
    <row r="58" spans="1:10" ht="15" customHeight="1" thickBot="1" x14ac:dyDescent="0.25">
      <c r="A58" s="101" t="s">
        <v>25</v>
      </c>
      <c r="B58" s="138" t="s">
        <v>553</v>
      </c>
      <c r="C58" s="218">
        <f>+C46+C52+C57</f>
        <v>244965257</v>
      </c>
      <c r="E58" s="587" t="e">
        <f>'9.2.1. sz. mell'!C58+#REF!+'9.2.3. sz. mell.'!C58</f>
        <v>#REF!</v>
      </c>
      <c r="F58" s="587" t="e">
        <f t="shared" si="1"/>
        <v>#REF!</v>
      </c>
    </row>
    <row r="59" spans="1:10" ht="13.5" thickBot="1" x14ac:dyDescent="0.25">
      <c r="C59" s="495"/>
      <c r="E59" s="587" t="e">
        <f>'9.2.1. sz. mell'!C59+#REF!+'9.2.3. sz. mell.'!C59</f>
        <v>#REF!</v>
      </c>
      <c r="F59" s="588"/>
    </row>
    <row r="60" spans="1:10" ht="15" customHeight="1" thickBot="1" x14ac:dyDescent="0.25">
      <c r="A60" s="141" t="s">
        <v>545</v>
      </c>
      <c r="B60" s="142"/>
      <c r="C60" s="955">
        <v>46.58</v>
      </c>
      <c r="E60" s="587" t="e">
        <f>'9.2.1. sz. mell'!C60+#REF!+'9.2.3. sz. mell.'!C60</f>
        <v>#REF!</v>
      </c>
      <c r="F60" s="587" t="e">
        <f>C60-E60</f>
        <v>#REF!</v>
      </c>
    </row>
    <row r="61" spans="1:10" ht="14.25" customHeight="1" thickBot="1" x14ac:dyDescent="0.25">
      <c r="A61" s="141" t="s">
        <v>176</v>
      </c>
      <c r="B61" s="142"/>
      <c r="C61" s="84"/>
      <c r="E61" s="587" t="e">
        <f>'9.2.1. sz. mell'!C61+#REF!+'9.2.3. sz. mell.'!C61</f>
        <v>#REF!</v>
      </c>
      <c r="F61" s="587" t="e">
        <f>C61-E61</f>
        <v>#REF!</v>
      </c>
    </row>
    <row r="62" spans="1:10" x14ac:dyDescent="0.2">
      <c r="J62" s="661"/>
    </row>
    <row r="66" spans="4:4" x14ac:dyDescent="0.2">
      <c r="D66" s="6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11/2018.(V.31.) önkormányzati rendelethez</oddHead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topLeftCell="D1" zoomScaleNormal="130" workbookViewId="0">
      <selection activeCell="N2" sqref="N2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140" customWidth="1"/>
    <col min="4" max="16384" width="9.33203125" style="140"/>
  </cols>
  <sheetData>
    <row r="1" spans="1:3" s="119" customFormat="1" ht="21" customHeight="1" thickBot="1" x14ac:dyDescent="0.25">
      <c r="A1" s="118"/>
      <c r="B1" s="120"/>
      <c r="C1" s="273"/>
    </row>
    <row r="2" spans="1:3" s="274" customFormat="1" ht="35.25" customHeight="1" x14ac:dyDescent="0.2">
      <c r="A2" s="231" t="s">
        <v>174</v>
      </c>
      <c r="B2" s="206" t="s">
        <v>547</v>
      </c>
      <c r="C2" s="220" t="s">
        <v>64</v>
      </c>
    </row>
    <row r="3" spans="1:3" s="274" customFormat="1" ht="24.75" thickBot="1" x14ac:dyDescent="0.25">
      <c r="A3" s="267" t="s">
        <v>173</v>
      </c>
      <c r="B3" s="207" t="s">
        <v>372</v>
      </c>
      <c r="C3" s="221" t="s">
        <v>64</v>
      </c>
    </row>
    <row r="4" spans="1:3" s="275" customFormat="1" ht="15.95" customHeight="1" thickBot="1" x14ac:dyDescent="0.3">
      <c r="A4" s="122"/>
      <c r="B4" s="122"/>
      <c r="C4" s="123" t="s">
        <v>590</v>
      </c>
    </row>
    <row r="5" spans="1:3" ht="13.5" thickBot="1" x14ac:dyDescent="0.25">
      <c r="A5" s="232" t="s">
        <v>175</v>
      </c>
      <c r="B5" s="124" t="s">
        <v>58</v>
      </c>
      <c r="C5" s="125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100" t="s">
        <v>468</v>
      </c>
    </row>
    <row r="7" spans="1:3" s="276" customFormat="1" ht="15.95" customHeight="1" thickBot="1" x14ac:dyDescent="0.25">
      <c r="A7" s="126"/>
      <c r="B7" s="127" t="s">
        <v>60</v>
      </c>
      <c r="C7" s="128"/>
    </row>
    <row r="8" spans="1:3" s="222" customFormat="1" ht="12" customHeight="1" thickBot="1" x14ac:dyDescent="0.25">
      <c r="A8" s="98" t="s">
        <v>22</v>
      </c>
      <c r="B8" s="129" t="s">
        <v>548</v>
      </c>
      <c r="C8" s="171">
        <f>SUM(C9:C19)</f>
        <v>2071734</v>
      </c>
    </row>
    <row r="9" spans="1:3" s="222" customFormat="1" ht="12" customHeight="1" x14ac:dyDescent="0.2">
      <c r="A9" s="268" t="s">
        <v>98</v>
      </c>
      <c r="B9" s="9" t="s">
        <v>230</v>
      </c>
      <c r="C9" s="211"/>
    </row>
    <row r="10" spans="1:3" s="222" customFormat="1" ht="12" customHeight="1" x14ac:dyDescent="0.2">
      <c r="A10" s="269" t="s">
        <v>99</v>
      </c>
      <c r="B10" s="7" t="s">
        <v>231</v>
      </c>
      <c r="C10" s="169">
        <f>1198440+380000</f>
        <v>1578440</v>
      </c>
    </row>
    <row r="11" spans="1:3" s="222" customFormat="1" ht="12" customHeight="1" x14ac:dyDescent="0.2">
      <c r="A11" s="269" t="s">
        <v>100</v>
      </c>
      <c r="B11" s="7" t="s">
        <v>232</v>
      </c>
      <c r="C11" s="53">
        <f>52200</f>
        <v>52200</v>
      </c>
    </row>
    <row r="12" spans="1:3" s="222" customFormat="1" ht="12" customHeight="1" x14ac:dyDescent="0.2">
      <c r="A12" s="269" t="s">
        <v>101</v>
      </c>
      <c r="B12" s="7" t="s">
        <v>233</v>
      </c>
      <c r="C12" s="53"/>
    </row>
    <row r="13" spans="1:3" s="222" customFormat="1" ht="12" customHeight="1" x14ac:dyDescent="0.2">
      <c r="A13" s="269" t="s">
        <v>137</v>
      </c>
      <c r="B13" s="7" t="s">
        <v>234</v>
      </c>
      <c r="C13" s="53"/>
    </row>
    <row r="14" spans="1:3" s="222" customFormat="1" ht="12" customHeight="1" x14ac:dyDescent="0.2">
      <c r="A14" s="269" t="s">
        <v>102</v>
      </c>
      <c r="B14" s="7" t="s">
        <v>355</v>
      </c>
      <c r="C14" s="53">
        <f>324000+103000+14094</f>
        <v>441094</v>
      </c>
    </row>
    <row r="15" spans="1:3" s="222" customFormat="1" ht="12" customHeight="1" x14ac:dyDescent="0.2">
      <c r="A15" s="269" t="s">
        <v>103</v>
      </c>
      <c r="B15" s="6" t="s">
        <v>356</v>
      </c>
      <c r="C15" s="53"/>
    </row>
    <row r="16" spans="1:3" s="222" customFormat="1" ht="12" customHeight="1" x14ac:dyDescent="0.2">
      <c r="A16" s="269" t="s">
        <v>113</v>
      </c>
      <c r="B16" s="7" t="s">
        <v>237</v>
      </c>
      <c r="C16" s="212"/>
    </row>
    <row r="17" spans="1:3" s="277" customFormat="1" ht="12" customHeight="1" x14ac:dyDescent="0.2">
      <c r="A17" s="269" t="s">
        <v>114</v>
      </c>
      <c r="B17" s="7" t="s">
        <v>238</v>
      </c>
      <c r="C17" s="169"/>
    </row>
    <row r="18" spans="1:3" s="277" customFormat="1" ht="12" customHeight="1" x14ac:dyDescent="0.2">
      <c r="A18" s="269" t="s">
        <v>115</v>
      </c>
      <c r="B18" s="7" t="s">
        <v>475</v>
      </c>
      <c r="C18" s="170"/>
    </row>
    <row r="19" spans="1:3" s="277" customFormat="1" ht="12" customHeight="1" thickBot="1" x14ac:dyDescent="0.25">
      <c r="A19" s="269" t="s">
        <v>116</v>
      </c>
      <c r="B19" s="6" t="s">
        <v>239</v>
      </c>
      <c r="C19" s="170"/>
    </row>
    <row r="20" spans="1:3" s="222" customFormat="1" ht="12" customHeight="1" thickBot="1" x14ac:dyDescent="0.25">
      <c r="A20" s="98" t="s">
        <v>23</v>
      </c>
      <c r="B20" s="129" t="s">
        <v>357</v>
      </c>
      <c r="C20" s="171">
        <f>SUM(C21:C23)</f>
        <v>2772415</v>
      </c>
    </row>
    <row r="21" spans="1:3" s="277" customFormat="1" ht="12" customHeight="1" x14ac:dyDescent="0.2">
      <c r="A21" s="269" t="s">
        <v>104</v>
      </c>
      <c r="B21" s="8" t="s">
        <v>207</v>
      </c>
      <c r="C21" s="169"/>
    </row>
    <row r="22" spans="1:3" s="277" customFormat="1" ht="12" customHeight="1" x14ac:dyDescent="0.2">
      <c r="A22" s="269" t="s">
        <v>105</v>
      </c>
      <c r="B22" s="7" t="s">
        <v>358</v>
      </c>
      <c r="C22" s="53"/>
    </row>
    <row r="23" spans="1:3" s="277" customFormat="1" ht="12" customHeight="1" x14ac:dyDescent="0.2">
      <c r="A23" s="269" t="s">
        <v>106</v>
      </c>
      <c r="B23" s="7" t="s">
        <v>359</v>
      </c>
      <c r="C23" s="53">
        <f>3096237-344442+20620</f>
        <v>2772415</v>
      </c>
    </row>
    <row r="24" spans="1:3" s="277" customFormat="1" ht="12" customHeight="1" thickBot="1" x14ac:dyDescent="0.25">
      <c r="A24" s="269" t="s">
        <v>107</v>
      </c>
      <c r="B24" s="7" t="s">
        <v>549</v>
      </c>
      <c r="C24" s="871"/>
    </row>
    <row r="25" spans="1:3" s="277" customFormat="1" ht="12" customHeight="1" thickBot="1" x14ac:dyDescent="0.25">
      <c r="A25" s="101" t="s">
        <v>24</v>
      </c>
      <c r="B25" s="85" t="s">
        <v>151</v>
      </c>
      <c r="C25" s="196"/>
    </row>
    <row r="26" spans="1:3" s="277" customFormat="1" ht="12" customHeight="1" thickBot="1" x14ac:dyDescent="0.25">
      <c r="A26" s="101" t="s">
        <v>25</v>
      </c>
      <c r="B26" s="85" t="s">
        <v>550</v>
      </c>
      <c r="C26" s="171">
        <f>+C27+C28+C29</f>
        <v>0</v>
      </c>
    </row>
    <row r="27" spans="1:3" s="277" customFormat="1" ht="12" customHeight="1" x14ac:dyDescent="0.2">
      <c r="A27" s="270" t="s">
        <v>217</v>
      </c>
      <c r="B27" s="271" t="s">
        <v>212</v>
      </c>
      <c r="C27" s="51"/>
    </row>
    <row r="28" spans="1:3" s="277" customFormat="1" ht="12" customHeight="1" x14ac:dyDescent="0.2">
      <c r="A28" s="270" t="s">
        <v>220</v>
      </c>
      <c r="B28" s="271" t="s">
        <v>358</v>
      </c>
      <c r="C28" s="169"/>
    </row>
    <row r="29" spans="1:3" s="277" customFormat="1" ht="12" customHeight="1" x14ac:dyDescent="0.2">
      <c r="A29" s="270" t="s">
        <v>221</v>
      </c>
      <c r="B29" s="272" t="s">
        <v>360</v>
      </c>
      <c r="C29" s="169"/>
    </row>
    <row r="30" spans="1:3" s="277" customFormat="1" ht="12" customHeight="1" thickBot="1" x14ac:dyDescent="0.25">
      <c r="A30" s="269" t="s">
        <v>222</v>
      </c>
      <c r="B30" s="88" t="s">
        <v>551</v>
      </c>
      <c r="C30" s="54"/>
    </row>
    <row r="31" spans="1:3" s="277" customFormat="1" ht="12" customHeight="1" thickBot="1" x14ac:dyDescent="0.25">
      <c r="A31" s="101" t="s">
        <v>26</v>
      </c>
      <c r="B31" s="85" t="s">
        <v>361</v>
      </c>
      <c r="C31" s="171">
        <f>+C32+C33+C34</f>
        <v>0</v>
      </c>
    </row>
    <row r="32" spans="1:3" s="277" customFormat="1" ht="12" customHeight="1" x14ac:dyDescent="0.2">
      <c r="A32" s="270" t="s">
        <v>91</v>
      </c>
      <c r="B32" s="271" t="s">
        <v>244</v>
      </c>
      <c r="C32" s="51"/>
    </row>
    <row r="33" spans="1:3" s="277" customFormat="1" ht="12" customHeight="1" x14ac:dyDescent="0.2">
      <c r="A33" s="270" t="s">
        <v>92</v>
      </c>
      <c r="B33" s="272" t="s">
        <v>245</v>
      </c>
      <c r="C33" s="172"/>
    </row>
    <row r="34" spans="1:3" s="277" customFormat="1" ht="12" customHeight="1" thickBot="1" x14ac:dyDescent="0.25">
      <c r="A34" s="269" t="s">
        <v>93</v>
      </c>
      <c r="B34" s="88" t="s">
        <v>246</v>
      </c>
      <c r="C34" s="54"/>
    </row>
    <row r="35" spans="1:3" s="222" customFormat="1" ht="12" customHeight="1" thickBot="1" x14ac:dyDescent="0.25">
      <c r="A35" s="101" t="s">
        <v>27</v>
      </c>
      <c r="B35" s="85" t="s">
        <v>332</v>
      </c>
      <c r="C35" s="196"/>
    </row>
    <row r="36" spans="1:3" s="222" customFormat="1" ht="12" customHeight="1" thickBot="1" x14ac:dyDescent="0.25">
      <c r="A36" s="101" t="s">
        <v>28</v>
      </c>
      <c r="B36" s="85" t="s">
        <v>362</v>
      </c>
      <c r="C36" s="213"/>
    </row>
    <row r="37" spans="1:3" s="222" customFormat="1" ht="12" customHeight="1" thickBot="1" x14ac:dyDescent="0.25">
      <c r="A37" s="98" t="s">
        <v>29</v>
      </c>
      <c r="B37" s="85" t="s">
        <v>363</v>
      </c>
      <c r="C37" s="214">
        <f>+C8+C20+C25+C26+C31+C35+C36</f>
        <v>4844149</v>
      </c>
    </row>
    <row r="38" spans="1:3" s="222" customFormat="1" ht="12" customHeight="1" thickBot="1" x14ac:dyDescent="0.25">
      <c r="A38" s="130" t="s">
        <v>30</v>
      </c>
      <c r="B38" s="85" t="s">
        <v>364</v>
      </c>
      <c r="C38" s="214">
        <f>+C39+C40+C41</f>
        <v>23655984</v>
      </c>
    </row>
    <row r="39" spans="1:3" s="222" customFormat="1" ht="12" customHeight="1" x14ac:dyDescent="0.2">
      <c r="A39" s="270" t="s">
        <v>365</v>
      </c>
      <c r="B39" s="271" t="s">
        <v>189</v>
      </c>
      <c r="C39" s="51">
        <f>3148853+63321</f>
        <v>3212174</v>
      </c>
    </row>
    <row r="40" spans="1:3" s="222" customFormat="1" ht="12" customHeight="1" x14ac:dyDescent="0.2">
      <c r="A40" s="270" t="s">
        <v>366</v>
      </c>
      <c r="B40" s="272" t="s">
        <v>13</v>
      </c>
      <c r="C40" s="172"/>
    </row>
    <row r="41" spans="1:3" s="277" customFormat="1" ht="12" customHeight="1" thickBot="1" x14ac:dyDescent="0.25">
      <c r="A41" s="269" t="s">
        <v>367</v>
      </c>
      <c r="B41" s="88" t="s">
        <v>368</v>
      </c>
      <c r="C41" s="54">
        <f>20503833+3298-63321</f>
        <v>20443810</v>
      </c>
    </row>
    <row r="42" spans="1:3" s="277" customFormat="1" ht="15" customHeight="1" thickBot="1" x14ac:dyDescent="0.25">
      <c r="A42" s="130" t="s">
        <v>31</v>
      </c>
      <c r="B42" s="131" t="s">
        <v>369</v>
      </c>
      <c r="C42" s="217">
        <f>+C37+C38</f>
        <v>28500133</v>
      </c>
    </row>
    <row r="43" spans="1:3" s="277" customFormat="1" ht="15" customHeight="1" x14ac:dyDescent="0.2">
      <c r="A43" s="132"/>
      <c r="B43" s="133"/>
      <c r="C43" s="215"/>
    </row>
    <row r="44" spans="1:3" ht="13.5" thickBot="1" x14ac:dyDescent="0.25">
      <c r="A44" s="134"/>
      <c r="B44" s="135"/>
      <c r="C44" s="216"/>
    </row>
    <row r="45" spans="1:3" s="276" customFormat="1" ht="16.5" customHeight="1" thickBot="1" x14ac:dyDescent="0.25">
      <c r="A45" s="136"/>
      <c r="B45" s="137" t="s">
        <v>61</v>
      </c>
      <c r="C45" s="217"/>
    </row>
    <row r="46" spans="1:3" s="278" customFormat="1" ht="12" customHeight="1" thickBot="1" x14ac:dyDescent="0.25">
      <c r="A46" s="101" t="s">
        <v>22</v>
      </c>
      <c r="B46" s="85" t="s">
        <v>370</v>
      </c>
      <c r="C46" s="171">
        <f>SUM(C47:C51)</f>
        <v>28586633</v>
      </c>
    </row>
    <row r="47" spans="1:3" ht="12" customHeight="1" x14ac:dyDescent="0.2">
      <c r="A47" s="269" t="s">
        <v>98</v>
      </c>
      <c r="B47" s="8" t="s">
        <v>53</v>
      </c>
      <c r="C47" s="51">
        <f>481000+2215000-175365</f>
        <v>2520635</v>
      </c>
    </row>
    <row r="48" spans="1:3" ht="12" customHeight="1" x14ac:dyDescent="0.2">
      <c r="A48" s="269" t="s">
        <v>99</v>
      </c>
      <c r="B48" s="7" t="s">
        <v>160</v>
      </c>
      <c r="C48" s="53">
        <f>114000+461687-18991+3298</f>
        <v>559994</v>
      </c>
    </row>
    <row r="49" spans="1:3" ht="12" customHeight="1" x14ac:dyDescent="0.2">
      <c r="A49" s="269" t="s">
        <v>100</v>
      </c>
      <c r="B49" s="7" t="s">
        <v>130</v>
      </c>
      <c r="C49" s="53">
        <f>324000+352000+137126+419550-83792+20620</f>
        <v>1169504</v>
      </c>
    </row>
    <row r="50" spans="1:3" ht="12" customHeight="1" x14ac:dyDescent="0.2">
      <c r="A50" s="269" t="s">
        <v>101</v>
      </c>
      <c r="B50" s="7" t="s">
        <v>161</v>
      </c>
      <c r="C50" s="53">
        <v>24250000</v>
      </c>
    </row>
    <row r="51" spans="1:3" ht="12" customHeight="1" thickBot="1" x14ac:dyDescent="0.25">
      <c r="A51" s="269" t="s">
        <v>137</v>
      </c>
      <c r="B51" s="7" t="s">
        <v>162</v>
      </c>
      <c r="C51" s="822">
        <f>86500</f>
        <v>86500</v>
      </c>
    </row>
    <row r="52" spans="1:3" ht="12" customHeight="1" thickBot="1" x14ac:dyDescent="0.25">
      <c r="A52" s="101" t="s">
        <v>23</v>
      </c>
      <c r="B52" s="85" t="s">
        <v>371</v>
      </c>
      <c r="C52" s="171">
        <f>SUM(C53:C55)</f>
        <v>0</v>
      </c>
    </row>
    <row r="53" spans="1:3" s="278" customFormat="1" ht="12" customHeight="1" x14ac:dyDescent="0.2">
      <c r="A53" s="269" t="s">
        <v>104</v>
      </c>
      <c r="B53" s="8" t="s">
        <v>180</v>
      </c>
      <c r="C53" s="51"/>
    </row>
    <row r="54" spans="1:3" ht="12" customHeight="1" x14ac:dyDescent="0.2">
      <c r="A54" s="269" t="s">
        <v>105</v>
      </c>
      <c r="B54" s="7" t="s">
        <v>164</v>
      </c>
      <c r="C54" s="53"/>
    </row>
    <row r="55" spans="1:3" ht="12" customHeight="1" x14ac:dyDescent="0.2">
      <c r="A55" s="269" t="s">
        <v>106</v>
      </c>
      <c r="B55" s="7" t="s">
        <v>62</v>
      </c>
      <c r="C55" s="53"/>
    </row>
    <row r="56" spans="1:3" ht="12" customHeight="1" thickBot="1" x14ac:dyDescent="0.25">
      <c r="A56" s="269" t="s">
        <v>107</v>
      </c>
      <c r="B56" s="7" t="s">
        <v>552</v>
      </c>
      <c r="C56" s="53"/>
    </row>
    <row r="57" spans="1:3" ht="15" customHeight="1" thickBot="1" x14ac:dyDescent="0.25">
      <c r="A57" s="101" t="s">
        <v>24</v>
      </c>
      <c r="B57" s="85" t="s">
        <v>17</v>
      </c>
      <c r="C57" s="196"/>
    </row>
    <row r="58" spans="1:3" ht="13.5" thickBot="1" x14ac:dyDescent="0.25">
      <c r="A58" s="101" t="s">
        <v>25</v>
      </c>
      <c r="B58" s="138" t="s">
        <v>553</v>
      </c>
      <c r="C58" s="218">
        <f>+C46+C52+C57</f>
        <v>28586633</v>
      </c>
    </row>
    <row r="59" spans="1:3" ht="15" customHeight="1" thickBot="1" x14ac:dyDescent="0.25">
      <c r="C59" s="219"/>
    </row>
    <row r="60" spans="1:3" ht="14.25" customHeight="1" thickBot="1" x14ac:dyDescent="0.25">
      <c r="A60" s="141" t="s">
        <v>545</v>
      </c>
      <c r="B60" s="142"/>
      <c r="C60" s="84"/>
    </row>
    <row r="61" spans="1:3" ht="13.5" thickBot="1" x14ac:dyDescent="0.25">
      <c r="A61" s="141" t="s">
        <v>176</v>
      </c>
      <c r="B61" s="142"/>
      <c r="C61" s="8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11/2018.(V.31.)önkormányzati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30" workbookViewId="0">
      <selection activeCell="L2" sqref="L2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496" customWidth="1"/>
    <col min="4" max="16384" width="9.33203125" style="140"/>
  </cols>
  <sheetData>
    <row r="1" spans="1:3" s="119" customFormat="1" ht="21" customHeight="1" thickBot="1" x14ac:dyDescent="0.25">
      <c r="A1" s="118"/>
      <c r="B1" s="120"/>
      <c r="C1" s="273"/>
    </row>
    <row r="2" spans="1:3" s="274" customFormat="1" ht="33.75" customHeight="1" x14ac:dyDescent="0.2">
      <c r="A2" s="231" t="s">
        <v>174</v>
      </c>
      <c r="B2" s="206" t="s">
        <v>547</v>
      </c>
      <c r="C2" s="220" t="s">
        <v>64</v>
      </c>
    </row>
    <row r="3" spans="1:3" s="274" customFormat="1" ht="24.75" thickBot="1" x14ac:dyDescent="0.25">
      <c r="A3" s="267" t="s">
        <v>173</v>
      </c>
      <c r="B3" s="207" t="s">
        <v>554</v>
      </c>
      <c r="C3" s="221" t="s">
        <v>385</v>
      </c>
    </row>
    <row r="4" spans="1:3" s="275" customFormat="1" ht="15.95" customHeight="1" thickBot="1" x14ac:dyDescent="0.3">
      <c r="A4" s="122"/>
      <c r="B4" s="122"/>
      <c r="C4" s="123" t="s">
        <v>590</v>
      </c>
    </row>
    <row r="5" spans="1:3" ht="13.5" thickBot="1" x14ac:dyDescent="0.25">
      <c r="A5" s="232" t="s">
        <v>175</v>
      </c>
      <c r="B5" s="124" t="s">
        <v>58</v>
      </c>
      <c r="C5" s="125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100" t="s">
        <v>468</v>
      </c>
    </row>
    <row r="7" spans="1:3" s="276" customFormat="1" ht="15.95" customHeight="1" thickBot="1" x14ac:dyDescent="0.25">
      <c r="A7" s="126"/>
      <c r="B7" s="127" t="s">
        <v>60</v>
      </c>
      <c r="C7" s="128"/>
    </row>
    <row r="8" spans="1:3" s="222" customFormat="1" ht="12" customHeight="1" thickBot="1" x14ac:dyDescent="0.25">
      <c r="A8" s="98" t="s">
        <v>22</v>
      </c>
      <c r="B8" s="129" t="s">
        <v>548</v>
      </c>
      <c r="C8" s="171">
        <f>SUM(C9:C19)</f>
        <v>6280164</v>
      </c>
    </row>
    <row r="9" spans="1:3" s="222" customFormat="1" ht="12" customHeight="1" x14ac:dyDescent="0.2">
      <c r="A9" s="268" t="s">
        <v>98</v>
      </c>
      <c r="B9" s="9" t="s">
        <v>230</v>
      </c>
      <c r="C9" s="211"/>
    </row>
    <row r="10" spans="1:3" s="222" customFormat="1" ht="12" customHeight="1" x14ac:dyDescent="0.2">
      <c r="A10" s="269" t="s">
        <v>99</v>
      </c>
      <c r="B10" s="7" t="s">
        <v>231</v>
      </c>
      <c r="C10" s="53">
        <v>4150000</v>
      </c>
    </row>
    <row r="11" spans="1:3" s="222" customFormat="1" ht="12" customHeight="1" x14ac:dyDescent="0.2">
      <c r="A11" s="269" t="s">
        <v>100</v>
      </c>
      <c r="B11" s="7" t="s">
        <v>232</v>
      </c>
      <c r="C11" s="53">
        <v>300000</v>
      </c>
    </row>
    <row r="12" spans="1:3" s="222" customFormat="1" ht="12" customHeight="1" x14ac:dyDescent="0.2">
      <c r="A12" s="269" t="s">
        <v>101</v>
      </c>
      <c r="B12" s="7" t="s">
        <v>233</v>
      </c>
      <c r="C12" s="53"/>
    </row>
    <row r="13" spans="1:3" s="222" customFormat="1" ht="12" customHeight="1" x14ac:dyDescent="0.2">
      <c r="A13" s="269" t="s">
        <v>137</v>
      </c>
      <c r="B13" s="7" t="s">
        <v>234</v>
      </c>
      <c r="C13" s="53"/>
    </row>
    <row r="14" spans="1:3" s="222" customFormat="1" ht="12" customHeight="1" x14ac:dyDescent="0.2">
      <c r="A14" s="269" t="s">
        <v>102</v>
      </c>
      <c r="B14" s="7" t="s">
        <v>355</v>
      </c>
      <c r="C14" s="53">
        <v>1229000</v>
      </c>
    </row>
    <row r="15" spans="1:3" s="222" customFormat="1" ht="12" customHeight="1" x14ac:dyDescent="0.2">
      <c r="A15" s="269" t="s">
        <v>103</v>
      </c>
      <c r="B15" s="6" t="s">
        <v>356</v>
      </c>
      <c r="C15" s="53"/>
    </row>
    <row r="16" spans="1:3" s="222" customFormat="1" ht="12" customHeight="1" x14ac:dyDescent="0.2">
      <c r="A16" s="269" t="s">
        <v>113</v>
      </c>
      <c r="B16" s="7" t="s">
        <v>237</v>
      </c>
      <c r="C16" s="212"/>
    </row>
    <row r="17" spans="1:3" s="277" customFormat="1" ht="12" customHeight="1" x14ac:dyDescent="0.2">
      <c r="A17" s="269" t="s">
        <v>114</v>
      </c>
      <c r="B17" s="7" t="s">
        <v>238</v>
      </c>
      <c r="C17" s="169"/>
    </row>
    <row r="18" spans="1:3" s="277" customFormat="1" ht="12" customHeight="1" x14ac:dyDescent="0.2">
      <c r="A18" s="269" t="s">
        <v>115</v>
      </c>
      <c r="B18" s="7" t="s">
        <v>475</v>
      </c>
      <c r="C18" s="170"/>
    </row>
    <row r="19" spans="1:3" s="277" customFormat="1" ht="12" customHeight="1" thickBot="1" x14ac:dyDescent="0.25">
      <c r="A19" s="269" t="s">
        <v>116</v>
      </c>
      <c r="B19" s="6" t="s">
        <v>239</v>
      </c>
      <c r="C19" s="870">
        <f>100000+501164</f>
        <v>601164</v>
      </c>
    </row>
    <row r="20" spans="1:3" s="222" customFormat="1" ht="12" customHeight="1" thickBot="1" x14ac:dyDescent="0.25">
      <c r="A20" s="98" t="s">
        <v>23</v>
      </c>
      <c r="B20" s="129" t="s">
        <v>357</v>
      </c>
      <c r="C20" s="171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169"/>
    </row>
    <row r="22" spans="1:3" s="277" customFormat="1" ht="12" customHeight="1" x14ac:dyDescent="0.2">
      <c r="A22" s="269" t="s">
        <v>105</v>
      </c>
      <c r="B22" s="7" t="s">
        <v>358</v>
      </c>
      <c r="C22" s="169"/>
    </row>
    <row r="23" spans="1:3" s="277" customFormat="1" ht="12" customHeight="1" x14ac:dyDescent="0.2">
      <c r="A23" s="269" t="s">
        <v>106</v>
      </c>
      <c r="B23" s="7" t="s">
        <v>359</v>
      </c>
      <c r="C23" s="169"/>
    </row>
    <row r="24" spans="1:3" s="277" customFormat="1" ht="12" customHeight="1" thickBot="1" x14ac:dyDescent="0.25">
      <c r="A24" s="269" t="s">
        <v>107</v>
      </c>
      <c r="B24" s="7" t="s">
        <v>549</v>
      </c>
      <c r="C24" s="169"/>
    </row>
    <row r="25" spans="1:3" s="277" customFormat="1" ht="12" customHeight="1" thickBot="1" x14ac:dyDescent="0.25">
      <c r="A25" s="101" t="s">
        <v>24</v>
      </c>
      <c r="B25" s="85" t="s">
        <v>151</v>
      </c>
      <c r="C25" s="196"/>
    </row>
    <row r="26" spans="1:3" s="277" customFormat="1" ht="12" customHeight="1" thickBot="1" x14ac:dyDescent="0.25">
      <c r="A26" s="101" t="s">
        <v>25</v>
      </c>
      <c r="B26" s="85" t="s">
        <v>550</v>
      </c>
      <c r="C26" s="171">
        <f>+C27+C28+C29</f>
        <v>0</v>
      </c>
    </row>
    <row r="27" spans="1:3" s="277" customFormat="1" ht="12" customHeight="1" x14ac:dyDescent="0.2">
      <c r="A27" s="270" t="s">
        <v>217</v>
      </c>
      <c r="B27" s="271" t="s">
        <v>212</v>
      </c>
      <c r="C27" s="51"/>
    </row>
    <row r="28" spans="1:3" s="277" customFormat="1" ht="12" customHeight="1" x14ac:dyDescent="0.2">
      <c r="A28" s="270" t="s">
        <v>220</v>
      </c>
      <c r="B28" s="271" t="s">
        <v>358</v>
      </c>
      <c r="C28" s="169"/>
    </row>
    <row r="29" spans="1:3" s="277" customFormat="1" ht="12" customHeight="1" x14ac:dyDescent="0.2">
      <c r="A29" s="270" t="s">
        <v>221</v>
      </c>
      <c r="B29" s="272" t="s">
        <v>360</v>
      </c>
      <c r="C29" s="169"/>
    </row>
    <row r="30" spans="1:3" s="277" customFormat="1" ht="12" customHeight="1" thickBot="1" x14ac:dyDescent="0.25">
      <c r="A30" s="269" t="s">
        <v>222</v>
      </c>
      <c r="B30" s="88" t="s">
        <v>551</v>
      </c>
      <c r="C30" s="54"/>
    </row>
    <row r="31" spans="1:3" s="277" customFormat="1" ht="12" customHeight="1" thickBot="1" x14ac:dyDescent="0.25">
      <c r="A31" s="101" t="s">
        <v>26</v>
      </c>
      <c r="B31" s="85" t="s">
        <v>361</v>
      </c>
      <c r="C31" s="171">
        <f>+C32+C33+C34</f>
        <v>0</v>
      </c>
    </row>
    <row r="32" spans="1:3" s="277" customFormat="1" ht="12" customHeight="1" x14ac:dyDescent="0.2">
      <c r="A32" s="270" t="s">
        <v>91</v>
      </c>
      <c r="B32" s="271" t="s">
        <v>244</v>
      </c>
      <c r="C32" s="51"/>
    </row>
    <row r="33" spans="1:4" s="277" customFormat="1" ht="12" customHeight="1" x14ac:dyDescent="0.2">
      <c r="A33" s="270" t="s">
        <v>92</v>
      </c>
      <c r="B33" s="272" t="s">
        <v>245</v>
      </c>
      <c r="C33" s="172"/>
    </row>
    <row r="34" spans="1:4" s="277" customFormat="1" ht="12" customHeight="1" thickBot="1" x14ac:dyDescent="0.25">
      <c r="A34" s="269" t="s">
        <v>93</v>
      </c>
      <c r="B34" s="88" t="s">
        <v>246</v>
      </c>
      <c r="C34" s="54"/>
    </row>
    <row r="35" spans="1:4" s="222" customFormat="1" ht="12" customHeight="1" thickBot="1" x14ac:dyDescent="0.25">
      <c r="A35" s="101" t="s">
        <v>27</v>
      </c>
      <c r="B35" s="85" t="s">
        <v>332</v>
      </c>
      <c r="C35" s="196"/>
    </row>
    <row r="36" spans="1:4" s="222" customFormat="1" ht="12" customHeight="1" thickBot="1" x14ac:dyDescent="0.25">
      <c r="A36" s="101" t="s">
        <v>28</v>
      </c>
      <c r="B36" s="85" t="s">
        <v>362</v>
      </c>
      <c r="C36" s="213"/>
    </row>
    <row r="37" spans="1:4" s="222" customFormat="1" ht="12" customHeight="1" thickBot="1" x14ac:dyDescent="0.25">
      <c r="A37" s="98" t="s">
        <v>29</v>
      </c>
      <c r="B37" s="85" t="s">
        <v>363</v>
      </c>
      <c r="C37" s="214">
        <f>+C8+C20+C25+C26+C31+C35+C36</f>
        <v>6280164</v>
      </c>
    </row>
    <row r="38" spans="1:4" s="222" customFormat="1" ht="12" customHeight="1" thickBot="1" x14ac:dyDescent="0.25">
      <c r="A38" s="130" t="s">
        <v>30</v>
      </c>
      <c r="B38" s="85" t="s">
        <v>364</v>
      </c>
      <c r="C38" s="214">
        <f>+C39+C40+C41</f>
        <v>201339882</v>
      </c>
    </row>
    <row r="39" spans="1:4" s="222" customFormat="1" ht="12" customHeight="1" x14ac:dyDescent="0.2">
      <c r="A39" s="270" t="s">
        <v>365</v>
      </c>
      <c r="B39" s="271" t="s">
        <v>189</v>
      </c>
      <c r="C39" s="51"/>
      <c r="D39" s="319"/>
    </row>
    <row r="40" spans="1:4" s="222" customFormat="1" ht="12" customHeight="1" x14ac:dyDescent="0.2">
      <c r="A40" s="270" t="s">
        <v>366</v>
      </c>
      <c r="B40" s="272" t="s">
        <v>13</v>
      </c>
      <c r="C40" s="172"/>
    </row>
    <row r="41" spans="1:4" s="277" customFormat="1" ht="12" customHeight="1" thickBot="1" x14ac:dyDescent="0.25">
      <c r="A41" s="269" t="s">
        <v>367</v>
      </c>
      <c r="B41" s="88" t="s">
        <v>368</v>
      </c>
      <c r="C41" s="54">
        <f>202666658-1388819+62043</f>
        <v>201339882</v>
      </c>
    </row>
    <row r="42" spans="1:4" s="277" customFormat="1" ht="15" customHeight="1" thickBot="1" x14ac:dyDescent="0.25">
      <c r="A42" s="130" t="s">
        <v>31</v>
      </c>
      <c r="B42" s="131" t="s">
        <v>369</v>
      </c>
      <c r="C42" s="217">
        <f>+C37+C38</f>
        <v>207620046</v>
      </c>
    </row>
    <row r="43" spans="1:4" s="277" customFormat="1" ht="15" customHeight="1" x14ac:dyDescent="0.2">
      <c r="A43" s="132"/>
      <c r="B43" s="133"/>
      <c r="C43" s="215"/>
    </row>
    <row r="44" spans="1:4" ht="13.5" thickBot="1" x14ac:dyDescent="0.25">
      <c r="A44" s="134"/>
      <c r="B44" s="135"/>
      <c r="C44" s="216"/>
    </row>
    <row r="45" spans="1:4" s="276" customFormat="1" ht="16.5" customHeight="1" thickBot="1" x14ac:dyDescent="0.25">
      <c r="A45" s="136"/>
      <c r="B45" s="137" t="s">
        <v>61</v>
      </c>
      <c r="C45" s="217"/>
    </row>
    <row r="46" spans="1:4" s="278" customFormat="1" ht="12" customHeight="1" thickBot="1" x14ac:dyDescent="0.25">
      <c r="A46" s="101" t="s">
        <v>22</v>
      </c>
      <c r="B46" s="85" t="s">
        <v>370</v>
      </c>
      <c r="C46" s="171">
        <f>SUM(C47:C51)</f>
        <v>204390890</v>
      </c>
    </row>
    <row r="47" spans="1:4" ht="12" customHeight="1" x14ac:dyDescent="0.2">
      <c r="A47" s="269" t="s">
        <v>98</v>
      </c>
      <c r="B47" s="8" t="s">
        <v>53</v>
      </c>
      <c r="C47" s="820">
        <f>134654515-569836+152400+1337422+71400</f>
        <v>135645901</v>
      </c>
    </row>
    <row r="48" spans="1:4" ht="12" customHeight="1" x14ac:dyDescent="0.2">
      <c r="A48" s="269" t="s">
        <v>99</v>
      </c>
      <c r="B48" s="7" t="s">
        <v>160</v>
      </c>
      <c r="C48" s="822">
        <f>28757160-416745+98926+62043+268072+13930</f>
        <v>28783386</v>
      </c>
    </row>
    <row r="49" spans="1:3" ht="12" customHeight="1" x14ac:dyDescent="0.2">
      <c r="A49" s="269" t="s">
        <v>100</v>
      </c>
      <c r="B49" s="7" t="s">
        <v>130</v>
      </c>
      <c r="C49" s="53">
        <f>40114003-152400</f>
        <v>39961603</v>
      </c>
    </row>
    <row r="50" spans="1:3" ht="12" customHeight="1" x14ac:dyDescent="0.2">
      <c r="A50" s="269" t="s">
        <v>101</v>
      </c>
      <c r="B50" s="7" t="s">
        <v>161</v>
      </c>
      <c r="C50" s="53"/>
    </row>
    <row r="51" spans="1:3" ht="12" customHeight="1" thickBot="1" x14ac:dyDescent="0.25">
      <c r="A51" s="269" t="s">
        <v>137</v>
      </c>
      <c r="B51" s="7" t="s">
        <v>162</v>
      </c>
      <c r="C51" s="53"/>
    </row>
    <row r="52" spans="1:3" ht="12" customHeight="1" thickBot="1" x14ac:dyDescent="0.25">
      <c r="A52" s="101" t="s">
        <v>23</v>
      </c>
      <c r="B52" s="85" t="s">
        <v>371</v>
      </c>
      <c r="C52" s="171">
        <f>SUM(C53:C55)</f>
        <v>4919980</v>
      </c>
    </row>
    <row r="53" spans="1:3" s="278" customFormat="1" ht="12" customHeight="1" x14ac:dyDescent="0.2">
      <c r="A53" s="269" t="s">
        <v>104</v>
      </c>
      <c r="B53" s="8" t="s">
        <v>180</v>
      </c>
      <c r="C53" s="51">
        <v>4919980</v>
      </c>
    </row>
    <row r="54" spans="1:3" ht="12" customHeight="1" x14ac:dyDescent="0.2">
      <c r="A54" s="269" t="s">
        <v>105</v>
      </c>
      <c r="B54" s="7" t="s">
        <v>164</v>
      </c>
      <c r="C54" s="53"/>
    </row>
    <row r="55" spans="1:3" ht="12" customHeight="1" x14ac:dyDescent="0.2">
      <c r="A55" s="269" t="s">
        <v>106</v>
      </c>
      <c r="B55" s="7" t="s">
        <v>62</v>
      </c>
      <c r="C55" s="53"/>
    </row>
    <row r="56" spans="1:3" ht="12" customHeight="1" thickBot="1" x14ac:dyDescent="0.25">
      <c r="A56" s="269" t="s">
        <v>107</v>
      </c>
      <c r="B56" s="7" t="s">
        <v>552</v>
      </c>
      <c r="C56" s="53"/>
    </row>
    <row r="57" spans="1:3" ht="15" customHeight="1" thickBot="1" x14ac:dyDescent="0.25">
      <c r="A57" s="101" t="s">
        <v>24</v>
      </c>
      <c r="B57" s="85" t="s">
        <v>17</v>
      </c>
      <c r="C57" s="196"/>
    </row>
    <row r="58" spans="1:3" ht="13.5" thickBot="1" x14ac:dyDescent="0.25">
      <c r="A58" s="101" t="s">
        <v>25</v>
      </c>
      <c r="B58" s="138" t="s">
        <v>553</v>
      </c>
      <c r="C58" s="218">
        <f>+C46+C52+C57</f>
        <v>209310870</v>
      </c>
    </row>
    <row r="59" spans="1:3" ht="15" customHeight="1" thickBot="1" x14ac:dyDescent="0.25">
      <c r="C59" s="495"/>
    </row>
    <row r="60" spans="1:3" ht="14.25" customHeight="1" thickBot="1" x14ac:dyDescent="0.25">
      <c r="A60" s="141" t="s">
        <v>545</v>
      </c>
      <c r="B60" s="142"/>
      <c r="C60" s="84">
        <v>46</v>
      </c>
    </row>
    <row r="61" spans="1:3" ht="13.5" thickBot="1" x14ac:dyDescent="0.25">
      <c r="A61" s="141" t="s">
        <v>176</v>
      </c>
      <c r="B61" s="142"/>
      <c r="C61" s="8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11/2018.(V.31.)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1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3" customHeight="1" x14ac:dyDescent="0.2">
      <c r="A2" s="231" t="s">
        <v>174</v>
      </c>
      <c r="B2" s="206" t="s">
        <v>411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354</v>
      </c>
      <c r="C3" s="531" t="s">
        <v>57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11615878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>
        <v>850000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4200000</v>
      </c>
    </row>
    <row r="12" spans="1:3" s="222" customFormat="1" ht="12" customHeight="1" x14ac:dyDescent="0.2">
      <c r="A12" s="269" t="s">
        <v>101</v>
      </c>
      <c r="B12" s="7" t="s">
        <v>233</v>
      </c>
      <c r="C12" s="538">
        <v>0</v>
      </c>
    </row>
    <row r="13" spans="1:3" s="222" customFormat="1" ht="12" customHeight="1" x14ac:dyDescent="0.2">
      <c r="A13" s="269" t="s">
        <v>137</v>
      </c>
      <c r="B13" s="7" t="s">
        <v>234</v>
      </c>
      <c r="C13" s="538">
        <v>638880</v>
      </c>
    </row>
    <row r="14" spans="1:3" s="222" customFormat="1" ht="12" customHeight="1" x14ac:dyDescent="0.2">
      <c r="A14" s="269" t="s">
        <v>102</v>
      </c>
      <c r="B14" s="7" t="s">
        <v>355</v>
      </c>
      <c r="C14" s="538">
        <v>1535998</v>
      </c>
    </row>
    <row r="15" spans="1:3" s="222" customFormat="1" ht="12" customHeight="1" x14ac:dyDescent="0.2">
      <c r="A15" s="269" t="s">
        <v>103</v>
      </c>
      <c r="B15" s="6" t="s">
        <v>356</v>
      </c>
      <c r="C15" s="538">
        <v>4390000</v>
      </c>
    </row>
    <row r="16" spans="1:3" s="222" customFormat="1" ht="12" customHeight="1" x14ac:dyDescent="0.2">
      <c r="A16" s="269" t="s">
        <v>113</v>
      </c>
      <c r="B16" s="7" t="s">
        <v>237</v>
      </c>
      <c r="C16" s="538">
        <v>1000</v>
      </c>
    </row>
    <row r="17" spans="1:3" s="277" customFormat="1" ht="12" customHeight="1" x14ac:dyDescent="0.2">
      <c r="A17" s="269" t="s">
        <v>114</v>
      </c>
      <c r="B17" s="7" t="s">
        <v>238</v>
      </c>
      <c r="C17" s="538">
        <v>0</v>
      </c>
    </row>
    <row r="18" spans="1:3" s="277" customFormat="1" ht="12" customHeight="1" x14ac:dyDescent="0.2">
      <c r="A18" s="269" t="s">
        <v>115</v>
      </c>
      <c r="B18" s="7" t="s">
        <v>475</v>
      </c>
      <c r="C18" s="538">
        <v>0</v>
      </c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38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11615878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292663373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665045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289157846+479604+110000+2068488+718040-624000+88350</f>
        <v>291998328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304279251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301572271</v>
      </c>
    </row>
    <row r="46" spans="1:3" ht="12" customHeight="1" x14ac:dyDescent="0.2">
      <c r="A46" s="269" t="s">
        <v>98</v>
      </c>
      <c r="B46" s="8" t="s">
        <v>53</v>
      </c>
      <c r="C46" s="939">
        <f>187166011+408000+1630390-80000+80000</f>
        <v>189204401</v>
      </c>
    </row>
    <row r="47" spans="1:3" ht="12" customHeight="1" x14ac:dyDescent="0.2">
      <c r="A47" s="269" t="s">
        <v>99</v>
      </c>
      <c r="B47" s="7" t="s">
        <v>160</v>
      </c>
      <c r="C47" s="690">
        <f>40197175+71604+308098+14040</f>
        <v>40590917</v>
      </c>
    </row>
    <row r="48" spans="1:3" ht="12" customHeight="1" x14ac:dyDescent="0.2">
      <c r="A48" s="269" t="s">
        <v>100</v>
      </c>
      <c r="B48" s="7" t="s">
        <v>130</v>
      </c>
      <c r="C48" s="822">
        <f>71308603+110000+60000+130000+80000+624000-624000+88350</f>
        <v>71776953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536">
        <f>SUM(C52:C54)</f>
        <v>2706980</v>
      </c>
    </row>
    <row r="52" spans="1:3" s="278" customFormat="1" ht="12" customHeight="1" x14ac:dyDescent="0.2">
      <c r="A52" s="269" t="s">
        <v>104</v>
      </c>
      <c r="B52" s="8" t="s">
        <v>180</v>
      </c>
      <c r="C52" s="542">
        <f>2157380-60000</f>
        <v>2097380</v>
      </c>
    </row>
    <row r="53" spans="1:3" ht="12" customHeight="1" x14ac:dyDescent="0.2">
      <c r="A53" s="269" t="s">
        <v>105</v>
      </c>
      <c r="B53" s="7" t="s">
        <v>164</v>
      </c>
      <c r="C53" s="645">
        <v>609600</v>
      </c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304279251</v>
      </c>
    </row>
    <row r="58" spans="1:3" ht="15" customHeight="1" thickBot="1" x14ac:dyDescent="0.25">
      <c r="C58" s="646"/>
    </row>
    <row r="59" spans="1:3" ht="14.25" customHeight="1" thickBot="1" x14ac:dyDescent="0.25">
      <c r="A59" s="141" t="s">
        <v>545</v>
      </c>
      <c r="B59" s="142"/>
      <c r="C59" s="872">
        <v>54.7</v>
      </c>
    </row>
    <row r="60" spans="1:3" ht="13.5" thickBot="1" x14ac:dyDescent="0.25">
      <c r="A60" s="141" t="s">
        <v>176</v>
      </c>
      <c r="B60" s="142"/>
      <c r="C60" s="54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&amp;R15. melléklet a 11/2018.(V.31.)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D1" zoomScaleNormal="14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3.75" customHeight="1" x14ac:dyDescent="0.2">
      <c r="A2" s="231" t="s">
        <v>174</v>
      </c>
      <c r="B2" s="206" t="s">
        <v>411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372</v>
      </c>
      <c r="C3" s="531" t="s">
        <v>64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11298378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>
        <v>600000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4200000</v>
      </c>
    </row>
    <row r="12" spans="1:3" s="222" customFormat="1" ht="12" customHeight="1" x14ac:dyDescent="0.2">
      <c r="A12" s="269" t="s">
        <v>101</v>
      </c>
      <c r="B12" s="7" t="s">
        <v>233</v>
      </c>
      <c r="C12" s="538">
        <v>0</v>
      </c>
    </row>
    <row r="13" spans="1:3" s="222" customFormat="1" ht="12" customHeight="1" x14ac:dyDescent="0.2">
      <c r="A13" s="269" t="s">
        <v>137</v>
      </c>
      <c r="B13" s="7" t="s">
        <v>234</v>
      </c>
      <c r="C13" s="538">
        <v>638880</v>
      </c>
    </row>
    <row r="14" spans="1:3" s="222" customFormat="1" ht="12" customHeight="1" x14ac:dyDescent="0.2">
      <c r="A14" s="269" t="s">
        <v>102</v>
      </c>
      <c r="B14" s="7" t="s">
        <v>355</v>
      </c>
      <c r="C14" s="538">
        <v>1468498</v>
      </c>
    </row>
    <row r="15" spans="1:3" s="222" customFormat="1" ht="12" customHeight="1" x14ac:dyDescent="0.2">
      <c r="A15" s="269" t="s">
        <v>103</v>
      </c>
      <c r="B15" s="6" t="s">
        <v>356</v>
      </c>
      <c r="C15" s="538">
        <v>4390000</v>
      </c>
    </row>
    <row r="16" spans="1:3" s="222" customFormat="1" ht="12" customHeight="1" x14ac:dyDescent="0.2">
      <c r="A16" s="269" t="s">
        <v>113</v>
      </c>
      <c r="B16" s="7" t="s">
        <v>237</v>
      </c>
      <c r="C16" s="538">
        <v>1000</v>
      </c>
    </row>
    <row r="17" spans="1:3" s="277" customFormat="1" ht="12" customHeight="1" x14ac:dyDescent="0.2">
      <c r="A17" s="269" t="s">
        <v>114</v>
      </c>
      <c r="B17" s="7" t="s">
        <v>238</v>
      </c>
      <c r="C17" s="538">
        <v>0</v>
      </c>
    </row>
    <row r="18" spans="1:3" s="277" customFormat="1" ht="12" customHeight="1" x14ac:dyDescent="0.2">
      <c r="A18" s="269" t="s">
        <v>115</v>
      </c>
      <c r="B18" s="7" t="s">
        <v>475</v>
      </c>
      <c r="C18" s="538">
        <v>0</v>
      </c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38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11298378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292663373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665045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289157846+479604+110000+2068488+718040-624000+88350</f>
        <v>291998328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303961751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301254771</v>
      </c>
    </row>
    <row r="46" spans="1:3" ht="12" customHeight="1" x14ac:dyDescent="0.2">
      <c r="A46" s="269" t="s">
        <v>98</v>
      </c>
      <c r="B46" s="8" t="s">
        <v>53</v>
      </c>
      <c r="C46" s="939">
        <f>187166011+408000+1630390-80000+80000</f>
        <v>189204401</v>
      </c>
    </row>
    <row r="47" spans="1:3" ht="12" customHeight="1" x14ac:dyDescent="0.2">
      <c r="A47" s="269" t="s">
        <v>99</v>
      </c>
      <c r="B47" s="7" t="s">
        <v>160</v>
      </c>
      <c r="C47" s="690">
        <f>40197175+71604+308098+14040</f>
        <v>40590917</v>
      </c>
    </row>
    <row r="48" spans="1:3" ht="12" customHeight="1" x14ac:dyDescent="0.2">
      <c r="A48" s="269" t="s">
        <v>100</v>
      </c>
      <c r="B48" s="7" t="s">
        <v>130</v>
      </c>
      <c r="C48" s="822">
        <f>70991103+110000+60000+130000+624000-624000+80000+88350</f>
        <v>71459453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538"/>
    </row>
    <row r="51" spans="1:3" ht="12" customHeight="1" thickBot="1" x14ac:dyDescent="0.25">
      <c r="A51" s="101" t="s">
        <v>23</v>
      </c>
      <c r="B51" s="85" t="s">
        <v>371</v>
      </c>
      <c r="C51" s="553">
        <f>SUM(C52:C54)</f>
        <v>2706980</v>
      </c>
    </row>
    <row r="52" spans="1:3" s="278" customFormat="1" ht="12" customHeight="1" x14ac:dyDescent="0.2">
      <c r="A52" s="269" t="s">
        <v>104</v>
      </c>
      <c r="B52" s="8" t="s">
        <v>180</v>
      </c>
      <c r="C52" s="51">
        <f>2157380-60000</f>
        <v>2097380</v>
      </c>
    </row>
    <row r="53" spans="1:3" ht="12" customHeight="1" x14ac:dyDescent="0.2">
      <c r="A53" s="269" t="s">
        <v>105</v>
      </c>
      <c r="B53" s="7" t="s">
        <v>164</v>
      </c>
      <c r="C53" s="538">
        <v>609600</v>
      </c>
    </row>
    <row r="54" spans="1:3" ht="12" customHeight="1" x14ac:dyDescent="0.2">
      <c r="A54" s="269" t="s">
        <v>106</v>
      </c>
      <c r="B54" s="7" t="s">
        <v>62</v>
      </c>
      <c r="C54" s="538"/>
    </row>
    <row r="55" spans="1:3" ht="12" customHeight="1" thickBot="1" x14ac:dyDescent="0.25">
      <c r="A55" s="269" t="s">
        <v>107</v>
      </c>
      <c r="B55" s="7" t="s">
        <v>552</v>
      </c>
      <c r="C55" s="538"/>
    </row>
    <row r="56" spans="1:3" ht="15" customHeight="1" thickBot="1" x14ac:dyDescent="0.25">
      <c r="A56" s="101" t="s">
        <v>24</v>
      </c>
      <c r="B56" s="85" t="s">
        <v>17</v>
      </c>
      <c r="C56" s="554"/>
    </row>
    <row r="57" spans="1:3" ht="13.5" thickBot="1" x14ac:dyDescent="0.25">
      <c r="A57" s="101" t="s">
        <v>25</v>
      </c>
      <c r="B57" s="138" t="s">
        <v>553</v>
      </c>
      <c r="C57" s="846">
        <f>+C45+C51+C56</f>
        <v>303961751</v>
      </c>
    </row>
    <row r="58" spans="1:3" ht="15" customHeight="1" thickBot="1" x14ac:dyDescent="0.25">
      <c r="C58" s="646"/>
    </row>
    <row r="59" spans="1:3" ht="14.25" customHeight="1" thickBot="1" x14ac:dyDescent="0.25">
      <c r="A59" s="141" t="s">
        <v>545</v>
      </c>
      <c r="B59" s="142"/>
      <c r="C59" s="872">
        <v>54.7</v>
      </c>
    </row>
    <row r="60" spans="1:3" ht="13.5" thickBot="1" x14ac:dyDescent="0.25">
      <c r="A60" s="141" t="s">
        <v>176</v>
      </c>
      <c r="B60" s="142"/>
      <c r="C60" s="54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11/2018.(V.31.)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B1" zoomScaleNormal="130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6" customHeight="1" x14ac:dyDescent="0.2">
      <c r="A2" s="231" t="s">
        <v>174</v>
      </c>
      <c r="B2" s="206" t="s">
        <v>588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354</v>
      </c>
      <c r="C3" s="531" t="s">
        <v>57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12914000</v>
      </c>
    </row>
    <row r="9" spans="1:3" s="222" customFormat="1" ht="12" customHeight="1" x14ac:dyDescent="0.2">
      <c r="A9" s="268" t="s">
        <v>98</v>
      </c>
      <c r="B9" s="9" t="s">
        <v>230</v>
      </c>
      <c r="C9" s="537">
        <f>150000-130000</f>
        <v>20000</v>
      </c>
    </row>
    <row r="10" spans="1:3" s="222" customFormat="1" ht="12" customHeight="1" x14ac:dyDescent="0.2">
      <c r="A10" s="269" t="s">
        <v>99</v>
      </c>
      <c r="B10" s="7" t="s">
        <v>231</v>
      </c>
      <c r="C10" s="538">
        <v>10382678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50000</v>
      </c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538"/>
    </row>
    <row r="14" spans="1:3" s="222" customFormat="1" ht="12" customHeight="1" x14ac:dyDescent="0.2">
      <c r="A14" s="269" t="s">
        <v>102</v>
      </c>
      <c r="B14" s="7" t="s">
        <v>355</v>
      </c>
      <c r="C14" s="538">
        <v>1291322</v>
      </c>
    </row>
    <row r="15" spans="1:3" s="222" customFormat="1" ht="12" customHeight="1" x14ac:dyDescent="0.2">
      <c r="A15" s="269" t="s">
        <v>103</v>
      </c>
      <c r="B15" s="6" t="s">
        <v>356</v>
      </c>
      <c r="C15" s="538">
        <v>1170000</v>
      </c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12914000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85375390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361287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84577606+203748+232749</f>
        <v>85014103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98289390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95610686</v>
      </c>
    </row>
    <row r="46" spans="1:3" ht="12" customHeight="1" x14ac:dyDescent="0.2">
      <c r="A46" s="269" t="s">
        <v>98</v>
      </c>
      <c r="B46" s="8" t="s">
        <v>53</v>
      </c>
      <c r="C46" s="939">
        <f>44090923+170500+69000</f>
        <v>44330423</v>
      </c>
    </row>
    <row r="47" spans="1:3" ht="12" customHeight="1" x14ac:dyDescent="0.2">
      <c r="A47" s="269" t="s">
        <v>99</v>
      </c>
      <c r="B47" s="7" t="s">
        <v>160</v>
      </c>
      <c r="C47" s="690">
        <f>8671204+33248+12110</f>
        <v>8716562</v>
      </c>
    </row>
    <row r="48" spans="1:3" ht="12" customHeight="1" x14ac:dyDescent="0.2">
      <c r="A48" s="269" t="s">
        <v>100</v>
      </c>
      <c r="B48" s="7" t="s">
        <v>130</v>
      </c>
      <c r="C48" s="822">
        <f>42412062-81110+232749</f>
        <v>42563701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536">
        <f>SUM(C52:C54)</f>
        <v>2678704</v>
      </c>
    </row>
    <row r="52" spans="1:3" s="278" customFormat="1" ht="12" customHeight="1" x14ac:dyDescent="0.2">
      <c r="A52" s="269" t="s">
        <v>104</v>
      </c>
      <c r="B52" s="8" t="s">
        <v>180</v>
      </c>
      <c r="C52" s="542">
        <v>2678704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98289390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550">
        <v>16.75</v>
      </c>
    </row>
    <row r="60" spans="1:3" ht="13.5" thickBot="1" x14ac:dyDescent="0.25">
      <c r="A60" s="141" t="s">
        <v>176</v>
      </c>
      <c r="B60" s="142"/>
      <c r="C60" s="54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11/2018.(V.31.)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D1" zoomScaleNormal="14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3" customHeight="1" x14ac:dyDescent="0.2">
      <c r="A2" s="231" t="s">
        <v>174</v>
      </c>
      <c r="B2" s="206" t="s">
        <v>588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372</v>
      </c>
      <c r="C3" s="531" t="s">
        <v>64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12174000</v>
      </c>
    </row>
    <row r="9" spans="1:3" s="222" customFormat="1" ht="12" customHeight="1" x14ac:dyDescent="0.2">
      <c r="A9" s="268" t="s">
        <v>98</v>
      </c>
      <c r="B9" s="9" t="s">
        <v>230</v>
      </c>
      <c r="C9" s="537">
        <f>150000-130000</f>
        <v>20000</v>
      </c>
    </row>
    <row r="10" spans="1:3" s="222" customFormat="1" ht="12" customHeight="1" x14ac:dyDescent="0.2">
      <c r="A10" s="269" t="s">
        <v>99</v>
      </c>
      <c r="B10" s="7" t="s">
        <v>231</v>
      </c>
      <c r="C10" s="538">
        <v>9800000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50000</v>
      </c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538"/>
    </row>
    <row r="14" spans="1:3" s="222" customFormat="1" ht="12" customHeight="1" x14ac:dyDescent="0.2">
      <c r="A14" s="269" t="s">
        <v>102</v>
      </c>
      <c r="B14" s="7" t="s">
        <v>355</v>
      </c>
      <c r="C14" s="538">
        <v>1134000</v>
      </c>
    </row>
    <row r="15" spans="1:3" s="222" customFormat="1" ht="12" customHeight="1" x14ac:dyDescent="0.2">
      <c r="A15" s="269" t="s">
        <v>103</v>
      </c>
      <c r="B15" s="6" t="s">
        <v>356</v>
      </c>
      <c r="C15" s="538">
        <v>1170000</v>
      </c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12174000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85375390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361287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84577606+203748+232749</f>
        <v>85014103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97549390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94870686</v>
      </c>
    </row>
    <row r="46" spans="1:3" ht="12" customHeight="1" x14ac:dyDescent="0.2">
      <c r="A46" s="269" t="s">
        <v>98</v>
      </c>
      <c r="B46" s="8" t="s">
        <v>53</v>
      </c>
      <c r="C46" s="939">
        <f>44090923+170500+69000</f>
        <v>44330423</v>
      </c>
    </row>
    <row r="47" spans="1:3" ht="12" customHeight="1" x14ac:dyDescent="0.2">
      <c r="A47" s="269" t="s">
        <v>99</v>
      </c>
      <c r="B47" s="7" t="s">
        <v>160</v>
      </c>
      <c r="C47" s="690">
        <f>8671204+33248+12110</f>
        <v>8716562</v>
      </c>
    </row>
    <row r="48" spans="1:3" ht="12" customHeight="1" x14ac:dyDescent="0.2">
      <c r="A48" s="269" t="s">
        <v>100</v>
      </c>
      <c r="B48" s="7" t="s">
        <v>130</v>
      </c>
      <c r="C48" s="822">
        <f>41672062-81110+232749</f>
        <v>41823701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536">
        <f>SUM(C52:C54)</f>
        <v>2678704</v>
      </c>
    </row>
    <row r="52" spans="1:3" s="278" customFormat="1" ht="12" customHeight="1" x14ac:dyDescent="0.2">
      <c r="A52" s="269" t="s">
        <v>104</v>
      </c>
      <c r="B52" s="8" t="s">
        <v>180</v>
      </c>
      <c r="C52" s="542">
        <v>2678704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97549390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550">
        <v>16.75</v>
      </c>
    </row>
    <row r="60" spans="1:3" ht="13.5" thickBot="1" x14ac:dyDescent="0.25">
      <c r="A60" s="141" t="s">
        <v>176</v>
      </c>
      <c r="B60" s="142"/>
      <c r="C60" s="54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11/2018.(V.31.)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D1" zoomScaleNormal="130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6" customHeight="1" x14ac:dyDescent="0.2">
      <c r="A2" s="231" t="s">
        <v>174</v>
      </c>
      <c r="B2" s="206" t="s">
        <v>560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354</v>
      </c>
      <c r="C3" s="531" t="s">
        <v>57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172674012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>
        <v>30591480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82270000</v>
      </c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645">
        <v>19857978</v>
      </c>
    </row>
    <row r="14" spans="1:3" s="222" customFormat="1" ht="12" customHeight="1" x14ac:dyDescent="0.2">
      <c r="A14" s="269" t="s">
        <v>102</v>
      </c>
      <c r="B14" s="7" t="s">
        <v>355</v>
      </c>
      <c r="C14" s="645">
        <v>27304554</v>
      </c>
    </row>
    <row r="15" spans="1:3" s="222" customFormat="1" ht="12" customHeight="1" x14ac:dyDescent="0.2">
      <c r="A15" s="269" t="s">
        <v>103</v>
      </c>
      <c r="B15" s="6" t="s">
        <v>356</v>
      </c>
      <c r="C15" s="538">
        <v>12650000</v>
      </c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172674012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134423474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1426020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133587210+51600+742141-1383497</f>
        <v>132997454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307097486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305828486</v>
      </c>
    </row>
    <row r="46" spans="1:3" ht="12" customHeight="1" x14ac:dyDescent="0.2">
      <c r="A46" s="269" t="s">
        <v>98</v>
      </c>
      <c r="B46" s="8" t="s">
        <v>53</v>
      </c>
      <c r="C46" s="820">
        <f>61703726+51600+80000-1157738</f>
        <v>60677588</v>
      </c>
    </row>
    <row r="47" spans="1:3" ht="12" customHeight="1" x14ac:dyDescent="0.2">
      <c r="A47" s="269" t="s">
        <v>99</v>
      </c>
      <c r="B47" s="7" t="s">
        <v>160</v>
      </c>
      <c r="C47" s="822">
        <f>14089304-225759</f>
        <v>13863545</v>
      </c>
    </row>
    <row r="48" spans="1:3" ht="12" customHeight="1" x14ac:dyDescent="0.2">
      <c r="A48" s="269" t="s">
        <v>100</v>
      </c>
      <c r="B48" s="7" t="s">
        <v>130</v>
      </c>
      <c r="C48" s="822">
        <f>230665212+622141</f>
        <v>231287353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845">
        <f>SUM(C52:C54)</f>
        <v>1269000</v>
      </c>
    </row>
    <row r="52" spans="1:3" s="278" customFormat="1" ht="12" customHeight="1" x14ac:dyDescent="0.2">
      <c r="A52" s="269" t="s">
        <v>104</v>
      </c>
      <c r="B52" s="8" t="s">
        <v>180</v>
      </c>
      <c r="C52" s="820">
        <f>1229000+40000</f>
        <v>1269000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307097486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956">
        <f>25.5-0.58</f>
        <v>24.92</v>
      </c>
    </row>
    <row r="60" spans="1:3" ht="13.5" thickBot="1" x14ac:dyDescent="0.25">
      <c r="A60" s="141" t="s">
        <v>176</v>
      </c>
      <c r="B60" s="142"/>
      <c r="C60" s="64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11/2018.(V.31.)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zoomScaleNormal="115" zoomScaleSheetLayoutView="100" workbookViewId="0">
      <selection activeCell="D3" sqref="D3"/>
    </sheetView>
  </sheetViews>
  <sheetFormatPr defaultRowHeight="15.75" x14ac:dyDescent="0.25"/>
  <cols>
    <col min="1" max="1" width="9.5" style="227" customWidth="1"/>
    <col min="2" max="2" width="79" style="227" customWidth="1"/>
    <col min="3" max="3" width="21.6640625" style="376" customWidth="1"/>
    <col min="4" max="4" width="19.33203125" style="238" hidden="1" customWidth="1"/>
    <col min="5" max="5" width="15.83203125" style="238" hidden="1" customWidth="1"/>
    <col min="6" max="6" width="21.83203125" style="238" hidden="1" customWidth="1"/>
    <col min="7" max="16384" width="9.33203125" style="238"/>
  </cols>
  <sheetData>
    <row r="1" spans="1:6" ht="15.95" customHeight="1" x14ac:dyDescent="0.25">
      <c r="A1" s="993" t="s">
        <v>19</v>
      </c>
      <c r="B1" s="993"/>
      <c r="C1" s="993"/>
    </row>
    <row r="2" spans="1:6" ht="15.95" customHeight="1" thickBot="1" x14ac:dyDescent="0.3">
      <c r="A2" s="992" t="s">
        <v>140</v>
      </c>
      <c r="B2" s="992"/>
      <c r="C2" s="166" t="s">
        <v>589</v>
      </c>
    </row>
    <row r="3" spans="1:6" ht="38.1" customHeight="1" thickBot="1" x14ac:dyDescent="0.3">
      <c r="A3" s="22" t="s">
        <v>73</v>
      </c>
      <c r="B3" s="23" t="s">
        <v>21</v>
      </c>
      <c r="C3" s="35" t="s">
        <v>617</v>
      </c>
      <c r="D3" s="227" t="s">
        <v>598</v>
      </c>
      <c r="E3" s="227" t="s">
        <v>599</v>
      </c>
      <c r="F3" s="227" t="s">
        <v>600</v>
      </c>
    </row>
    <row r="4" spans="1:6" s="239" customFormat="1" ht="12" customHeight="1" thickBot="1" x14ac:dyDescent="0.25">
      <c r="A4" s="233" t="s">
        <v>466</v>
      </c>
      <c r="B4" s="234" t="s">
        <v>467</v>
      </c>
      <c r="C4" s="235" t="s">
        <v>468</v>
      </c>
    </row>
    <row r="5" spans="1:6" s="240" customFormat="1" ht="12" customHeight="1" thickBot="1" x14ac:dyDescent="0.25">
      <c r="A5" s="19" t="s">
        <v>22</v>
      </c>
      <c r="B5" s="20" t="s">
        <v>201</v>
      </c>
      <c r="C5" s="157">
        <f t="shared" ref="C5:C68" si="0">SUM(D5:F5)</f>
        <v>1123360277</v>
      </c>
      <c r="D5" s="329">
        <f>+D6+D7+D8+D9+D10+D11</f>
        <v>1123360277</v>
      </c>
      <c r="E5" s="157">
        <f>+E6+E7+E8+E9+E10+E11</f>
        <v>0</v>
      </c>
      <c r="F5" s="157">
        <f>+F6+F7+F8+F9+F10+F11</f>
        <v>0</v>
      </c>
    </row>
    <row r="6" spans="1:6" s="240" customFormat="1" ht="12" customHeight="1" x14ac:dyDescent="0.2">
      <c r="A6" s="14" t="s">
        <v>98</v>
      </c>
      <c r="B6" s="241" t="s">
        <v>202</v>
      </c>
      <c r="C6" s="366">
        <f t="shared" si="0"/>
        <v>227855923</v>
      </c>
      <c r="D6" s="335">
        <v>227855923</v>
      </c>
      <c r="E6" s="279"/>
      <c r="F6" s="279"/>
    </row>
    <row r="7" spans="1:6" s="240" customFormat="1" ht="12" customHeight="1" x14ac:dyDescent="0.2">
      <c r="A7" s="13" t="s">
        <v>99</v>
      </c>
      <c r="B7" s="242" t="s">
        <v>203</v>
      </c>
      <c r="C7" s="367">
        <f t="shared" si="0"/>
        <v>224734134</v>
      </c>
      <c r="D7" s="308">
        <v>224734134</v>
      </c>
      <c r="E7" s="161"/>
      <c r="F7" s="161"/>
    </row>
    <row r="8" spans="1:6" s="240" customFormat="1" ht="12" customHeight="1" x14ac:dyDescent="0.2">
      <c r="A8" s="13" t="s">
        <v>100</v>
      </c>
      <c r="B8" s="242" t="s">
        <v>577</v>
      </c>
      <c r="C8" s="367">
        <f t="shared" si="0"/>
        <v>446554345</v>
      </c>
      <c r="D8" s="308">
        <f>126991000+65060600+192410145+62092600</f>
        <v>446554345</v>
      </c>
      <c r="E8" s="161"/>
      <c r="F8" s="161"/>
    </row>
    <row r="9" spans="1:6" s="240" customFormat="1" ht="12" customHeight="1" x14ac:dyDescent="0.2">
      <c r="A9" s="13" t="s">
        <v>101</v>
      </c>
      <c r="B9" s="242" t="s">
        <v>205</v>
      </c>
      <c r="C9" s="367">
        <f t="shared" si="0"/>
        <v>16122040</v>
      </c>
      <c r="D9" s="308">
        <v>16122040</v>
      </c>
      <c r="E9" s="161"/>
      <c r="F9" s="161"/>
    </row>
    <row r="10" spans="1:6" s="240" customFormat="1" ht="12" customHeight="1" x14ac:dyDescent="0.2">
      <c r="A10" s="13" t="s">
        <v>137</v>
      </c>
      <c r="B10" s="153" t="s">
        <v>469</v>
      </c>
      <c r="C10" s="367">
        <f t="shared" si="0"/>
        <v>208093835</v>
      </c>
      <c r="D10" s="308">
        <f>16254886+190231327+1309600+298022</f>
        <v>208093835</v>
      </c>
      <c r="E10" s="161"/>
      <c r="F10" s="161"/>
    </row>
    <row r="11" spans="1:6" s="240" customFormat="1" ht="12" customHeight="1" thickBot="1" x14ac:dyDescent="0.25">
      <c r="A11" s="15" t="s">
        <v>102</v>
      </c>
      <c r="B11" s="154" t="s">
        <v>470</v>
      </c>
      <c r="C11" s="368">
        <f t="shared" si="0"/>
        <v>0</v>
      </c>
      <c r="D11" s="145"/>
      <c r="E11" s="158"/>
      <c r="F11" s="158"/>
    </row>
    <row r="12" spans="1:6" s="240" customFormat="1" ht="12" customHeight="1" thickBot="1" x14ac:dyDescent="0.25">
      <c r="A12" s="19" t="s">
        <v>23</v>
      </c>
      <c r="B12" s="152" t="s">
        <v>206</v>
      </c>
      <c r="C12" s="157">
        <f t="shared" si="0"/>
        <v>116873671</v>
      </c>
      <c r="D12" s="329">
        <f>+D13+D14+D15+D16+D17</f>
        <v>113756814</v>
      </c>
      <c r="E12" s="157">
        <f>+E13+E14+E15+E16+E17</f>
        <v>3116857</v>
      </c>
      <c r="F12" s="157">
        <f>+F13+F14+F15+F16+F17</f>
        <v>0</v>
      </c>
    </row>
    <row r="13" spans="1:6" s="240" customFormat="1" ht="12" customHeight="1" x14ac:dyDescent="0.2">
      <c r="A13" s="14" t="s">
        <v>104</v>
      </c>
      <c r="B13" s="241" t="s">
        <v>207</v>
      </c>
      <c r="C13" s="236">
        <f t="shared" si="0"/>
        <v>0</v>
      </c>
      <c r="D13" s="331"/>
      <c r="E13" s="159"/>
      <c r="F13" s="159"/>
    </row>
    <row r="14" spans="1:6" s="240" customFormat="1" ht="12" customHeight="1" x14ac:dyDescent="0.2">
      <c r="A14" s="13" t="s">
        <v>105</v>
      </c>
      <c r="B14" s="242" t="s">
        <v>208</v>
      </c>
      <c r="C14" s="372">
        <f t="shared" si="0"/>
        <v>0</v>
      </c>
      <c r="D14" s="145"/>
      <c r="E14" s="158"/>
      <c r="F14" s="158"/>
    </row>
    <row r="15" spans="1:6" s="240" customFormat="1" ht="12" customHeight="1" x14ac:dyDescent="0.2">
      <c r="A15" s="13" t="s">
        <v>106</v>
      </c>
      <c r="B15" s="242" t="s">
        <v>377</v>
      </c>
      <c r="C15" s="367">
        <f t="shared" si="0"/>
        <v>0</v>
      </c>
      <c r="D15" s="145"/>
      <c r="E15" s="158"/>
      <c r="F15" s="158"/>
    </row>
    <row r="16" spans="1:6" s="240" customFormat="1" ht="12" customHeight="1" x14ac:dyDescent="0.2">
      <c r="A16" s="13" t="s">
        <v>107</v>
      </c>
      <c r="B16" s="242" t="s">
        <v>378</v>
      </c>
      <c r="C16" s="367">
        <f t="shared" si="0"/>
        <v>0</v>
      </c>
      <c r="D16" s="145"/>
      <c r="E16" s="158"/>
      <c r="F16" s="158"/>
    </row>
    <row r="17" spans="1:6" s="240" customFormat="1" ht="12" customHeight="1" x14ac:dyDescent="0.2">
      <c r="A17" s="13" t="s">
        <v>108</v>
      </c>
      <c r="B17" s="242" t="s">
        <v>209</v>
      </c>
      <c r="C17" s="510">
        <f t="shared" si="0"/>
        <v>116873671</v>
      </c>
      <c r="D17" s="308">
        <f>4320000+24250000-344442+85531256</f>
        <v>113756814</v>
      </c>
      <c r="E17" s="310">
        <f>3096237+20620</f>
        <v>3116857</v>
      </c>
      <c r="F17" s="161"/>
    </row>
    <row r="18" spans="1:6" s="240" customFormat="1" ht="12" customHeight="1" thickBot="1" x14ac:dyDescent="0.25">
      <c r="A18" s="15" t="s">
        <v>117</v>
      </c>
      <c r="B18" s="154" t="s">
        <v>210</v>
      </c>
      <c r="C18" s="852">
        <f t="shared" si="0"/>
        <v>85531256</v>
      </c>
      <c r="D18" s="146">
        <v>85531256</v>
      </c>
      <c r="E18" s="230"/>
      <c r="F18" s="230"/>
    </row>
    <row r="19" spans="1:6" s="240" customFormat="1" ht="12" customHeight="1" thickBot="1" x14ac:dyDescent="0.25">
      <c r="A19" s="19" t="s">
        <v>24</v>
      </c>
      <c r="B19" s="20" t="s">
        <v>211</v>
      </c>
      <c r="C19" s="157">
        <f t="shared" si="0"/>
        <v>68947847</v>
      </c>
      <c r="D19" s="329">
        <f>+D20+D21+D22+D23+D24</f>
        <v>68947847</v>
      </c>
      <c r="E19" s="157">
        <f>+E20+E21+E22+E23+E24</f>
        <v>0</v>
      </c>
      <c r="F19" s="157">
        <f>+F20+F21+F22+F23+F24</f>
        <v>0</v>
      </c>
    </row>
    <row r="20" spans="1:6" s="240" customFormat="1" ht="12" customHeight="1" x14ac:dyDescent="0.2">
      <c r="A20" s="14" t="s">
        <v>87</v>
      </c>
      <c r="B20" s="241" t="s">
        <v>212</v>
      </c>
      <c r="C20" s="236">
        <f t="shared" si="0"/>
        <v>0</v>
      </c>
      <c r="D20" s="335"/>
      <c r="E20" s="307"/>
      <c r="F20" s="307"/>
    </row>
    <row r="21" spans="1:6" s="240" customFormat="1" ht="12" customHeight="1" x14ac:dyDescent="0.2">
      <c r="A21" s="13" t="s">
        <v>88</v>
      </c>
      <c r="B21" s="242" t="s">
        <v>213</v>
      </c>
      <c r="C21" s="372">
        <f t="shared" si="0"/>
        <v>0</v>
      </c>
      <c r="D21" s="308"/>
      <c r="E21" s="161"/>
      <c r="F21" s="161"/>
    </row>
    <row r="22" spans="1:6" s="240" customFormat="1" ht="12" customHeight="1" x14ac:dyDescent="0.2">
      <c r="A22" s="13" t="s">
        <v>89</v>
      </c>
      <c r="B22" s="242" t="s">
        <v>379</v>
      </c>
      <c r="C22" s="372">
        <f t="shared" si="0"/>
        <v>0</v>
      </c>
      <c r="D22" s="308"/>
      <c r="E22" s="161"/>
      <c r="F22" s="161"/>
    </row>
    <row r="23" spans="1:6" s="240" customFormat="1" ht="12" customHeight="1" x14ac:dyDescent="0.2">
      <c r="A23" s="13" t="s">
        <v>90</v>
      </c>
      <c r="B23" s="242" t="s">
        <v>380</v>
      </c>
      <c r="C23" s="372">
        <f t="shared" si="0"/>
        <v>0</v>
      </c>
      <c r="D23" s="308"/>
      <c r="E23" s="161"/>
      <c r="F23" s="161"/>
    </row>
    <row r="24" spans="1:6" s="240" customFormat="1" ht="12" customHeight="1" x14ac:dyDescent="0.2">
      <c r="A24" s="13" t="s">
        <v>148</v>
      </c>
      <c r="B24" s="242" t="s">
        <v>214</v>
      </c>
      <c r="C24" s="510">
        <f t="shared" si="0"/>
        <v>68947847</v>
      </c>
      <c r="D24" s="308">
        <f>5866130+3779393+3796748+55505576</f>
        <v>68947847</v>
      </c>
      <c r="E24" s="161"/>
      <c r="F24" s="161"/>
    </row>
    <row r="25" spans="1:6" s="240" customFormat="1" ht="12" customHeight="1" thickBot="1" x14ac:dyDescent="0.25">
      <c r="A25" s="15" t="s">
        <v>149</v>
      </c>
      <c r="B25" s="243" t="s">
        <v>215</v>
      </c>
      <c r="C25" s="852">
        <f t="shared" si="0"/>
        <v>68947847</v>
      </c>
      <c r="D25" s="312">
        <f>9645523+3796748+55505576</f>
        <v>68947847</v>
      </c>
      <c r="E25" s="230"/>
      <c r="F25" s="160"/>
    </row>
    <row r="26" spans="1:6" s="240" customFormat="1" ht="12" customHeight="1" thickBot="1" x14ac:dyDescent="0.25">
      <c r="A26" s="19" t="s">
        <v>150</v>
      </c>
      <c r="B26" s="20" t="s">
        <v>216</v>
      </c>
      <c r="C26" s="157">
        <f t="shared" si="0"/>
        <v>352658000</v>
      </c>
      <c r="D26" s="332">
        <f>+D27+D31+D32+D33</f>
        <v>352658000</v>
      </c>
      <c r="E26" s="162">
        <f>+E27+E31+E32+E33</f>
        <v>0</v>
      </c>
      <c r="F26" s="162">
        <f>+F27+F31+F32+F33</f>
        <v>0</v>
      </c>
    </row>
    <row r="27" spans="1:6" s="240" customFormat="1" ht="12" customHeight="1" x14ac:dyDescent="0.2">
      <c r="A27" s="14" t="s">
        <v>217</v>
      </c>
      <c r="B27" s="241" t="s">
        <v>471</v>
      </c>
      <c r="C27" s="236">
        <f t="shared" si="0"/>
        <v>308654000</v>
      </c>
      <c r="D27" s="356">
        <f>SUM(D28:D30)</f>
        <v>308654000</v>
      </c>
      <c r="E27" s="236"/>
      <c r="F27" s="236"/>
    </row>
    <row r="28" spans="1:6" s="240" customFormat="1" ht="12" customHeight="1" x14ac:dyDescent="0.2">
      <c r="A28" s="13" t="s">
        <v>218</v>
      </c>
      <c r="B28" s="242" t="s">
        <v>223</v>
      </c>
      <c r="C28" s="372">
        <f t="shared" si="0"/>
        <v>77500000</v>
      </c>
      <c r="D28" s="145">
        <v>77500000</v>
      </c>
      <c r="E28" s="158"/>
      <c r="F28" s="158"/>
    </row>
    <row r="29" spans="1:6" s="240" customFormat="1" ht="12" customHeight="1" x14ac:dyDescent="0.2">
      <c r="A29" s="13" t="s">
        <v>219</v>
      </c>
      <c r="B29" s="242" t="s">
        <v>571</v>
      </c>
      <c r="C29" s="367">
        <f t="shared" si="0"/>
        <v>231154000</v>
      </c>
      <c r="D29" s="145">
        <v>231154000</v>
      </c>
      <c r="E29" s="158"/>
      <c r="F29" s="158"/>
    </row>
    <row r="30" spans="1:6" s="240" customFormat="1" ht="12" customHeight="1" x14ac:dyDescent="0.2">
      <c r="A30" s="13" t="s">
        <v>472</v>
      </c>
      <c r="B30" s="242" t="s">
        <v>568</v>
      </c>
      <c r="C30" s="372">
        <f t="shared" si="0"/>
        <v>0</v>
      </c>
      <c r="D30" s="308"/>
      <c r="E30" s="161"/>
      <c r="F30" s="161"/>
    </row>
    <row r="31" spans="1:6" s="240" customFormat="1" ht="12" customHeight="1" x14ac:dyDescent="0.2">
      <c r="A31" s="13" t="s">
        <v>220</v>
      </c>
      <c r="B31" s="242" t="s">
        <v>225</v>
      </c>
      <c r="C31" s="367">
        <f t="shared" si="0"/>
        <v>28000000</v>
      </c>
      <c r="D31" s="145">
        <v>28000000</v>
      </c>
      <c r="E31" s="158"/>
      <c r="F31" s="161"/>
    </row>
    <row r="32" spans="1:6" s="240" customFormat="1" ht="12" customHeight="1" x14ac:dyDescent="0.2">
      <c r="A32" s="13" t="s">
        <v>221</v>
      </c>
      <c r="B32" s="242" t="s">
        <v>226</v>
      </c>
      <c r="C32" s="367">
        <f t="shared" si="0"/>
        <v>4000</v>
      </c>
      <c r="D32" s="145">
        <f>4504000-4500000</f>
        <v>4000</v>
      </c>
      <c r="E32" s="158"/>
      <c r="F32" s="161"/>
    </row>
    <row r="33" spans="1:6" s="240" customFormat="1" ht="12" customHeight="1" thickBot="1" x14ac:dyDescent="0.25">
      <c r="A33" s="15" t="s">
        <v>222</v>
      </c>
      <c r="B33" s="243" t="s">
        <v>227</v>
      </c>
      <c r="C33" s="368">
        <f t="shared" si="0"/>
        <v>16000000</v>
      </c>
      <c r="D33" s="312">
        <f>11500000+4500000</f>
        <v>16000000</v>
      </c>
      <c r="E33" s="230"/>
      <c r="F33" s="230"/>
    </row>
    <row r="34" spans="1:6" s="240" customFormat="1" ht="12" customHeight="1" thickBot="1" x14ac:dyDescent="0.25">
      <c r="A34" s="19" t="s">
        <v>26</v>
      </c>
      <c r="B34" s="20" t="s">
        <v>474</v>
      </c>
      <c r="C34" s="157">
        <f t="shared" si="0"/>
        <v>232127918</v>
      </c>
      <c r="D34" s="329">
        <f>SUM(D35:D45)</f>
        <v>26426106</v>
      </c>
      <c r="E34" s="157">
        <f>SUM(E35:E45)</f>
        <v>2005440</v>
      </c>
      <c r="F34" s="157">
        <f>SUM(F35:F45)</f>
        <v>203696372</v>
      </c>
    </row>
    <row r="35" spans="1:6" s="240" customFormat="1" ht="12" customHeight="1" x14ac:dyDescent="0.2">
      <c r="A35" s="14" t="s">
        <v>91</v>
      </c>
      <c r="B35" s="241" t="s">
        <v>230</v>
      </c>
      <c r="C35" s="366">
        <f t="shared" si="0"/>
        <v>20000</v>
      </c>
      <c r="D35" s="335"/>
      <c r="E35" s="279"/>
      <c r="F35" s="279">
        <v>20000</v>
      </c>
    </row>
    <row r="36" spans="1:6" s="240" customFormat="1" ht="12" customHeight="1" x14ac:dyDescent="0.2">
      <c r="A36" s="13" t="s">
        <v>92</v>
      </c>
      <c r="B36" s="242" t="s">
        <v>231</v>
      </c>
      <c r="C36" s="367">
        <f t="shared" si="0"/>
        <v>61855197</v>
      </c>
      <c r="D36" s="308">
        <f>13910169+100000</f>
        <v>14010169</v>
      </c>
      <c r="E36" s="161">
        <f>1198440+380000</f>
        <v>1578440</v>
      </c>
      <c r="F36" s="279">
        <v>46266588</v>
      </c>
    </row>
    <row r="37" spans="1:6" s="240" customFormat="1" ht="12" customHeight="1" x14ac:dyDescent="0.2">
      <c r="A37" s="13" t="s">
        <v>93</v>
      </c>
      <c r="B37" s="242" t="s">
        <v>232</v>
      </c>
      <c r="C37" s="367">
        <f t="shared" si="0"/>
        <v>90069200</v>
      </c>
      <c r="D37" s="308">
        <f>500000+300000+50000+1400000+947000+300000+52200</f>
        <v>3549200</v>
      </c>
      <c r="E37" s="161"/>
      <c r="F37" s="279">
        <v>86520000</v>
      </c>
    </row>
    <row r="38" spans="1:6" s="240" customFormat="1" ht="12" customHeight="1" x14ac:dyDescent="0.2">
      <c r="A38" s="13" t="s">
        <v>152</v>
      </c>
      <c r="B38" s="242" t="s">
        <v>233</v>
      </c>
      <c r="C38" s="367">
        <f t="shared" si="0"/>
        <v>430000</v>
      </c>
      <c r="D38" s="308">
        <v>430000</v>
      </c>
      <c r="E38" s="161"/>
      <c r="F38" s="279"/>
    </row>
    <row r="39" spans="1:6" s="240" customFormat="1" ht="12" customHeight="1" x14ac:dyDescent="0.2">
      <c r="A39" s="13" t="s">
        <v>153</v>
      </c>
      <c r="B39" s="242" t="s">
        <v>234</v>
      </c>
      <c r="C39" s="367">
        <f t="shared" si="0"/>
        <v>21166618</v>
      </c>
      <c r="D39" s="308"/>
      <c r="E39" s="161"/>
      <c r="F39" s="279">
        <v>21166618</v>
      </c>
    </row>
    <row r="40" spans="1:6" s="240" customFormat="1" ht="12" customHeight="1" x14ac:dyDescent="0.2">
      <c r="A40" s="13" t="s">
        <v>154</v>
      </c>
      <c r="B40" s="242" t="s">
        <v>235</v>
      </c>
      <c r="C40" s="367">
        <f t="shared" si="0"/>
        <v>37668760</v>
      </c>
      <c r="D40" s="308">
        <f>5162000+81000+13500+378000+81000+14094</f>
        <v>5729594</v>
      </c>
      <c r="E40" s="161">
        <f>324000+103000</f>
        <v>427000</v>
      </c>
      <c r="F40" s="279">
        <v>31512166</v>
      </c>
    </row>
    <row r="41" spans="1:6" s="240" customFormat="1" ht="12" customHeight="1" x14ac:dyDescent="0.2">
      <c r="A41" s="13" t="s">
        <v>155</v>
      </c>
      <c r="B41" s="242" t="s">
        <v>236</v>
      </c>
      <c r="C41" s="367">
        <f t="shared" si="0"/>
        <v>18210000</v>
      </c>
      <c r="D41" s="308"/>
      <c r="E41" s="161"/>
      <c r="F41" s="279">
        <v>18210000</v>
      </c>
    </row>
    <row r="42" spans="1:6" s="240" customFormat="1" ht="12" customHeight="1" x14ac:dyDescent="0.2">
      <c r="A42" s="13" t="s">
        <v>156</v>
      </c>
      <c r="B42" s="242" t="s">
        <v>578</v>
      </c>
      <c r="C42" s="367">
        <f t="shared" si="0"/>
        <v>31000</v>
      </c>
      <c r="D42" s="308">
        <v>30000</v>
      </c>
      <c r="E42" s="161"/>
      <c r="F42" s="279">
        <v>1000</v>
      </c>
    </row>
    <row r="43" spans="1:6" s="240" customFormat="1" ht="12" customHeight="1" x14ac:dyDescent="0.2">
      <c r="A43" s="13" t="s">
        <v>228</v>
      </c>
      <c r="B43" s="242" t="s">
        <v>238</v>
      </c>
      <c r="C43" s="367">
        <f t="shared" si="0"/>
        <v>0</v>
      </c>
      <c r="D43" s="308"/>
      <c r="E43" s="161"/>
      <c r="F43" s="279"/>
    </row>
    <row r="44" spans="1:6" s="240" customFormat="1" ht="12" customHeight="1" x14ac:dyDescent="0.2">
      <c r="A44" s="15" t="s">
        <v>229</v>
      </c>
      <c r="B44" s="243" t="s">
        <v>475</v>
      </c>
      <c r="C44" s="367">
        <f t="shared" si="0"/>
        <v>500000</v>
      </c>
      <c r="D44" s="312">
        <v>500000</v>
      </c>
      <c r="E44" s="230"/>
      <c r="F44" s="230"/>
    </row>
    <row r="45" spans="1:6" s="240" customFormat="1" ht="12" customHeight="1" thickBot="1" x14ac:dyDescent="0.25">
      <c r="A45" s="15" t="s">
        <v>476</v>
      </c>
      <c r="B45" s="154" t="s">
        <v>239</v>
      </c>
      <c r="C45" s="852">
        <f t="shared" si="0"/>
        <v>2177143</v>
      </c>
      <c r="D45" s="312">
        <f>600000+1577143</f>
        <v>2177143</v>
      </c>
      <c r="E45" s="230"/>
      <c r="F45" s="322"/>
    </row>
    <row r="46" spans="1:6" s="240" customFormat="1" ht="12" customHeight="1" thickBot="1" x14ac:dyDescent="0.25">
      <c r="A46" s="19" t="s">
        <v>27</v>
      </c>
      <c r="B46" s="20" t="s">
        <v>240</v>
      </c>
      <c r="C46" s="157">
        <f t="shared" si="0"/>
        <v>30332500</v>
      </c>
      <c r="D46" s="329">
        <f>SUM(D47:D51)</f>
        <v>30332500</v>
      </c>
      <c r="E46" s="157">
        <f>SUM(E47:E51)</f>
        <v>0</v>
      </c>
      <c r="F46" s="157">
        <f>SUM(F47:F51)</f>
        <v>0</v>
      </c>
    </row>
    <row r="47" spans="1:6" s="240" customFormat="1" ht="12" customHeight="1" x14ac:dyDescent="0.2">
      <c r="A47" s="14" t="s">
        <v>94</v>
      </c>
      <c r="B47" s="241" t="s">
        <v>244</v>
      </c>
      <c r="C47" s="236">
        <f t="shared" si="0"/>
        <v>0</v>
      </c>
      <c r="D47" s="335"/>
      <c r="E47" s="279"/>
      <c r="F47" s="279"/>
    </row>
    <row r="48" spans="1:6" s="240" customFormat="1" ht="12" customHeight="1" x14ac:dyDescent="0.2">
      <c r="A48" s="13" t="s">
        <v>95</v>
      </c>
      <c r="B48" s="242" t="s">
        <v>245</v>
      </c>
      <c r="C48" s="372">
        <f>SUM(D48:F48)</f>
        <v>30332500</v>
      </c>
      <c r="D48" s="308">
        <v>30332500</v>
      </c>
      <c r="E48" s="161"/>
      <c r="F48" s="161"/>
    </row>
    <row r="49" spans="1:6" s="240" customFormat="1" ht="12" customHeight="1" x14ac:dyDescent="0.2">
      <c r="A49" s="13" t="s">
        <v>241</v>
      </c>
      <c r="B49" s="242" t="s">
        <v>246</v>
      </c>
      <c r="C49" s="372">
        <f t="shared" si="0"/>
        <v>0</v>
      </c>
      <c r="D49" s="308"/>
      <c r="E49" s="161"/>
      <c r="F49" s="161"/>
    </row>
    <row r="50" spans="1:6" s="240" customFormat="1" ht="12" customHeight="1" x14ac:dyDescent="0.2">
      <c r="A50" s="13" t="s">
        <v>242</v>
      </c>
      <c r="B50" s="242" t="s">
        <v>247</v>
      </c>
      <c r="C50" s="372">
        <f t="shared" si="0"/>
        <v>0</v>
      </c>
      <c r="D50" s="308"/>
      <c r="E50" s="161"/>
      <c r="F50" s="161"/>
    </row>
    <row r="51" spans="1:6" s="240" customFormat="1" ht="12" customHeight="1" thickBot="1" x14ac:dyDescent="0.25">
      <c r="A51" s="15" t="s">
        <v>243</v>
      </c>
      <c r="B51" s="154" t="s">
        <v>248</v>
      </c>
      <c r="C51" s="373">
        <f t="shared" si="0"/>
        <v>0</v>
      </c>
      <c r="D51" s="312"/>
      <c r="E51" s="230"/>
      <c r="F51" s="230"/>
    </row>
    <row r="52" spans="1:6" s="240" customFormat="1" ht="12" customHeight="1" thickBot="1" x14ac:dyDescent="0.25">
      <c r="A52" s="19" t="s">
        <v>157</v>
      </c>
      <c r="B52" s="20" t="s">
        <v>249</v>
      </c>
      <c r="C52" s="157">
        <f t="shared" si="0"/>
        <v>2920000</v>
      </c>
      <c r="D52" s="329">
        <f>SUM(D53:D55)</f>
        <v>2920000</v>
      </c>
      <c r="E52" s="157">
        <f>SUM(E53:E55)</f>
        <v>0</v>
      </c>
      <c r="F52" s="157">
        <f>SUM(F53:F55)</f>
        <v>0</v>
      </c>
    </row>
    <row r="53" spans="1:6" s="240" customFormat="1" ht="12" customHeight="1" x14ac:dyDescent="0.2">
      <c r="A53" s="14" t="s">
        <v>96</v>
      </c>
      <c r="B53" s="241" t="s">
        <v>250</v>
      </c>
      <c r="C53" s="236">
        <f t="shared" si="0"/>
        <v>0</v>
      </c>
      <c r="D53" s="331"/>
      <c r="E53" s="159"/>
      <c r="F53" s="159"/>
    </row>
    <row r="54" spans="1:6" s="240" customFormat="1" ht="12" customHeight="1" x14ac:dyDescent="0.2">
      <c r="A54" s="13" t="s">
        <v>97</v>
      </c>
      <c r="B54" s="242" t="s">
        <v>381</v>
      </c>
      <c r="C54" s="367">
        <f t="shared" si="0"/>
        <v>0</v>
      </c>
      <c r="D54" s="308"/>
      <c r="E54" s="161"/>
      <c r="F54" s="161"/>
    </row>
    <row r="55" spans="1:6" s="240" customFormat="1" ht="12" customHeight="1" x14ac:dyDescent="0.2">
      <c r="A55" s="13" t="s">
        <v>253</v>
      </c>
      <c r="B55" s="242" t="s">
        <v>251</v>
      </c>
      <c r="C55" s="510">
        <f t="shared" si="0"/>
        <v>2920000</v>
      </c>
      <c r="D55" s="308">
        <f>2900000+20000</f>
        <v>2920000</v>
      </c>
      <c r="E55" s="161"/>
      <c r="F55" s="161"/>
    </row>
    <row r="56" spans="1:6" s="240" customFormat="1" ht="12" customHeight="1" thickBot="1" x14ac:dyDescent="0.25">
      <c r="A56" s="15" t="s">
        <v>254</v>
      </c>
      <c r="B56" s="154" t="s">
        <v>252</v>
      </c>
      <c r="C56" s="373">
        <f t="shared" si="0"/>
        <v>0</v>
      </c>
      <c r="D56" s="146"/>
      <c r="E56" s="160"/>
      <c r="F56" s="160"/>
    </row>
    <row r="57" spans="1:6" s="240" customFormat="1" ht="12" customHeight="1" thickBot="1" x14ac:dyDescent="0.25">
      <c r="A57" s="19" t="s">
        <v>29</v>
      </c>
      <c r="B57" s="152" t="s">
        <v>255</v>
      </c>
      <c r="C57" s="374">
        <f t="shared" si="0"/>
        <v>0</v>
      </c>
      <c r="D57" s="329">
        <f>SUM(D58:D60)</f>
        <v>0</v>
      </c>
      <c r="E57" s="157">
        <f>SUM(E58:E60)</f>
        <v>0</v>
      </c>
      <c r="F57" s="157">
        <f>SUM(F58:F60)</f>
        <v>0</v>
      </c>
    </row>
    <row r="58" spans="1:6" s="240" customFormat="1" ht="12" customHeight="1" x14ac:dyDescent="0.2">
      <c r="A58" s="14" t="s">
        <v>158</v>
      </c>
      <c r="B58" s="241" t="s">
        <v>257</v>
      </c>
      <c r="C58" s="236">
        <f t="shared" si="0"/>
        <v>0</v>
      </c>
      <c r="D58" s="308"/>
      <c r="E58" s="161"/>
      <c r="F58" s="161"/>
    </row>
    <row r="59" spans="1:6" s="240" customFormat="1" ht="12" customHeight="1" x14ac:dyDescent="0.2">
      <c r="A59" s="13" t="s">
        <v>159</v>
      </c>
      <c r="B59" s="242" t="s">
        <v>382</v>
      </c>
      <c r="C59" s="367">
        <f t="shared" si="0"/>
        <v>0</v>
      </c>
      <c r="D59" s="308"/>
      <c r="E59" s="161"/>
      <c r="F59" s="161"/>
    </row>
    <row r="60" spans="1:6" s="240" customFormat="1" ht="12" customHeight="1" x14ac:dyDescent="0.2">
      <c r="A60" s="13" t="s">
        <v>181</v>
      </c>
      <c r="B60" s="242" t="s">
        <v>258</v>
      </c>
      <c r="C60" s="367">
        <f t="shared" si="0"/>
        <v>0</v>
      </c>
      <c r="D60" s="308"/>
      <c r="E60" s="161"/>
      <c r="F60" s="161"/>
    </row>
    <row r="61" spans="1:6" s="240" customFormat="1" ht="12" customHeight="1" thickBot="1" x14ac:dyDescent="0.25">
      <c r="A61" s="15" t="s">
        <v>256</v>
      </c>
      <c r="B61" s="154" t="s">
        <v>259</v>
      </c>
      <c r="C61" s="373">
        <f t="shared" si="0"/>
        <v>0</v>
      </c>
      <c r="D61" s="308"/>
      <c r="E61" s="161"/>
      <c r="F61" s="161"/>
    </row>
    <row r="62" spans="1:6" s="240" customFormat="1" ht="12" customHeight="1" thickBot="1" x14ac:dyDescent="0.25">
      <c r="A62" s="293" t="s">
        <v>477</v>
      </c>
      <c r="B62" s="20" t="s">
        <v>260</v>
      </c>
      <c r="C62" s="157">
        <f t="shared" si="0"/>
        <v>1927220213</v>
      </c>
      <c r="D62" s="332">
        <f>+D5+D12+D19+D26+D34+D46+D52+D57</f>
        <v>1718401544</v>
      </c>
      <c r="E62" s="162">
        <f>+E5+E12+E19+E26+E34+E46+E52+E57</f>
        <v>5122297</v>
      </c>
      <c r="F62" s="162">
        <f>+F5+F12+F19+F26+F34+F46+F52+F57</f>
        <v>203696372</v>
      </c>
    </row>
    <row r="63" spans="1:6" s="240" customFormat="1" ht="12" customHeight="1" thickBot="1" x14ac:dyDescent="0.25">
      <c r="A63" s="294" t="s">
        <v>261</v>
      </c>
      <c r="B63" s="152" t="s">
        <v>262</v>
      </c>
      <c r="C63" s="374">
        <f t="shared" si="0"/>
        <v>193478462</v>
      </c>
      <c r="D63" s="329">
        <f>SUM(D64:D66)</f>
        <v>193478462</v>
      </c>
      <c r="E63" s="157">
        <f>SUM(E64:E66)</f>
        <v>0</v>
      </c>
      <c r="F63" s="157">
        <f>SUM(F64:F66)</f>
        <v>0</v>
      </c>
    </row>
    <row r="64" spans="1:6" s="240" customFormat="1" ht="12" customHeight="1" x14ac:dyDescent="0.2">
      <c r="A64" s="14" t="s">
        <v>293</v>
      </c>
      <c r="B64" s="241" t="s">
        <v>263</v>
      </c>
      <c r="C64" s="236">
        <f t="shared" si="0"/>
        <v>93478462</v>
      </c>
      <c r="D64" s="308">
        <v>93478462</v>
      </c>
      <c r="E64" s="161"/>
      <c r="F64" s="161"/>
    </row>
    <row r="65" spans="1:6" s="240" customFormat="1" ht="12" customHeight="1" x14ac:dyDescent="0.2">
      <c r="A65" s="13" t="s">
        <v>302</v>
      </c>
      <c r="B65" s="242" t="s">
        <v>264</v>
      </c>
      <c r="C65" s="372">
        <f t="shared" si="0"/>
        <v>100000000</v>
      </c>
      <c r="D65" s="308">
        <v>100000000</v>
      </c>
      <c r="E65" s="161"/>
      <c r="F65" s="161"/>
    </row>
    <row r="66" spans="1:6" s="240" customFormat="1" ht="12" customHeight="1" thickBot="1" x14ac:dyDescent="0.25">
      <c r="A66" s="15" t="s">
        <v>303</v>
      </c>
      <c r="B66" s="295" t="s">
        <v>478</v>
      </c>
      <c r="C66" s="373">
        <f t="shared" si="0"/>
        <v>0</v>
      </c>
      <c r="D66" s="308"/>
      <c r="E66" s="161"/>
      <c r="F66" s="161"/>
    </row>
    <row r="67" spans="1:6" s="240" customFormat="1" ht="12" customHeight="1" thickBot="1" x14ac:dyDescent="0.25">
      <c r="A67" s="294" t="s">
        <v>266</v>
      </c>
      <c r="B67" s="152" t="s">
        <v>267</v>
      </c>
      <c r="C67" s="374">
        <f t="shared" si="0"/>
        <v>0</v>
      </c>
      <c r="D67" s="329">
        <f>SUM(D68:D71)</f>
        <v>0</v>
      </c>
      <c r="E67" s="157">
        <f>SUM(E68:E71)</f>
        <v>0</v>
      </c>
      <c r="F67" s="157">
        <f>SUM(F68:F71)</f>
        <v>0</v>
      </c>
    </row>
    <row r="68" spans="1:6" s="240" customFormat="1" ht="12" customHeight="1" x14ac:dyDescent="0.2">
      <c r="A68" s="14" t="s">
        <v>138</v>
      </c>
      <c r="B68" s="241" t="s">
        <v>268</v>
      </c>
      <c r="C68" s="236">
        <f t="shared" si="0"/>
        <v>0</v>
      </c>
      <c r="D68" s="308"/>
      <c r="E68" s="161"/>
      <c r="F68" s="161"/>
    </row>
    <row r="69" spans="1:6" s="240" customFormat="1" ht="12" customHeight="1" x14ac:dyDescent="0.2">
      <c r="A69" s="13" t="s">
        <v>139</v>
      </c>
      <c r="B69" s="242" t="s">
        <v>269</v>
      </c>
      <c r="C69" s="372">
        <f t="shared" ref="C69:C87" si="1">SUM(D69:F69)</f>
        <v>0</v>
      </c>
      <c r="D69" s="308"/>
      <c r="E69" s="161"/>
      <c r="F69" s="161"/>
    </row>
    <row r="70" spans="1:6" s="240" customFormat="1" ht="12" customHeight="1" x14ac:dyDescent="0.2">
      <c r="A70" s="13" t="s">
        <v>294</v>
      </c>
      <c r="B70" s="242" t="s">
        <v>270</v>
      </c>
      <c r="C70" s="372">
        <f t="shared" si="1"/>
        <v>0</v>
      </c>
      <c r="D70" s="308"/>
      <c r="E70" s="161"/>
      <c r="F70" s="161"/>
    </row>
    <row r="71" spans="1:6" s="240" customFormat="1" ht="12" customHeight="1" thickBot="1" x14ac:dyDescent="0.25">
      <c r="A71" s="15" t="s">
        <v>295</v>
      </c>
      <c r="B71" s="154" t="s">
        <v>271</v>
      </c>
      <c r="C71" s="373">
        <f t="shared" si="1"/>
        <v>0</v>
      </c>
      <c r="D71" s="308"/>
      <c r="E71" s="161"/>
      <c r="F71" s="161"/>
    </row>
    <row r="72" spans="1:6" s="240" customFormat="1" ht="12" customHeight="1" thickBot="1" x14ac:dyDescent="0.25">
      <c r="A72" s="294" t="s">
        <v>272</v>
      </c>
      <c r="B72" s="152" t="s">
        <v>273</v>
      </c>
      <c r="C72" s="157">
        <f t="shared" si="1"/>
        <v>602650240</v>
      </c>
      <c r="D72" s="329">
        <f>SUM(D73:D74)</f>
        <v>594503730</v>
      </c>
      <c r="E72" s="157">
        <f>SUM(E73:E74)</f>
        <v>3212174</v>
      </c>
      <c r="F72" s="157">
        <f>SUM(F73:F74)</f>
        <v>4934336</v>
      </c>
    </row>
    <row r="73" spans="1:6" s="240" customFormat="1" ht="12" customHeight="1" x14ac:dyDescent="0.2">
      <c r="A73" s="14" t="s">
        <v>296</v>
      </c>
      <c r="B73" s="241" t="s">
        <v>274</v>
      </c>
      <c r="C73" s="366">
        <f t="shared" si="1"/>
        <v>602650240</v>
      </c>
      <c r="D73" s="308">
        <f>569119704-28+25384054</f>
        <v>594503730</v>
      </c>
      <c r="E73" s="161">
        <f>3148853+63321</f>
        <v>3212174</v>
      </c>
      <c r="F73" s="161">
        <v>4934336</v>
      </c>
    </row>
    <row r="74" spans="1:6" s="240" customFormat="1" ht="12" customHeight="1" thickBot="1" x14ac:dyDescent="0.25">
      <c r="A74" s="15" t="s">
        <v>297</v>
      </c>
      <c r="B74" s="154" t="s">
        <v>275</v>
      </c>
      <c r="C74" s="373">
        <f t="shared" si="1"/>
        <v>0</v>
      </c>
      <c r="D74" s="308"/>
      <c r="E74" s="161"/>
      <c r="F74" s="161"/>
    </row>
    <row r="75" spans="1:6" s="240" customFormat="1" ht="12" customHeight="1" thickBot="1" x14ac:dyDescent="0.25">
      <c r="A75" s="294" t="s">
        <v>276</v>
      </c>
      <c r="B75" s="152" t="s">
        <v>277</v>
      </c>
      <c r="C75" s="374">
        <f t="shared" si="1"/>
        <v>0</v>
      </c>
      <c r="D75" s="329">
        <f>SUM(D76:D78)</f>
        <v>0</v>
      </c>
      <c r="E75" s="157">
        <f>SUM(E76:E78)</f>
        <v>0</v>
      </c>
      <c r="F75" s="157">
        <f>SUM(F76:F78)</f>
        <v>0</v>
      </c>
    </row>
    <row r="76" spans="1:6" s="240" customFormat="1" ht="12" customHeight="1" x14ac:dyDescent="0.2">
      <c r="A76" s="14" t="s">
        <v>298</v>
      </c>
      <c r="B76" s="241" t="s">
        <v>278</v>
      </c>
      <c r="C76" s="236">
        <f t="shared" si="1"/>
        <v>0</v>
      </c>
      <c r="D76" s="308"/>
      <c r="E76" s="161"/>
      <c r="F76" s="161"/>
    </row>
    <row r="77" spans="1:6" s="240" customFormat="1" ht="12" customHeight="1" x14ac:dyDescent="0.2">
      <c r="A77" s="13" t="s">
        <v>299</v>
      </c>
      <c r="B77" s="242" t="s">
        <v>279</v>
      </c>
      <c r="C77" s="372">
        <f t="shared" si="1"/>
        <v>0</v>
      </c>
      <c r="D77" s="308"/>
      <c r="E77" s="161"/>
      <c r="F77" s="161"/>
    </row>
    <row r="78" spans="1:6" s="240" customFormat="1" ht="12" customHeight="1" thickBot="1" x14ac:dyDescent="0.25">
      <c r="A78" s="15" t="s">
        <v>300</v>
      </c>
      <c r="B78" s="154" t="s">
        <v>280</v>
      </c>
      <c r="C78" s="373">
        <f t="shared" si="1"/>
        <v>0</v>
      </c>
      <c r="D78" s="308"/>
      <c r="E78" s="161"/>
      <c r="F78" s="161"/>
    </row>
    <row r="79" spans="1:6" s="240" customFormat="1" ht="12" customHeight="1" thickBot="1" x14ac:dyDescent="0.25">
      <c r="A79" s="294" t="s">
        <v>281</v>
      </c>
      <c r="B79" s="152" t="s">
        <v>301</v>
      </c>
      <c r="C79" s="374">
        <f t="shared" si="1"/>
        <v>0</v>
      </c>
      <c r="D79" s="329">
        <f>SUM(D80:D83)</f>
        <v>0</v>
      </c>
      <c r="E79" s="157">
        <f>SUM(E80:E83)</f>
        <v>0</v>
      </c>
      <c r="F79" s="157">
        <f>SUM(F80:F83)</f>
        <v>0</v>
      </c>
    </row>
    <row r="80" spans="1:6" s="240" customFormat="1" ht="12" customHeight="1" x14ac:dyDescent="0.2">
      <c r="A80" s="245" t="s">
        <v>282</v>
      </c>
      <c r="B80" s="241" t="s">
        <v>283</v>
      </c>
      <c r="C80" s="236">
        <f t="shared" si="1"/>
        <v>0</v>
      </c>
      <c r="D80" s="308"/>
      <c r="E80" s="161"/>
      <c r="F80" s="161"/>
    </row>
    <row r="81" spans="1:6" s="240" customFormat="1" ht="12" customHeight="1" x14ac:dyDescent="0.2">
      <c r="A81" s="246" t="s">
        <v>284</v>
      </c>
      <c r="B81" s="242" t="s">
        <v>285</v>
      </c>
      <c r="C81" s="372">
        <f t="shared" si="1"/>
        <v>0</v>
      </c>
      <c r="D81" s="308"/>
      <c r="E81" s="161"/>
      <c r="F81" s="161"/>
    </row>
    <row r="82" spans="1:6" s="240" customFormat="1" ht="12" customHeight="1" x14ac:dyDescent="0.2">
      <c r="A82" s="246" t="s">
        <v>286</v>
      </c>
      <c r="B82" s="242" t="s">
        <v>287</v>
      </c>
      <c r="C82" s="372">
        <f t="shared" si="1"/>
        <v>0</v>
      </c>
      <c r="D82" s="308"/>
      <c r="E82" s="161"/>
      <c r="F82" s="161"/>
    </row>
    <row r="83" spans="1:6" s="240" customFormat="1" ht="12" customHeight="1" thickBot="1" x14ac:dyDescent="0.25">
      <c r="A83" s="247" t="s">
        <v>288</v>
      </c>
      <c r="B83" s="154" t="s">
        <v>289</v>
      </c>
      <c r="C83" s="373">
        <f t="shared" si="1"/>
        <v>0</v>
      </c>
      <c r="D83" s="308"/>
      <c r="E83" s="161"/>
      <c r="F83" s="161"/>
    </row>
    <row r="84" spans="1:6" s="240" customFormat="1" ht="12" customHeight="1" thickBot="1" x14ac:dyDescent="0.25">
      <c r="A84" s="294" t="s">
        <v>290</v>
      </c>
      <c r="B84" s="152" t="s">
        <v>479</v>
      </c>
      <c r="C84" s="511">
        <f t="shared" si="1"/>
        <v>0</v>
      </c>
      <c r="D84" s="336"/>
      <c r="E84" s="280"/>
      <c r="F84" s="280"/>
    </row>
    <row r="85" spans="1:6" s="240" customFormat="1" ht="13.5" customHeight="1" thickBot="1" x14ac:dyDescent="0.25">
      <c r="A85" s="294" t="s">
        <v>292</v>
      </c>
      <c r="B85" s="152" t="s">
        <v>291</v>
      </c>
      <c r="C85" s="374">
        <f t="shared" si="1"/>
        <v>0</v>
      </c>
      <c r="D85" s="336"/>
      <c r="E85" s="280"/>
      <c r="F85" s="280"/>
    </row>
    <row r="86" spans="1:6" s="240" customFormat="1" ht="15.75" customHeight="1" thickBot="1" x14ac:dyDescent="0.25">
      <c r="A86" s="294" t="s">
        <v>304</v>
      </c>
      <c r="B86" s="248" t="s">
        <v>480</v>
      </c>
      <c r="C86" s="157">
        <f t="shared" si="1"/>
        <v>796128702</v>
      </c>
      <c r="D86" s="332">
        <f>+D63+D67+D72+D75+D79+D85+D84</f>
        <v>787982192</v>
      </c>
      <c r="E86" s="162">
        <f>+E63+E67+E72+E75+E79+E85+E84</f>
        <v>3212174</v>
      </c>
      <c r="F86" s="162">
        <f>+F63+F67+F72+F75+F79+F85+F84</f>
        <v>4934336</v>
      </c>
    </row>
    <row r="87" spans="1:6" s="240" customFormat="1" ht="16.5" customHeight="1" thickBot="1" x14ac:dyDescent="0.25">
      <c r="A87" s="296" t="s">
        <v>481</v>
      </c>
      <c r="B87" s="249" t="s">
        <v>482</v>
      </c>
      <c r="C87" s="300">
        <f t="shared" si="1"/>
        <v>2723348915</v>
      </c>
      <c r="D87" s="332">
        <f>+D62+D86</f>
        <v>2506383736</v>
      </c>
      <c r="E87" s="162">
        <f>+E62+E86</f>
        <v>8334471</v>
      </c>
      <c r="F87" s="162">
        <f>+F62+F86</f>
        <v>208630708</v>
      </c>
    </row>
    <row r="88" spans="1:6" s="240" customFormat="1" ht="83.25" customHeight="1" x14ac:dyDescent="0.2">
      <c r="A88" s="4"/>
      <c r="B88" s="5"/>
      <c r="C88" s="163"/>
    </row>
    <row r="89" spans="1:6" ht="16.5" customHeight="1" x14ac:dyDescent="0.25">
      <c r="A89" s="993" t="s">
        <v>51</v>
      </c>
      <c r="B89" s="993"/>
      <c r="C89" s="993"/>
    </row>
    <row r="90" spans="1:6" s="250" customFormat="1" ht="16.5" customHeight="1" thickBot="1" x14ac:dyDescent="0.3">
      <c r="A90" s="994" t="s">
        <v>141</v>
      </c>
      <c r="B90" s="994"/>
      <c r="C90" s="87" t="s">
        <v>589</v>
      </c>
    </row>
    <row r="91" spans="1:6" ht="38.1" customHeight="1" thickBot="1" x14ac:dyDescent="0.3">
      <c r="A91" s="22" t="s">
        <v>73</v>
      </c>
      <c r="B91" s="23" t="s">
        <v>52</v>
      </c>
      <c r="C91" s="35" t="str">
        <f>+C3</f>
        <v>2018. évi előirányzat</v>
      </c>
    </row>
    <row r="92" spans="1:6" s="239" customFormat="1" ht="12" customHeight="1" thickBot="1" x14ac:dyDescent="0.25">
      <c r="A92" s="31" t="s">
        <v>466</v>
      </c>
      <c r="B92" s="32" t="s">
        <v>467</v>
      </c>
      <c r="C92" s="235" t="s">
        <v>468</v>
      </c>
    </row>
    <row r="93" spans="1:6" ht="12" customHeight="1" thickBot="1" x14ac:dyDescent="0.3">
      <c r="A93" s="21" t="s">
        <v>22</v>
      </c>
      <c r="B93" s="25" t="s">
        <v>520</v>
      </c>
      <c r="C93" s="157">
        <f t="shared" ref="C93:C154" si="2">SUM(D93:F93)</f>
        <v>1583868563</v>
      </c>
      <c r="D93" s="339">
        <f>+D94+D95+D96+D97+D98+D111</f>
        <v>626254044</v>
      </c>
      <c r="E93" s="156">
        <f>+E94+E95+E96+E97+E98+E111</f>
        <v>28774983</v>
      </c>
      <c r="F93" s="351">
        <f>F94+F95+F96+F97+F98+F111</f>
        <v>928839536</v>
      </c>
    </row>
    <row r="94" spans="1:6" ht="12" customHeight="1" x14ac:dyDescent="0.25">
      <c r="A94" s="16" t="s">
        <v>98</v>
      </c>
      <c r="B94" s="9" t="s">
        <v>53</v>
      </c>
      <c r="C94" s="889">
        <f t="shared" si="2"/>
        <v>505809316</v>
      </c>
      <c r="D94" s="357">
        <f>2854500+25097896+11111000+584100+20000+1182990+1095900-175365+408000-198000+58577+6274800+23800+450000-1077738</f>
        <v>47710460</v>
      </c>
      <c r="E94" s="317">
        <f>481000+2215000</f>
        <v>2696000</v>
      </c>
      <c r="F94" s="334">
        <f>454281366-811000+1852490+80000</f>
        <v>455402856</v>
      </c>
    </row>
    <row r="95" spans="1:6" ht="12" customHeight="1" x14ac:dyDescent="0.25">
      <c r="A95" s="13" t="s">
        <v>99</v>
      </c>
      <c r="B95" s="7" t="s">
        <v>160</v>
      </c>
      <c r="C95" s="510">
        <f t="shared" si="2"/>
        <v>107089158</v>
      </c>
      <c r="D95" s="308">
        <f>500965+4771305+2167000+14000+207615+213701-18991+71604+3298-34749+11423+1380456+4650+78975-225759</f>
        <v>9145493</v>
      </c>
      <c r="E95" s="161">
        <f>114000+461687</f>
        <v>575687</v>
      </c>
      <c r="F95" s="333">
        <f>97140882-128290+341346+14040</f>
        <v>97367978</v>
      </c>
    </row>
    <row r="96" spans="1:6" ht="12" customHeight="1" x14ac:dyDescent="0.25">
      <c r="A96" s="13" t="s">
        <v>100</v>
      </c>
      <c r="B96" s="7" t="s">
        <v>130</v>
      </c>
      <c r="C96" s="510">
        <f t="shared" si="2"/>
        <v>611790066</v>
      </c>
      <c r="D96" s="312">
        <f>13447475+835000+50000+52909601+6787092+2456000+4504030+871220+34163000+50473064+3285067+9000000+443000+120000+17207888+17042731+48545760+500000+381000-83792+60000+110000+178500-37621053+63500+8564000+45720-813975+943240</f>
        <v>234468068</v>
      </c>
      <c r="E96" s="230">
        <f>324000+352000+137126+419550+20620</f>
        <v>1253296</v>
      </c>
      <c r="F96" s="333">
        <f>375583932-1110+485880+624000-624000</f>
        <v>376068702</v>
      </c>
    </row>
    <row r="97" spans="1:6" ht="12" customHeight="1" x14ac:dyDescent="0.25">
      <c r="A97" s="13" t="s">
        <v>101</v>
      </c>
      <c r="B97" s="7" t="s">
        <v>161</v>
      </c>
      <c r="C97" s="510">
        <f t="shared" si="2"/>
        <v>166562000</v>
      </c>
      <c r="D97" s="312">
        <f>69500000+3500000+69312000</f>
        <v>142312000</v>
      </c>
      <c r="E97" s="230">
        <v>24250000</v>
      </c>
      <c r="F97" s="333"/>
    </row>
    <row r="98" spans="1:6" ht="12" customHeight="1" x14ac:dyDescent="0.25">
      <c r="A98" s="13" t="s">
        <v>112</v>
      </c>
      <c r="B98" s="6" t="s">
        <v>162</v>
      </c>
      <c r="C98" s="510">
        <f>SUM(D98:F98)</f>
        <v>126174403</v>
      </c>
      <c r="D98" s="312">
        <f>5697126+16985629+16551218+32866801+100000+660000+49357310+3869819+86500</f>
        <v>126174403</v>
      </c>
      <c r="E98" s="230"/>
      <c r="F98" s="230"/>
    </row>
    <row r="99" spans="1:6" ht="12" customHeight="1" x14ac:dyDescent="0.25">
      <c r="A99" s="13" t="s">
        <v>102</v>
      </c>
      <c r="B99" s="7" t="s">
        <v>483</v>
      </c>
      <c r="C99" s="510">
        <f t="shared" si="2"/>
        <v>4056319</v>
      </c>
      <c r="D99" s="312">
        <f>100000+3869819+86500</f>
        <v>4056319</v>
      </c>
      <c r="E99" s="230"/>
      <c r="F99" s="230"/>
    </row>
    <row r="100" spans="1:6" ht="12" customHeight="1" x14ac:dyDescent="0.25">
      <c r="A100" s="13" t="s">
        <v>103</v>
      </c>
      <c r="B100" s="91" t="s">
        <v>484</v>
      </c>
      <c r="C100" s="367">
        <f t="shared" si="2"/>
        <v>0</v>
      </c>
      <c r="D100" s="312"/>
      <c r="E100" s="230"/>
      <c r="F100" s="230"/>
    </row>
    <row r="101" spans="1:6" ht="12" customHeight="1" x14ac:dyDescent="0.25">
      <c r="A101" s="13" t="s">
        <v>113</v>
      </c>
      <c r="B101" s="91" t="s">
        <v>485</v>
      </c>
      <c r="C101" s="367">
        <f t="shared" si="2"/>
        <v>0</v>
      </c>
      <c r="D101" s="312"/>
      <c r="E101" s="230"/>
      <c r="F101" s="230"/>
    </row>
    <row r="102" spans="1:6" ht="12" customHeight="1" x14ac:dyDescent="0.25">
      <c r="A102" s="13" t="s">
        <v>114</v>
      </c>
      <c r="B102" s="89" t="s">
        <v>307</v>
      </c>
      <c r="C102" s="367">
        <f t="shared" si="2"/>
        <v>0</v>
      </c>
      <c r="D102" s="312"/>
      <c r="E102" s="230"/>
      <c r="F102" s="230"/>
    </row>
    <row r="103" spans="1:6" ht="12" customHeight="1" x14ac:dyDescent="0.25">
      <c r="A103" s="13" t="s">
        <v>115</v>
      </c>
      <c r="B103" s="90" t="s">
        <v>308</v>
      </c>
      <c r="C103" s="367">
        <f t="shared" si="2"/>
        <v>0</v>
      </c>
      <c r="D103" s="312"/>
      <c r="E103" s="230"/>
      <c r="F103" s="230"/>
    </row>
    <row r="104" spans="1:6" ht="12" customHeight="1" x14ac:dyDescent="0.25">
      <c r="A104" s="13" t="s">
        <v>116</v>
      </c>
      <c r="B104" s="90" t="s">
        <v>309</v>
      </c>
      <c r="C104" s="367">
        <f t="shared" si="2"/>
        <v>0</v>
      </c>
      <c r="D104" s="312"/>
      <c r="E104" s="230"/>
      <c r="F104" s="230"/>
    </row>
    <row r="105" spans="1:6" ht="12" customHeight="1" x14ac:dyDescent="0.25">
      <c r="A105" s="13" t="s">
        <v>118</v>
      </c>
      <c r="B105" s="89" t="s">
        <v>310</v>
      </c>
      <c r="C105" s="367">
        <f t="shared" si="2"/>
        <v>660000</v>
      </c>
      <c r="D105" s="312">
        <v>660000</v>
      </c>
      <c r="E105" s="230"/>
      <c r="F105" s="230"/>
    </row>
    <row r="106" spans="1:6" ht="12" customHeight="1" x14ac:dyDescent="0.25">
      <c r="A106" s="13" t="s">
        <v>163</v>
      </c>
      <c r="B106" s="89" t="s">
        <v>311</v>
      </c>
      <c r="C106" s="367">
        <f t="shared" si="2"/>
        <v>0</v>
      </c>
      <c r="D106" s="365"/>
      <c r="E106" s="230"/>
      <c r="F106" s="230"/>
    </row>
    <row r="107" spans="1:6" ht="12" customHeight="1" x14ac:dyDescent="0.25">
      <c r="A107" s="13" t="s">
        <v>305</v>
      </c>
      <c r="B107" s="90" t="s">
        <v>312</v>
      </c>
      <c r="C107" s="367">
        <f t="shared" si="2"/>
        <v>0</v>
      </c>
      <c r="D107" s="312"/>
      <c r="E107" s="230"/>
      <c r="F107" s="230"/>
    </row>
    <row r="108" spans="1:6" ht="12" customHeight="1" x14ac:dyDescent="0.25">
      <c r="A108" s="12" t="s">
        <v>306</v>
      </c>
      <c r="B108" s="91" t="s">
        <v>313</v>
      </c>
      <c r="C108" s="367">
        <f t="shared" si="2"/>
        <v>0</v>
      </c>
      <c r="D108" s="312"/>
      <c r="E108" s="230"/>
      <c r="F108" s="230"/>
    </row>
    <row r="109" spans="1:6" ht="12" customHeight="1" x14ac:dyDescent="0.25">
      <c r="A109" s="13" t="s">
        <v>486</v>
      </c>
      <c r="B109" s="91" t="s">
        <v>314</v>
      </c>
      <c r="C109" s="367">
        <f t="shared" si="2"/>
        <v>0</v>
      </c>
      <c r="D109" s="312"/>
      <c r="E109" s="230"/>
      <c r="F109" s="230"/>
    </row>
    <row r="110" spans="1:6" ht="12" customHeight="1" x14ac:dyDescent="0.25">
      <c r="A110" s="15" t="s">
        <v>487</v>
      </c>
      <c r="B110" s="91" t="s">
        <v>315</v>
      </c>
      <c r="C110" s="367">
        <f t="shared" si="2"/>
        <v>121458084</v>
      </c>
      <c r="D110" s="308">
        <f>5697126+16985629+16551218+32866801+660000+49357310-660000</f>
        <v>121458084</v>
      </c>
      <c r="E110" s="161"/>
      <c r="F110" s="230"/>
    </row>
    <row r="111" spans="1:6" ht="12" customHeight="1" x14ac:dyDescent="0.25">
      <c r="A111" s="13" t="s">
        <v>488</v>
      </c>
      <c r="B111" s="7" t="s">
        <v>54</v>
      </c>
      <c r="C111" s="367">
        <f t="shared" si="2"/>
        <v>66443620</v>
      </c>
      <c r="D111" s="308">
        <f>SUM(D112:D113)</f>
        <v>66443620</v>
      </c>
      <c r="E111" s="161"/>
      <c r="F111" s="161">
        <f>SUM(F112:F113)</f>
        <v>0</v>
      </c>
    </row>
    <row r="112" spans="1:6" ht="12" customHeight="1" x14ac:dyDescent="0.25">
      <c r="A112" s="13" t="s">
        <v>489</v>
      </c>
      <c r="B112" s="7" t="s">
        <v>490</v>
      </c>
      <c r="C112" s="510">
        <f t="shared" si="2"/>
        <v>6793117</v>
      </c>
      <c r="D112" s="312">
        <f>15000000-21705-8451320+266142</f>
        <v>6793117</v>
      </c>
      <c r="E112" s="230"/>
      <c r="F112" s="161"/>
    </row>
    <row r="113" spans="1:6" ht="12" customHeight="1" thickBot="1" x14ac:dyDescent="0.3">
      <c r="A113" s="17" t="s">
        <v>491</v>
      </c>
      <c r="B113" s="297" t="s">
        <v>492</v>
      </c>
      <c r="C113" s="852">
        <f t="shared" si="2"/>
        <v>59650503</v>
      </c>
      <c r="D113" s="358">
        <f>65846522-6946019+750000</f>
        <v>59650503</v>
      </c>
      <c r="E113" s="326"/>
      <c r="F113" s="326"/>
    </row>
    <row r="114" spans="1:6" ht="12" customHeight="1" thickBot="1" x14ac:dyDescent="0.3">
      <c r="A114" s="298" t="s">
        <v>23</v>
      </c>
      <c r="B114" s="299" t="s">
        <v>316</v>
      </c>
      <c r="C114" s="157">
        <f t="shared" si="2"/>
        <v>645224088</v>
      </c>
      <c r="D114" s="329">
        <f>+D115+D117+D119</f>
        <v>635973208</v>
      </c>
      <c r="E114" s="157">
        <f>+E115+E117+E119</f>
        <v>0</v>
      </c>
      <c r="F114" s="300">
        <f>+F115+F117+F119</f>
        <v>9250880</v>
      </c>
    </row>
    <row r="115" spans="1:6" ht="18.75" customHeight="1" x14ac:dyDescent="0.25">
      <c r="A115" s="14" t="s">
        <v>104</v>
      </c>
      <c r="B115" s="7" t="s">
        <v>180</v>
      </c>
      <c r="C115" s="889">
        <f t="shared" si="2"/>
        <v>310533857</v>
      </c>
      <c r="D115" s="335">
        <f>359410+2345001+219008101+381000+1500000+3139585+33894811+2338070+4950460-60000+275000+20930495+5189661+457200+6704583+305000+174200</f>
        <v>301892577</v>
      </c>
      <c r="E115" s="279"/>
      <c r="F115" s="279">
        <f>8663894-22614</f>
        <v>8641280</v>
      </c>
    </row>
    <row r="116" spans="1:6" ht="12" customHeight="1" x14ac:dyDescent="0.25">
      <c r="A116" s="14" t="s">
        <v>105</v>
      </c>
      <c r="B116" s="11" t="s">
        <v>320</v>
      </c>
      <c r="C116" s="889">
        <f t="shared" si="2"/>
        <v>280328983</v>
      </c>
      <c r="D116" s="335">
        <f>218246101+33259811+20930495+1187993+6704583</f>
        <v>280328983</v>
      </c>
      <c r="E116" s="279"/>
      <c r="F116" s="279"/>
    </row>
    <row r="117" spans="1:6" ht="12" customHeight="1" x14ac:dyDescent="0.25">
      <c r="A117" s="14" t="s">
        <v>106</v>
      </c>
      <c r="B117" s="11" t="s">
        <v>164</v>
      </c>
      <c r="C117" s="889">
        <f t="shared" si="2"/>
        <v>268879510</v>
      </c>
      <c r="D117" s="308">
        <f>180701362+1500000+37902555+48165993</f>
        <v>268269910</v>
      </c>
      <c r="E117" s="161"/>
      <c r="F117" s="161">
        <v>609600</v>
      </c>
    </row>
    <row r="118" spans="1:6" ht="12" customHeight="1" x14ac:dyDescent="0.25">
      <c r="A118" s="14" t="s">
        <v>107</v>
      </c>
      <c r="B118" s="11" t="s">
        <v>321</v>
      </c>
      <c r="C118" s="889">
        <f t="shared" si="2"/>
        <v>230773273</v>
      </c>
      <c r="D118" s="308">
        <f>146098020+36509260+48165993</f>
        <v>230773273</v>
      </c>
      <c r="E118" s="320"/>
      <c r="F118" s="320"/>
    </row>
    <row r="119" spans="1:6" ht="12" customHeight="1" x14ac:dyDescent="0.25">
      <c r="A119" s="14" t="s">
        <v>108</v>
      </c>
      <c r="B119" s="154" t="s">
        <v>182</v>
      </c>
      <c r="C119" s="510">
        <f t="shared" si="2"/>
        <v>65810721</v>
      </c>
      <c r="D119" s="312">
        <f>65710721+100000</f>
        <v>65810721</v>
      </c>
      <c r="E119" s="308"/>
      <c r="F119" s="308"/>
    </row>
    <row r="120" spans="1:6" ht="12" customHeight="1" x14ac:dyDescent="0.25">
      <c r="A120" s="14" t="s">
        <v>117</v>
      </c>
      <c r="B120" s="153" t="s">
        <v>383</v>
      </c>
      <c r="C120" s="367">
        <f t="shared" si="2"/>
        <v>0</v>
      </c>
      <c r="D120" s="145"/>
      <c r="E120" s="145"/>
      <c r="F120" s="145"/>
    </row>
    <row r="121" spans="1:6" ht="12" customHeight="1" x14ac:dyDescent="0.25">
      <c r="A121" s="14" t="s">
        <v>119</v>
      </c>
      <c r="B121" s="237" t="s">
        <v>326</v>
      </c>
      <c r="C121" s="367">
        <f t="shared" si="2"/>
        <v>0</v>
      </c>
      <c r="D121" s="145"/>
      <c r="E121" s="145"/>
      <c r="F121" s="145"/>
    </row>
    <row r="122" spans="1:6" x14ac:dyDescent="0.25">
      <c r="A122" s="14" t="s">
        <v>165</v>
      </c>
      <c r="B122" s="90" t="s">
        <v>309</v>
      </c>
      <c r="C122" s="367">
        <f t="shared" si="2"/>
        <v>0</v>
      </c>
      <c r="D122" s="145"/>
      <c r="E122" s="145"/>
      <c r="F122" s="145"/>
    </row>
    <row r="123" spans="1:6" ht="12" customHeight="1" x14ac:dyDescent="0.25">
      <c r="A123" s="14" t="s">
        <v>166</v>
      </c>
      <c r="B123" s="90" t="s">
        <v>325</v>
      </c>
      <c r="C123" s="367">
        <f t="shared" si="2"/>
        <v>0</v>
      </c>
      <c r="D123" s="145"/>
      <c r="E123" s="145"/>
      <c r="F123" s="145"/>
    </row>
    <row r="124" spans="1:6" ht="12" customHeight="1" x14ac:dyDescent="0.25">
      <c r="A124" s="14" t="s">
        <v>167</v>
      </c>
      <c r="B124" s="90" t="s">
        <v>324</v>
      </c>
      <c r="C124" s="367">
        <f t="shared" si="2"/>
        <v>0</v>
      </c>
      <c r="D124" s="145"/>
      <c r="E124" s="145"/>
      <c r="F124" s="145"/>
    </row>
    <row r="125" spans="1:6" ht="12" customHeight="1" x14ac:dyDescent="0.25">
      <c r="A125" s="14" t="s">
        <v>317</v>
      </c>
      <c r="B125" s="90" t="s">
        <v>312</v>
      </c>
      <c r="C125" s="367">
        <f t="shared" si="2"/>
        <v>0</v>
      </c>
      <c r="D125" s="145"/>
      <c r="E125" s="145"/>
      <c r="F125" s="145"/>
    </row>
    <row r="126" spans="1:6" ht="12" customHeight="1" x14ac:dyDescent="0.25">
      <c r="A126" s="14" t="s">
        <v>318</v>
      </c>
      <c r="B126" s="90" t="s">
        <v>323</v>
      </c>
      <c r="C126" s="367">
        <f t="shared" si="2"/>
        <v>0</v>
      </c>
      <c r="D126" s="145"/>
      <c r="E126" s="145"/>
      <c r="F126" s="145"/>
    </row>
    <row r="127" spans="1:6" ht="16.5" thickBot="1" x14ac:dyDescent="0.3">
      <c r="A127" s="12" t="s">
        <v>319</v>
      </c>
      <c r="B127" s="90" t="s">
        <v>322</v>
      </c>
      <c r="C127" s="852">
        <f t="shared" si="2"/>
        <v>65810721</v>
      </c>
      <c r="D127" s="146">
        <f>65710721+100000</f>
        <v>65810721</v>
      </c>
      <c r="E127" s="312"/>
      <c r="F127" s="146"/>
    </row>
    <row r="128" spans="1:6" ht="12" customHeight="1" thickBot="1" x14ac:dyDescent="0.3">
      <c r="A128" s="19" t="s">
        <v>24</v>
      </c>
      <c r="B128" s="85" t="s">
        <v>493</v>
      </c>
      <c r="C128" s="157">
        <f t="shared" si="2"/>
        <v>2229092651</v>
      </c>
      <c r="D128" s="329">
        <f>+D93+D114</f>
        <v>1262227252</v>
      </c>
      <c r="E128" s="157">
        <f>+E93+E114</f>
        <v>28774983</v>
      </c>
      <c r="F128" s="157">
        <f>+F93+F114</f>
        <v>938090416</v>
      </c>
    </row>
    <row r="129" spans="1:6" ht="12" customHeight="1" thickBot="1" x14ac:dyDescent="0.3">
      <c r="A129" s="19" t="s">
        <v>25</v>
      </c>
      <c r="B129" s="85" t="s">
        <v>494</v>
      </c>
      <c r="C129" s="374">
        <f t="shared" si="2"/>
        <v>104042704</v>
      </c>
      <c r="D129" s="329">
        <f>+D130+D131+D132</f>
        <v>104042704</v>
      </c>
      <c r="E129" s="157">
        <f>+E130+E131+E132</f>
        <v>0</v>
      </c>
      <c r="F129" s="157">
        <f>+F130+F131+F132</f>
        <v>0</v>
      </c>
    </row>
    <row r="130" spans="1:6" ht="12" customHeight="1" x14ac:dyDescent="0.25">
      <c r="A130" s="14" t="s">
        <v>217</v>
      </c>
      <c r="B130" s="11" t="s">
        <v>495</v>
      </c>
      <c r="C130" s="236">
        <f t="shared" si="2"/>
        <v>4042704</v>
      </c>
      <c r="D130" s="308">
        <v>4042704</v>
      </c>
      <c r="E130" s="308"/>
      <c r="F130" s="308"/>
    </row>
    <row r="131" spans="1:6" ht="12" customHeight="1" x14ac:dyDescent="0.25">
      <c r="A131" s="14" t="s">
        <v>220</v>
      </c>
      <c r="B131" s="11" t="s">
        <v>496</v>
      </c>
      <c r="C131" s="372">
        <f t="shared" si="2"/>
        <v>100000000</v>
      </c>
      <c r="D131" s="145">
        <v>100000000</v>
      </c>
      <c r="E131" s="145"/>
      <c r="F131" s="145"/>
    </row>
    <row r="132" spans="1:6" ht="12" customHeight="1" thickBot="1" x14ac:dyDescent="0.3">
      <c r="A132" s="12" t="s">
        <v>221</v>
      </c>
      <c r="B132" s="11" t="s">
        <v>497</v>
      </c>
      <c r="C132" s="373">
        <f t="shared" si="2"/>
        <v>0</v>
      </c>
      <c r="D132" s="145"/>
      <c r="E132" s="145"/>
      <c r="F132" s="145"/>
    </row>
    <row r="133" spans="1:6" ht="12" customHeight="1" thickBot="1" x14ac:dyDescent="0.3">
      <c r="A133" s="19" t="s">
        <v>26</v>
      </c>
      <c r="B133" s="85" t="s">
        <v>498</v>
      </c>
      <c r="C133" s="374">
        <f t="shared" si="2"/>
        <v>0</v>
      </c>
      <c r="D133" s="329">
        <f>+D134+D135+D136+D137+D138+D139</f>
        <v>0</v>
      </c>
      <c r="E133" s="157">
        <f>+E134+E135+E136+E137+E138+E139</f>
        <v>0</v>
      </c>
      <c r="F133" s="157">
        <f>SUM(F134:F139)</f>
        <v>0</v>
      </c>
    </row>
    <row r="134" spans="1:6" ht="12" customHeight="1" x14ac:dyDescent="0.25">
      <c r="A134" s="14" t="s">
        <v>91</v>
      </c>
      <c r="B134" s="8" t="s">
        <v>499</v>
      </c>
      <c r="C134" s="236">
        <f t="shared" si="2"/>
        <v>0</v>
      </c>
      <c r="D134" s="145"/>
      <c r="E134" s="145"/>
      <c r="F134" s="145"/>
    </row>
    <row r="135" spans="1:6" ht="12" customHeight="1" x14ac:dyDescent="0.25">
      <c r="A135" s="14" t="s">
        <v>92</v>
      </c>
      <c r="B135" s="8" t="s">
        <v>500</v>
      </c>
      <c r="C135" s="372">
        <f t="shared" si="2"/>
        <v>0</v>
      </c>
      <c r="D135" s="145"/>
      <c r="E135" s="145"/>
      <c r="F135" s="145"/>
    </row>
    <row r="136" spans="1:6" ht="12" customHeight="1" x14ac:dyDescent="0.25">
      <c r="A136" s="14" t="s">
        <v>93</v>
      </c>
      <c r="B136" s="8" t="s">
        <v>501</v>
      </c>
      <c r="C136" s="372">
        <f t="shared" si="2"/>
        <v>0</v>
      </c>
      <c r="D136" s="145"/>
      <c r="E136" s="145"/>
      <c r="F136" s="145"/>
    </row>
    <row r="137" spans="1:6" ht="12" customHeight="1" x14ac:dyDescent="0.25">
      <c r="A137" s="14" t="s">
        <v>152</v>
      </c>
      <c r="B137" s="8" t="s">
        <v>502</v>
      </c>
      <c r="C137" s="372">
        <f t="shared" si="2"/>
        <v>0</v>
      </c>
      <c r="D137" s="145"/>
      <c r="E137" s="145"/>
      <c r="F137" s="145"/>
    </row>
    <row r="138" spans="1:6" ht="12" customHeight="1" x14ac:dyDescent="0.25">
      <c r="A138" s="14" t="s">
        <v>153</v>
      </c>
      <c r="B138" s="8" t="s">
        <v>503</v>
      </c>
      <c r="C138" s="372">
        <f t="shared" si="2"/>
        <v>0</v>
      </c>
      <c r="D138" s="145"/>
      <c r="E138" s="145"/>
      <c r="F138" s="145"/>
    </row>
    <row r="139" spans="1:6" ht="12" customHeight="1" thickBot="1" x14ac:dyDescent="0.3">
      <c r="A139" s="12" t="s">
        <v>154</v>
      </c>
      <c r="B139" s="8" t="s">
        <v>504</v>
      </c>
      <c r="C139" s="373">
        <f t="shared" si="2"/>
        <v>0</v>
      </c>
      <c r="D139" s="145"/>
      <c r="E139" s="145"/>
      <c r="F139" s="145"/>
    </row>
    <row r="140" spans="1:6" ht="12" customHeight="1" thickBot="1" x14ac:dyDescent="0.3">
      <c r="A140" s="19" t="s">
        <v>27</v>
      </c>
      <c r="B140" s="85" t="s">
        <v>505</v>
      </c>
      <c r="C140" s="157">
        <f t="shared" si="2"/>
        <v>38167591</v>
      </c>
      <c r="D140" s="332">
        <f>+D141+D142+D143+D144</f>
        <v>38167591</v>
      </c>
      <c r="E140" s="162">
        <f>+E141+E142+E143+E144</f>
        <v>0</v>
      </c>
      <c r="F140" s="162">
        <f>+F141+F142+F143+F144</f>
        <v>0</v>
      </c>
    </row>
    <row r="141" spans="1:6" ht="12" customHeight="1" x14ac:dyDescent="0.25">
      <c r="A141" s="14" t="s">
        <v>94</v>
      </c>
      <c r="B141" s="8" t="s">
        <v>327</v>
      </c>
      <c r="C141" s="236">
        <f t="shared" si="2"/>
        <v>0</v>
      </c>
      <c r="D141" s="145"/>
      <c r="E141" s="145"/>
      <c r="F141" s="145"/>
    </row>
    <row r="142" spans="1:6" ht="12" customHeight="1" x14ac:dyDescent="0.25">
      <c r="A142" s="14" t="s">
        <v>95</v>
      </c>
      <c r="B142" s="8" t="s">
        <v>328</v>
      </c>
      <c r="C142" s="372">
        <f t="shared" si="2"/>
        <v>38167591</v>
      </c>
      <c r="D142" s="145">
        <v>38167591</v>
      </c>
      <c r="E142" s="145"/>
      <c r="F142" s="145"/>
    </row>
    <row r="143" spans="1:6" ht="12" customHeight="1" x14ac:dyDescent="0.25">
      <c r="A143" s="14" t="s">
        <v>241</v>
      </c>
      <c r="B143" s="8" t="s">
        <v>506</v>
      </c>
      <c r="C143" s="372">
        <f t="shared" si="2"/>
        <v>0</v>
      </c>
      <c r="D143" s="145"/>
      <c r="E143" s="145"/>
      <c r="F143" s="145"/>
    </row>
    <row r="144" spans="1:6" ht="12" customHeight="1" thickBot="1" x14ac:dyDescent="0.3">
      <c r="A144" s="12" t="s">
        <v>242</v>
      </c>
      <c r="B144" s="6" t="s">
        <v>346</v>
      </c>
      <c r="C144" s="373">
        <f t="shared" si="2"/>
        <v>0</v>
      </c>
      <c r="D144" s="145"/>
      <c r="E144" s="145"/>
      <c r="F144" s="145"/>
    </row>
    <row r="145" spans="1:9" ht="12" customHeight="1" thickBot="1" x14ac:dyDescent="0.3">
      <c r="A145" s="19" t="s">
        <v>28</v>
      </c>
      <c r="B145" s="85" t="s">
        <v>507</v>
      </c>
      <c r="C145" s="374">
        <f t="shared" si="2"/>
        <v>0</v>
      </c>
      <c r="D145" s="341">
        <f>+D146+D147+D148+D149+D150</f>
        <v>0</v>
      </c>
      <c r="E145" s="165">
        <f>+E146+E147+E148+E149+E150</f>
        <v>0</v>
      </c>
      <c r="F145" s="165">
        <f>SUM(F146:F150)</f>
        <v>0</v>
      </c>
    </row>
    <row r="146" spans="1:9" ht="12" customHeight="1" x14ac:dyDescent="0.25">
      <c r="A146" s="14" t="s">
        <v>96</v>
      </c>
      <c r="B146" s="8" t="s">
        <v>508</v>
      </c>
      <c r="C146" s="236">
        <f t="shared" si="2"/>
        <v>0</v>
      </c>
      <c r="D146" s="145"/>
      <c r="E146" s="145"/>
      <c r="F146" s="145"/>
    </row>
    <row r="147" spans="1:9" ht="12" customHeight="1" x14ac:dyDescent="0.25">
      <c r="A147" s="14" t="s">
        <v>97</v>
      </c>
      <c r="B147" s="8" t="s">
        <v>509</v>
      </c>
      <c r="C147" s="372">
        <f t="shared" si="2"/>
        <v>0</v>
      </c>
      <c r="D147" s="145"/>
      <c r="E147" s="145"/>
      <c r="F147" s="145"/>
    </row>
    <row r="148" spans="1:9" ht="12" customHeight="1" x14ac:dyDescent="0.25">
      <c r="A148" s="14" t="s">
        <v>253</v>
      </c>
      <c r="B148" s="8" t="s">
        <v>510</v>
      </c>
      <c r="C148" s="372">
        <f t="shared" si="2"/>
        <v>0</v>
      </c>
      <c r="D148" s="145"/>
      <c r="E148" s="145"/>
      <c r="F148" s="145"/>
    </row>
    <row r="149" spans="1:9" ht="12" customHeight="1" x14ac:dyDescent="0.25">
      <c r="A149" s="14" t="s">
        <v>254</v>
      </c>
      <c r="B149" s="8" t="s">
        <v>511</v>
      </c>
      <c r="C149" s="372">
        <f t="shared" si="2"/>
        <v>0</v>
      </c>
      <c r="D149" s="145"/>
      <c r="E149" s="145"/>
      <c r="F149" s="145"/>
    </row>
    <row r="150" spans="1:9" ht="12" customHeight="1" thickBot="1" x14ac:dyDescent="0.3">
      <c r="A150" s="14" t="s">
        <v>512</v>
      </c>
      <c r="B150" s="8" t="s">
        <v>513</v>
      </c>
      <c r="C150" s="373">
        <f t="shared" si="2"/>
        <v>0</v>
      </c>
      <c r="D150" s="146"/>
      <c r="E150" s="146"/>
      <c r="F150" s="145"/>
    </row>
    <row r="151" spans="1:9" ht="12" customHeight="1" thickBot="1" x14ac:dyDescent="0.3">
      <c r="A151" s="19" t="s">
        <v>29</v>
      </c>
      <c r="B151" s="85" t="s">
        <v>514</v>
      </c>
      <c r="C151" s="157">
        <f t="shared" si="2"/>
        <v>0</v>
      </c>
      <c r="D151" s="341"/>
      <c r="E151" s="165"/>
      <c r="F151" s="301"/>
    </row>
    <row r="152" spans="1:9" ht="12" customHeight="1" thickBot="1" x14ac:dyDescent="0.3">
      <c r="A152" s="19" t="s">
        <v>30</v>
      </c>
      <c r="B152" s="85" t="s">
        <v>515</v>
      </c>
      <c r="C152" s="156">
        <f t="shared" si="2"/>
        <v>0</v>
      </c>
      <c r="D152" s="341"/>
      <c r="E152" s="165"/>
      <c r="F152" s="301"/>
    </row>
    <row r="153" spans="1:9" ht="15" customHeight="1" thickBot="1" x14ac:dyDescent="0.3">
      <c r="A153" s="19" t="s">
        <v>31</v>
      </c>
      <c r="B153" s="85" t="s">
        <v>516</v>
      </c>
      <c r="C153" s="156">
        <f t="shared" si="2"/>
        <v>142210295</v>
      </c>
      <c r="D153" s="342">
        <f>+D129+D133+D140+D145+D151+D152</f>
        <v>142210295</v>
      </c>
      <c r="E153" s="251">
        <f>+E129+E133+E140+E145+E151+E152</f>
        <v>0</v>
      </c>
      <c r="F153" s="251">
        <f>+F129+F133+F140+F145+F151+F152</f>
        <v>0</v>
      </c>
      <c r="G153" s="252"/>
      <c r="H153" s="252"/>
      <c r="I153" s="252"/>
    </row>
    <row r="154" spans="1:9" s="240" customFormat="1" ht="12.95" customHeight="1" thickBot="1" x14ac:dyDescent="0.25">
      <c r="A154" s="155" t="s">
        <v>32</v>
      </c>
      <c r="B154" s="226" t="s">
        <v>517</v>
      </c>
      <c r="C154" s="157">
        <f t="shared" si="2"/>
        <v>2371302946</v>
      </c>
      <c r="D154" s="342">
        <f>+D128+D153</f>
        <v>1404437547</v>
      </c>
      <c r="E154" s="251">
        <f>+E128+E153</f>
        <v>28774983</v>
      </c>
      <c r="F154" s="251">
        <f>+F128+F153</f>
        <v>938090416</v>
      </c>
    </row>
    <row r="155" spans="1:9" ht="7.5" customHeight="1" x14ac:dyDescent="0.25"/>
    <row r="156" spans="1:9" x14ac:dyDescent="0.25">
      <c r="A156" s="995" t="s">
        <v>329</v>
      </c>
      <c r="B156" s="995"/>
      <c r="C156" s="995"/>
    </row>
    <row r="157" spans="1:9" ht="15" customHeight="1" thickBot="1" x14ac:dyDescent="0.3">
      <c r="A157" s="992" t="s">
        <v>142</v>
      </c>
      <c r="B157" s="992"/>
      <c r="C157" s="166" t="s">
        <v>589</v>
      </c>
    </row>
    <row r="158" spans="1:9" ht="13.5" customHeight="1" thickBot="1" x14ac:dyDescent="0.3">
      <c r="A158" s="19">
        <v>1</v>
      </c>
      <c r="B158" s="24" t="s">
        <v>518</v>
      </c>
      <c r="C158" s="157">
        <f>+C62-C128</f>
        <v>-301872438</v>
      </c>
    </row>
    <row r="159" spans="1:9" ht="27.75" customHeight="1" thickBot="1" x14ac:dyDescent="0.3">
      <c r="A159" s="19" t="s">
        <v>23</v>
      </c>
      <c r="B159" s="24" t="s">
        <v>519</v>
      </c>
      <c r="C159" s="157">
        <f>+C86-C153</f>
        <v>653918407</v>
      </c>
    </row>
    <row r="160" spans="1:9" x14ac:dyDescent="0.25">
      <c r="F160" s="37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11/2018.(V.31.)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D1" zoomScaleNormal="145" workbookViewId="0">
      <selection activeCell="I13" sqref="I1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4.5" customHeight="1" x14ac:dyDescent="0.2">
      <c r="A2" s="231" t="s">
        <v>174</v>
      </c>
      <c r="B2" s="206" t="s">
        <v>560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372</v>
      </c>
      <c r="C3" s="531" t="s">
        <v>64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172674012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>
        <v>30591480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82270000</v>
      </c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645">
        <v>19857978</v>
      </c>
    </row>
    <row r="14" spans="1:3" s="222" customFormat="1" ht="12" customHeight="1" x14ac:dyDescent="0.2">
      <c r="A14" s="269" t="s">
        <v>102</v>
      </c>
      <c r="B14" s="7" t="s">
        <v>355</v>
      </c>
      <c r="C14" s="645">
        <v>27304554</v>
      </c>
    </row>
    <row r="15" spans="1:3" s="222" customFormat="1" ht="12" customHeight="1" x14ac:dyDescent="0.2">
      <c r="A15" s="269" t="s">
        <v>103</v>
      </c>
      <c r="B15" s="6" t="s">
        <v>356</v>
      </c>
      <c r="C15" s="538">
        <v>12650000</v>
      </c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172674012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134423474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1426020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133587210+51600+742141-1383497</f>
        <v>132997454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307097486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305828486</v>
      </c>
    </row>
    <row r="46" spans="1:3" ht="12" customHeight="1" x14ac:dyDescent="0.2">
      <c r="A46" s="269" t="s">
        <v>98</v>
      </c>
      <c r="B46" s="8" t="s">
        <v>53</v>
      </c>
      <c r="C46" s="820">
        <f>61703726+51600+80000-1157738</f>
        <v>60677588</v>
      </c>
    </row>
    <row r="47" spans="1:3" ht="12" customHeight="1" x14ac:dyDescent="0.2">
      <c r="A47" s="269" t="s">
        <v>99</v>
      </c>
      <c r="B47" s="7" t="s">
        <v>160</v>
      </c>
      <c r="C47" s="822">
        <f>14089304-225759</f>
        <v>13863545</v>
      </c>
    </row>
    <row r="48" spans="1:3" ht="12" customHeight="1" x14ac:dyDescent="0.2">
      <c r="A48" s="269" t="s">
        <v>100</v>
      </c>
      <c r="B48" s="7" t="s">
        <v>130</v>
      </c>
      <c r="C48" s="822">
        <f>230665212+622141</f>
        <v>231287353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845">
        <f>SUM(C52:C54)</f>
        <v>1269000</v>
      </c>
    </row>
    <row r="52" spans="1:3" s="278" customFormat="1" ht="12" customHeight="1" x14ac:dyDescent="0.2">
      <c r="A52" s="269" t="s">
        <v>104</v>
      </c>
      <c r="B52" s="8" t="s">
        <v>180</v>
      </c>
      <c r="C52" s="820">
        <f>1229000+40000</f>
        <v>1269000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307097486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650">
        <f>25.5-0.58</f>
        <v>24.92</v>
      </c>
    </row>
    <row r="60" spans="1:3" ht="13.5" thickBot="1" x14ac:dyDescent="0.25">
      <c r="A60" s="141" t="s">
        <v>176</v>
      </c>
      <c r="B60" s="142"/>
      <c r="C60" s="64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11/2018.(V.31.)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2"/>
  <sheetViews>
    <sheetView view="pageLayout" topLeftCell="D1" zoomScaleNormal="130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3.75" customHeight="1" x14ac:dyDescent="0.2">
      <c r="A2" s="231" t="s">
        <v>174</v>
      </c>
      <c r="B2" s="206" t="s">
        <v>580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354</v>
      </c>
      <c r="C3" s="531" t="s">
        <v>57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845">
        <f>SUM(C9:C19)</f>
        <v>189172773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645">
        <f>10239158+2371063</f>
        <v>12610221</v>
      </c>
    </row>
    <row r="11" spans="1:3" s="222" customFormat="1" ht="12" customHeight="1" x14ac:dyDescent="0.2">
      <c r="A11" s="269" t="s">
        <v>100</v>
      </c>
      <c r="B11" s="7" t="s">
        <v>232</v>
      </c>
      <c r="C11" s="645">
        <v>12700000</v>
      </c>
    </row>
    <row r="12" spans="1:3" s="222" customFormat="1" ht="12" customHeight="1" x14ac:dyDescent="0.2">
      <c r="A12" s="269" t="s">
        <v>101</v>
      </c>
      <c r="B12" s="7" t="s">
        <v>233</v>
      </c>
      <c r="C12" s="645"/>
    </row>
    <row r="13" spans="1:3" s="222" customFormat="1" ht="12" customHeight="1" x14ac:dyDescent="0.2">
      <c r="A13" s="269" t="s">
        <v>137</v>
      </c>
      <c r="B13" s="7" t="s">
        <v>234</v>
      </c>
      <c r="C13" s="645">
        <v>157919035</v>
      </c>
    </row>
    <row r="14" spans="1:3" s="222" customFormat="1" ht="12" customHeight="1" x14ac:dyDescent="0.2">
      <c r="A14" s="269" t="s">
        <v>102</v>
      </c>
      <c r="B14" s="7" t="s">
        <v>355</v>
      </c>
      <c r="C14" s="645">
        <f>3708080+640187</f>
        <v>4348267</v>
      </c>
    </row>
    <row r="15" spans="1:3" s="222" customFormat="1" ht="12" customHeight="1" x14ac:dyDescent="0.2">
      <c r="A15" s="269" t="s">
        <v>103</v>
      </c>
      <c r="B15" s="6" t="s">
        <v>356</v>
      </c>
      <c r="C15" s="538"/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842">
        <v>1595250</v>
      </c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15159060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822">
        <f>19512535-4353475</f>
        <v>15159060</v>
      </c>
    </row>
    <row r="24" spans="1:3" s="277" customFormat="1" ht="12" customHeight="1" thickBot="1" x14ac:dyDescent="0.25">
      <c r="A24" s="269" t="s">
        <v>107</v>
      </c>
      <c r="B24" s="7" t="s">
        <v>556</v>
      </c>
      <c r="C24" s="538">
        <v>399535</v>
      </c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845">
        <f>+C27+C28</f>
        <v>4353475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940">
        <v>4353475</v>
      </c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208685308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546">
        <f>+C38+C39+C40</f>
        <v>525380334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f>20415305-28</f>
        <v>20415277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498171287+500631+6485645+446930-639436</f>
        <v>504965057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734065642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721235412</v>
      </c>
    </row>
    <row r="46" spans="1:3" ht="12" customHeight="1" x14ac:dyDescent="0.2">
      <c r="A46" s="269" t="s">
        <v>98</v>
      </c>
      <c r="B46" s="8" t="s">
        <v>53</v>
      </c>
      <c r="C46" s="820">
        <f>432587281+258000+4907657+673383+374000+1000000</f>
        <v>439800321</v>
      </c>
    </row>
    <row r="47" spans="1:3" ht="12" customHeight="1" x14ac:dyDescent="0.2">
      <c r="A47" s="269" t="s">
        <v>99</v>
      </c>
      <c r="B47" s="7" t="s">
        <v>160</v>
      </c>
      <c r="C47" s="822">
        <f>91161523+50310+949388+132042+72930+175500</f>
        <v>92541693</v>
      </c>
    </row>
    <row r="48" spans="1:3" ht="12" customHeight="1" x14ac:dyDescent="0.2">
      <c r="A48" s="269" t="s">
        <v>100</v>
      </c>
      <c r="B48" s="7" t="s">
        <v>130</v>
      </c>
      <c r="C48" s="822">
        <f>186217978+192293+628600+1606688+955814-528975-179000</f>
        <v>188893398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845">
        <f>SUM(C52:C54)</f>
        <v>12830230</v>
      </c>
    </row>
    <row r="52" spans="1:3" s="278" customFormat="1" ht="12" customHeight="1" x14ac:dyDescent="0.2">
      <c r="A52" s="269" t="s">
        <v>104</v>
      </c>
      <c r="B52" s="8" t="s">
        <v>180</v>
      </c>
      <c r="C52" s="820">
        <f>12698618+599137-646525+179000</f>
        <v>12830230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734065642</v>
      </c>
    </row>
    <row r="58" spans="1:3" ht="15" customHeight="1" thickBot="1" x14ac:dyDescent="0.25">
      <c r="C58" s="547"/>
    </row>
    <row r="59" spans="1:3" ht="14.25" customHeight="1" x14ac:dyDescent="0.2">
      <c r="A59" s="497" t="s">
        <v>545</v>
      </c>
      <c r="B59" s="498"/>
      <c r="C59" s="941">
        <v>143.4</v>
      </c>
    </row>
    <row r="60" spans="1:3" x14ac:dyDescent="0.2">
      <c r="A60" s="551" t="s">
        <v>710</v>
      </c>
      <c r="B60" s="552"/>
      <c r="C60" s="651">
        <v>61</v>
      </c>
    </row>
    <row r="61" spans="1:3" s="549" customFormat="1" ht="13.9" customHeight="1" thickBot="1" x14ac:dyDescent="0.25">
      <c r="A61" s="1027" t="s">
        <v>711</v>
      </c>
      <c r="B61" s="1028"/>
      <c r="C61" s="652">
        <v>2</v>
      </c>
    </row>
    <row r="62" spans="1:3" s="549" customFormat="1" ht="19.899999999999999" customHeight="1" thickBot="1" x14ac:dyDescent="0.25">
      <c r="A62" s="1029" t="s">
        <v>733</v>
      </c>
      <c r="B62" s="1030"/>
      <c r="C62" s="942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11/2018.(V.31.)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D1" zoomScaleNormal="14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5.25" customHeight="1" x14ac:dyDescent="0.2">
      <c r="A2" s="231" t="s">
        <v>174</v>
      </c>
      <c r="B2" s="206" t="s">
        <v>580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372</v>
      </c>
      <c r="C3" s="531" t="s">
        <v>64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6699387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>
        <v>5275108</v>
      </c>
    </row>
    <row r="11" spans="1:3" s="222" customFormat="1" ht="12" customHeight="1" x14ac:dyDescent="0.2">
      <c r="A11" s="269" t="s">
        <v>100</v>
      </c>
      <c r="B11" s="7" t="s">
        <v>232</v>
      </c>
      <c r="C11" s="538"/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538"/>
    </row>
    <row r="14" spans="1:3" s="222" customFormat="1" ht="12" customHeight="1" x14ac:dyDescent="0.2">
      <c r="A14" s="269" t="s">
        <v>102</v>
      </c>
      <c r="B14" s="7" t="s">
        <v>355</v>
      </c>
      <c r="C14" s="538">
        <v>1424279</v>
      </c>
    </row>
    <row r="15" spans="1:3" s="222" customFormat="1" ht="12" customHeight="1" x14ac:dyDescent="0.2">
      <c r="A15" s="269" t="s">
        <v>103</v>
      </c>
      <c r="B15" s="6" t="s">
        <v>356</v>
      </c>
      <c r="C15" s="538"/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6699387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546">
        <f>+C38+C39+C40</f>
        <v>135445999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f>2388345-28</f>
        <v>2388317</v>
      </c>
    </row>
    <row r="39" spans="1:3" s="222" customFormat="1" ht="12" customHeight="1" x14ac:dyDescent="0.2">
      <c r="A39" s="270" t="s">
        <v>366</v>
      </c>
      <c r="B39" s="272" t="s">
        <v>13</v>
      </c>
      <c r="C39" s="873"/>
    </row>
    <row r="40" spans="1:3" s="277" customFormat="1" ht="12" customHeight="1" thickBot="1" x14ac:dyDescent="0.25">
      <c r="A40" s="269" t="s">
        <v>367</v>
      </c>
      <c r="B40" s="88" t="s">
        <v>368</v>
      </c>
      <c r="C40" s="943">
        <f>133674788+28+345880-940400-22614</f>
        <v>133057682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546">
        <f>+C36+C37</f>
        <v>142145386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536">
        <f>SUM(C46:C50)</f>
        <v>141200000</v>
      </c>
    </row>
    <row r="46" spans="1:3" ht="12" customHeight="1" x14ac:dyDescent="0.2">
      <c r="A46" s="269" t="s">
        <v>98</v>
      </c>
      <c r="B46" s="8" t="s">
        <v>53</v>
      </c>
      <c r="C46" s="820">
        <f>102376295-800000+450000</f>
        <v>102026295</v>
      </c>
    </row>
    <row r="47" spans="1:3" ht="12" customHeight="1" x14ac:dyDescent="0.2">
      <c r="A47" s="269" t="s">
        <v>99</v>
      </c>
      <c r="B47" s="7" t="s">
        <v>160</v>
      </c>
      <c r="C47" s="822">
        <f>22455001-140400+78975</f>
        <v>22393576</v>
      </c>
    </row>
    <row r="48" spans="1:3" ht="12" customHeight="1" x14ac:dyDescent="0.2">
      <c r="A48" s="269" t="s">
        <v>100</v>
      </c>
      <c r="B48" s="7" t="s">
        <v>130</v>
      </c>
      <c r="C48" s="822">
        <f>16963224+345880-528975</f>
        <v>16780129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536">
        <f>SUM(C52:C54)</f>
        <v>945386</v>
      </c>
    </row>
    <row r="52" spans="1:3" s="278" customFormat="1" ht="12" customHeight="1" x14ac:dyDescent="0.2">
      <c r="A52" s="269" t="s">
        <v>104</v>
      </c>
      <c r="B52" s="8" t="s">
        <v>180</v>
      </c>
      <c r="C52" s="939">
        <f>968000-22614</f>
        <v>945386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536">
        <f>+C45+C51+C56</f>
        <v>142145386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650">
        <v>35</v>
      </c>
    </row>
    <row r="60" spans="1:3" ht="13.5" thickBot="1" x14ac:dyDescent="0.25">
      <c r="A60" s="141" t="s">
        <v>176</v>
      </c>
      <c r="B60" s="142"/>
      <c r="C60" s="64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11/2018.(V.31.)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2"/>
  <sheetViews>
    <sheetView view="pageLayout" topLeftCell="D1" zoomScaleNormal="14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4" width="9.5" style="140" bestFit="1" customWidth="1"/>
    <col min="5" max="5" width="10.83203125" style="140" bestFit="1" customWidth="1"/>
    <col min="6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4.5" customHeight="1" x14ac:dyDescent="0.2">
      <c r="A2" s="231" t="s">
        <v>174</v>
      </c>
      <c r="B2" s="206" t="s">
        <v>580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373</v>
      </c>
      <c r="C3" s="531" t="s">
        <v>65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845">
        <f>SUM(C9:C19)</f>
        <v>179462136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>
        <v>4964050</v>
      </c>
    </row>
    <row r="11" spans="1:3" s="222" customFormat="1" ht="12" customHeight="1" x14ac:dyDescent="0.2">
      <c r="A11" s="269" t="s">
        <v>100</v>
      </c>
      <c r="B11" s="7" t="s">
        <v>232</v>
      </c>
      <c r="C11" s="538">
        <v>12700000</v>
      </c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538">
        <v>157919035</v>
      </c>
    </row>
    <row r="14" spans="1:3" s="222" customFormat="1" ht="12" customHeight="1" x14ac:dyDescent="0.2">
      <c r="A14" s="269" t="s">
        <v>102</v>
      </c>
      <c r="B14" s="7" t="s">
        <v>355</v>
      </c>
      <c r="C14" s="538">
        <v>2283801</v>
      </c>
    </row>
    <row r="15" spans="1:3" s="222" customFormat="1" ht="12" customHeight="1" x14ac:dyDescent="0.2">
      <c r="A15" s="269" t="s">
        <v>103</v>
      </c>
      <c r="B15" s="6" t="s">
        <v>356</v>
      </c>
      <c r="C15" s="538"/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842">
        <v>1595250</v>
      </c>
    </row>
    <row r="20" spans="1:3" s="222" customFormat="1" ht="12" customHeight="1" thickBot="1" x14ac:dyDescent="0.25">
      <c r="A20" s="98" t="s">
        <v>23</v>
      </c>
      <c r="B20" s="129" t="s">
        <v>357</v>
      </c>
      <c r="C20" s="845">
        <f>SUM(C21:C23)</f>
        <v>15159060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822">
        <f>19512535-4353475</f>
        <v>15159060</v>
      </c>
    </row>
    <row r="24" spans="1:3" s="277" customFormat="1" ht="12" customHeight="1" thickBot="1" x14ac:dyDescent="0.25">
      <c r="A24" s="269" t="s">
        <v>107</v>
      </c>
      <c r="B24" s="7" t="s">
        <v>556</v>
      </c>
      <c r="C24" s="538">
        <v>399535</v>
      </c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845">
        <f>+C27+C28</f>
        <v>4353475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940">
        <v>4353475</v>
      </c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541"/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546">
        <f>+C8+C20+C25+C26+C30+C34+C35</f>
        <v>198974671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389934335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18026960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364496499+308310+192293+4907657+949388+282720+446930+940400+22614-639436</f>
        <v>371907375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588909006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577623299</v>
      </c>
    </row>
    <row r="46" spans="1:3" ht="12" customHeight="1" x14ac:dyDescent="0.2">
      <c r="A46" s="269" t="s">
        <v>98</v>
      </c>
      <c r="B46" s="8" t="s">
        <v>53</v>
      </c>
      <c r="C46" s="820">
        <f>330210986+258000+800000+4907657+374000+550000</f>
        <v>337100643</v>
      </c>
    </row>
    <row r="47" spans="1:3" ht="12" customHeight="1" x14ac:dyDescent="0.2">
      <c r="A47" s="269" t="s">
        <v>99</v>
      </c>
      <c r="B47" s="7" t="s">
        <v>160</v>
      </c>
      <c r="C47" s="822">
        <f>68706522+50310+949388+140400+72930+96525</f>
        <v>70016075</v>
      </c>
    </row>
    <row r="48" spans="1:3" ht="12" customHeight="1" x14ac:dyDescent="0.2">
      <c r="A48" s="269" t="s">
        <v>100</v>
      </c>
      <c r="B48" s="7" t="s">
        <v>130</v>
      </c>
      <c r="C48" s="822">
        <f>169254754+192293+282720+955814-179000</f>
        <v>170506581</v>
      </c>
    </row>
    <row r="49" spans="1:5" ht="12" customHeight="1" x14ac:dyDescent="0.2">
      <c r="A49" s="269" t="s">
        <v>101</v>
      </c>
      <c r="B49" s="7" t="s">
        <v>161</v>
      </c>
      <c r="C49" s="645"/>
    </row>
    <row r="50" spans="1:5" ht="12" customHeight="1" thickBot="1" x14ac:dyDescent="0.25">
      <c r="A50" s="269" t="s">
        <v>137</v>
      </c>
      <c r="B50" s="7" t="s">
        <v>162</v>
      </c>
      <c r="C50" s="645"/>
    </row>
    <row r="51" spans="1:5" ht="12" customHeight="1" thickBot="1" x14ac:dyDescent="0.25">
      <c r="A51" s="101" t="s">
        <v>23</v>
      </c>
      <c r="B51" s="85" t="s">
        <v>371</v>
      </c>
      <c r="C51" s="536">
        <f>SUM(C52:C54)</f>
        <v>11884844</v>
      </c>
    </row>
    <row r="52" spans="1:5" s="278" customFormat="1" ht="12" customHeight="1" x14ac:dyDescent="0.2">
      <c r="A52" s="269" t="s">
        <v>104</v>
      </c>
      <c r="B52" s="8" t="s">
        <v>180</v>
      </c>
      <c r="C52" s="820">
        <f>11730618+22614+599137-646525+179000</f>
        <v>11884844</v>
      </c>
    </row>
    <row r="53" spans="1:5" ht="12" customHeight="1" x14ac:dyDescent="0.2">
      <c r="A53" s="269" t="s">
        <v>105</v>
      </c>
      <c r="B53" s="7" t="s">
        <v>164</v>
      </c>
      <c r="C53" s="645"/>
    </row>
    <row r="54" spans="1:5" ht="12" customHeight="1" x14ac:dyDescent="0.2">
      <c r="A54" s="269" t="s">
        <v>106</v>
      </c>
      <c r="B54" s="7" t="s">
        <v>62</v>
      </c>
      <c r="C54" s="645"/>
    </row>
    <row r="55" spans="1:5" ht="12" customHeight="1" thickBot="1" x14ac:dyDescent="0.25">
      <c r="A55" s="269" t="s">
        <v>107</v>
      </c>
      <c r="B55" s="7" t="s">
        <v>552</v>
      </c>
      <c r="C55" s="645"/>
    </row>
    <row r="56" spans="1:5" ht="15" customHeight="1" thickBot="1" x14ac:dyDescent="0.25">
      <c r="A56" s="101" t="s">
        <v>24</v>
      </c>
      <c r="B56" s="85" t="s">
        <v>17</v>
      </c>
      <c r="C56" s="541"/>
    </row>
    <row r="57" spans="1:5" ht="13.5" thickBot="1" x14ac:dyDescent="0.25">
      <c r="A57" s="101" t="s">
        <v>25</v>
      </c>
      <c r="B57" s="138" t="s">
        <v>553</v>
      </c>
      <c r="C57" s="845">
        <f>+C45+C51+C56</f>
        <v>589508143</v>
      </c>
      <c r="D57" s="45"/>
      <c r="E57" s="45"/>
    </row>
    <row r="58" spans="1:5" ht="15" customHeight="1" thickBot="1" x14ac:dyDescent="0.25">
      <c r="C58" s="547"/>
    </row>
    <row r="59" spans="1:5" ht="14.25" customHeight="1" thickBot="1" x14ac:dyDescent="0.25">
      <c r="A59" s="141" t="s">
        <v>545</v>
      </c>
      <c r="B59" s="142"/>
      <c r="C59" s="874">
        <v>108.4</v>
      </c>
    </row>
    <row r="60" spans="1:5" ht="13.5" thickBot="1" x14ac:dyDescent="0.25">
      <c r="A60" s="551" t="s">
        <v>710</v>
      </c>
      <c r="B60" s="552"/>
      <c r="C60" s="649">
        <v>61</v>
      </c>
    </row>
    <row r="61" spans="1:5" ht="13.5" thickBot="1" x14ac:dyDescent="0.25">
      <c r="A61" s="1027" t="s">
        <v>711</v>
      </c>
      <c r="B61" s="1028"/>
      <c r="C61" s="589">
        <v>2</v>
      </c>
      <c r="D61" s="499"/>
    </row>
    <row r="62" spans="1:5" s="549" customFormat="1" ht="13.5" thickBot="1" x14ac:dyDescent="0.25">
      <c r="A62" s="1029" t="s">
        <v>733</v>
      </c>
      <c r="B62" s="1030"/>
      <c r="C62" s="942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11/2018.(V.31.)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topLeftCell="D1" zoomScaleNormal="145" workbookViewId="0">
      <selection activeCell="D3" sqref="D3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6" customHeight="1" x14ac:dyDescent="0.2">
      <c r="A2" s="231" t="s">
        <v>174</v>
      </c>
      <c r="B2" s="206" t="s">
        <v>561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354</v>
      </c>
      <c r="C3" s="531" t="s">
        <v>57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850595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/>
    </row>
    <row r="11" spans="1:3" s="222" customFormat="1" ht="12" customHeight="1" x14ac:dyDescent="0.2">
      <c r="A11" s="269" t="s">
        <v>100</v>
      </c>
      <c r="B11" s="7" t="s">
        <v>232</v>
      </c>
      <c r="C11" s="538"/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538">
        <v>669760</v>
      </c>
    </row>
    <row r="14" spans="1:3" s="222" customFormat="1" ht="12" customHeight="1" x14ac:dyDescent="0.2">
      <c r="A14" s="269" t="s">
        <v>102</v>
      </c>
      <c r="B14" s="7" t="s">
        <v>355</v>
      </c>
      <c r="C14" s="538">
        <v>180835</v>
      </c>
    </row>
    <row r="15" spans="1:3" s="222" customFormat="1" ht="12" customHeight="1" x14ac:dyDescent="0.2">
      <c r="A15" s="269" t="s">
        <v>103</v>
      </c>
      <c r="B15" s="6" t="s">
        <v>356</v>
      </c>
      <c r="C15" s="538"/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944">
        <v>20000</v>
      </c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844">
        <f>+C8+C20+C25+C26+C30+C34+C35</f>
        <v>870595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86889355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93639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86651516+10000+134200</f>
        <v>86795716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87759950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85689940</v>
      </c>
    </row>
    <row r="46" spans="1:3" ht="12" customHeight="1" x14ac:dyDescent="0.2">
      <c r="A46" s="269" t="s">
        <v>98</v>
      </c>
      <c r="B46" s="8" t="s">
        <v>53</v>
      </c>
      <c r="C46" s="542">
        <v>58944411</v>
      </c>
    </row>
    <row r="47" spans="1:3" ht="12" customHeight="1" x14ac:dyDescent="0.2">
      <c r="A47" s="269" t="s">
        <v>99</v>
      </c>
      <c r="B47" s="7" t="s">
        <v>160</v>
      </c>
      <c r="C47" s="645">
        <v>11728198</v>
      </c>
    </row>
    <row r="48" spans="1:3" ht="12" customHeight="1" x14ac:dyDescent="0.2">
      <c r="A48" s="269" t="s">
        <v>100</v>
      </c>
      <c r="B48" s="7" t="s">
        <v>130</v>
      </c>
      <c r="C48" s="822">
        <f>15292331+10000-285000</f>
        <v>15017331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845">
        <f>SUM(C52:C54)</f>
        <v>2070010</v>
      </c>
    </row>
    <row r="52" spans="1:3" s="278" customFormat="1" ht="12" customHeight="1" x14ac:dyDescent="0.2">
      <c r="A52" s="269" t="s">
        <v>104</v>
      </c>
      <c r="B52" s="8" t="s">
        <v>180</v>
      </c>
      <c r="C52" s="820">
        <f>1630810+134200+305000</f>
        <v>2070010</v>
      </c>
    </row>
    <row r="53" spans="1:3" ht="12" customHeight="1" x14ac:dyDescent="0.2">
      <c r="A53" s="269" t="s">
        <v>105</v>
      </c>
      <c r="B53" s="7" t="s">
        <v>164</v>
      </c>
      <c r="C53" s="690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87759950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649">
        <v>21</v>
      </c>
    </row>
    <row r="60" spans="1:3" ht="13.5" thickBot="1" x14ac:dyDescent="0.25">
      <c r="A60" s="141" t="s">
        <v>176</v>
      </c>
      <c r="B60" s="142"/>
      <c r="C60" s="64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11/2018.(V.31.)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topLeftCell="D1" zoomScaleNormal="145" workbookViewId="0">
      <selection activeCell="L6" sqref="L6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549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529"/>
    </row>
    <row r="2" spans="1:3" s="274" customFormat="1" ht="36" customHeight="1" x14ac:dyDescent="0.2">
      <c r="A2" s="231" t="s">
        <v>174</v>
      </c>
      <c r="B2" s="206" t="s">
        <v>561</v>
      </c>
      <c r="C2" s="530" t="s">
        <v>65</v>
      </c>
    </row>
    <row r="3" spans="1:3" s="274" customFormat="1" ht="24.75" thickBot="1" x14ac:dyDescent="0.25">
      <c r="A3" s="267" t="s">
        <v>173</v>
      </c>
      <c r="B3" s="207" t="s">
        <v>372</v>
      </c>
      <c r="C3" s="531" t="s">
        <v>64</v>
      </c>
    </row>
    <row r="4" spans="1:3" s="275" customFormat="1" ht="15.95" customHeight="1" thickBot="1" x14ac:dyDescent="0.3">
      <c r="A4" s="122"/>
      <c r="B4" s="122"/>
      <c r="C4" s="532" t="s">
        <v>590</v>
      </c>
    </row>
    <row r="5" spans="1:3" ht="13.5" thickBot="1" x14ac:dyDescent="0.25">
      <c r="A5" s="232" t="s">
        <v>175</v>
      </c>
      <c r="B5" s="124" t="s">
        <v>58</v>
      </c>
      <c r="C5" s="533" t="s">
        <v>59</v>
      </c>
    </row>
    <row r="6" spans="1:3" s="276" customFormat="1" ht="12.95" customHeight="1" thickBot="1" x14ac:dyDescent="0.25">
      <c r="A6" s="98" t="s">
        <v>466</v>
      </c>
      <c r="B6" s="99" t="s">
        <v>467</v>
      </c>
      <c r="C6" s="534" t="s">
        <v>468</v>
      </c>
    </row>
    <row r="7" spans="1:3" s="276" customFormat="1" ht="15.95" customHeight="1" thickBot="1" x14ac:dyDescent="0.25">
      <c r="A7" s="126"/>
      <c r="B7" s="127" t="s">
        <v>60</v>
      </c>
      <c r="C7" s="535"/>
    </row>
    <row r="8" spans="1:3" s="222" customFormat="1" ht="12" customHeight="1" thickBot="1" x14ac:dyDescent="0.25">
      <c r="A8" s="98" t="s">
        <v>22</v>
      </c>
      <c r="B8" s="129" t="s">
        <v>548</v>
      </c>
      <c r="C8" s="536">
        <f>SUM(C9:C19)</f>
        <v>850595</v>
      </c>
    </row>
    <row r="9" spans="1:3" s="222" customFormat="1" ht="12" customHeight="1" x14ac:dyDescent="0.2">
      <c r="A9" s="268" t="s">
        <v>98</v>
      </c>
      <c r="B9" s="9" t="s">
        <v>230</v>
      </c>
      <c r="C9" s="537"/>
    </row>
    <row r="10" spans="1:3" s="222" customFormat="1" ht="12" customHeight="1" x14ac:dyDescent="0.2">
      <c r="A10" s="269" t="s">
        <v>99</v>
      </c>
      <c r="B10" s="7" t="s">
        <v>231</v>
      </c>
      <c r="C10" s="538"/>
    </row>
    <row r="11" spans="1:3" s="222" customFormat="1" ht="12" customHeight="1" x14ac:dyDescent="0.2">
      <c r="A11" s="269" t="s">
        <v>100</v>
      </c>
      <c r="B11" s="7" t="s">
        <v>232</v>
      </c>
      <c r="C11" s="538"/>
    </row>
    <row r="12" spans="1:3" s="222" customFormat="1" ht="12" customHeight="1" x14ac:dyDescent="0.2">
      <c r="A12" s="269" t="s">
        <v>101</v>
      </c>
      <c r="B12" s="7" t="s">
        <v>233</v>
      </c>
      <c r="C12" s="538"/>
    </row>
    <row r="13" spans="1:3" s="222" customFormat="1" ht="12" customHeight="1" x14ac:dyDescent="0.2">
      <c r="A13" s="269" t="s">
        <v>137</v>
      </c>
      <c r="B13" s="7" t="s">
        <v>234</v>
      </c>
      <c r="C13" s="538">
        <v>669760</v>
      </c>
    </row>
    <row r="14" spans="1:3" s="222" customFormat="1" ht="12" customHeight="1" x14ac:dyDescent="0.2">
      <c r="A14" s="269" t="s">
        <v>102</v>
      </c>
      <c r="B14" s="7" t="s">
        <v>355</v>
      </c>
      <c r="C14" s="538">
        <v>180835</v>
      </c>
    </row>
    <row r="15" spans="1:3" s="222" customFormat="1" ht="12" customHeight="1" x14ac:dyDescent="0.2">
      <c r="A15" s="269" t="s">
        <v>103</v>
      </c>
      <c r="B15" s="6" t="s">
        <v>356</v>
      </c>
      <c r="C15" s="538"/>
    </row>
    <row r="16" spans="1:3" s="222" customFormat="1" ht="12" customHeight="1" x14ac:dyDescent="0.2">
      <c r="A16" s="269" t="s">
        <v>113</v>
      </c>
      <c r="B16" s="7" t="s">
        <v>237</v>
      </c>
      <c r="C16" s="539"/>
    </row>
    <row r="17" spans="1:3" s="277" customFormat="1" ht="12" customHeight="1" x14ac:dyDescent="0.2">
      <c r="A17" s="269" t="s">
        <v>114</v>
      </c>
      <c r="B17" s="7" t="s">
        <v>238</v>
      </c>
      <c r="C17" s="538"/>
    </row>
    <row r="18" spans="1:3" s="277" customFormat="1" ht="12" customHeight="1" x14ac:dyDescent="0.2">
      <c r="A18" s="269" t="s">
        <v>115</v>
      </c>
      <c r="B18" s="7" t="s">
        <v>475</v>
      </c>
      <c r="C18" s="540"/>
    </row>
    <row r="19" spans="1:3" s="277" customFormat="1" ht="12" customHeight="1" thickBot="1" x14ac:dyDescent="0.25">
      <c r="A19" s="269" t="s">
        <v>116</v>
      </c>
      <c r="B19" s="6" t="s">
        <v>239</v>
      </c>
      <c r="C19" s="540"/>
    </row>
    <row r="20" spans="1:3" s="222" customFormat="1" ht="12" customHeight="1" thickBot="1" x14ac:dyDescent="0.25">
      <c r="A20" s="98" t="s">
        <v>23</v>
      </c>
      <c r="B20" s="129" t="s">
        <v>357</v>
      </c>
      <c r="C20" s="536">
        <f>SUM(C21:C23)</f>
        <v>0</v>
      </c>
    </row>
    <row r="21" spans="1:3" s="277" customFormat="1" ht="12" customHeight="1" x14ac:dyDescent="0.2">
      <c r="A21" s="269" t="s">
        <v>104</v>
      </c>
      <c r="B21" s="8" t="s">
        <v>207</v>
      </c>
      <c r="C21" s="538"/>
    </row>
    <row r="22" spans="1:3" s="277" customFormat="1" ht="12" customHeight="1" x14ac:dyDescent="0.2">
      <c r="A22" s="269" t="s">
        <v>105</v>
      </c>
      <c r="B22" s="7" t="s">
        <v>358</v>
      </c>
      <c r="C22" s="538"/>
    </row>
    <row r="23" spans="1:3" s="277" customFormat="1" ht="12" customHeight="1" x14ac:dyDescent="0.2">
      <c r="A23" s="269" t="s">
        <v>106</v>
      </c>
      <c r="B23" s="7" t="s">
        <v>359</v>
      </c>
      <c r="C23" s="538"/>
    </row>
    <row r="24" spans="1:3" s="277" customFormat="1" ht="12" customHeight="1" thickBot="1" x14ac:dyDescent="0.25">
      <c r="A24" s="269" t="s">
        <v>107</v>
      </c>
      <c r="B24" s="7" t="s">
        <v>556</v>
      </c>
      <c r="C24" s="538"/>
    </row>
    <row r="25" spans="1:3" s="277" customFormat="1" ht="12" customHeight="1" thickBot="1" x14ac:dyDescent="0.25">
      <c r="A25" s="101" t="s">
        <v>24</v>
      </c>
      <c r="B25" s="85" t="s">
        <v>151</v>
      </c>
      <c r="C25" s="541"/>
    </row>
    <row r="26" spans="1:3" s="277" customFormat="1" ht="12" customHeight="1" thickBot="1" x14ac:dyDescent="0.25">
      <c r="A26" s="101" t="s">
        <v>25</v>
      </c>
      <c r="B26" s="85" t="s">
        <v>557</v>
      </c>
      <c r="C26" s="536">
        <f>+C27+C28</f>
        <v>0</v>
      </c>
    </row>
    <row r="27" spans="1:3" s="277" customFormat="1" ht="12" customHeight="1" x14ac:dyDescent="0.2">
      <c r="A27" s="270" t="s">
        <v>217</v>
      </c>
      <c r="B27" s="271" t="s">
        <v>358</v>
      </c>
      <c r="C27" s="542"/>
    </row>
    <row r="28" spans="1:3" s="277" customFormat="1" ht="12" customHeight="1" x14ac:dyDescent="0.2">
      <c r="A28" s="270" t="s">
        <v>220</v>
      </c>
      <c r="B28" s="272" t="s">
        <v>360</v>
      </c>
      <c r="C28" s="543"/>
    </row>
    <row r="29" spans="1:3" s="277" customFormat="1" ht="12" customHeight="1" thickBot="1" x14ac:dyDescent="0.25">
      <c r="A29" s="269" t="s">
        <v>221</v>
      </c>
      <c r="B29" s="88" t="s">
        <v>558</v>
      </c>
      <c r="C29" s="544"/>
    </row>
    <row r="30" spans="1:3" s="277" customFormat="1" ht="12" customHeight="1" thickBot="1" x14ac:dyDescent="0.25">
      <c r="A30" s="101" t="s">
        <v>26</v>
      </c>
      <c r="B30" s="85" t="s">
        <v>361</v>
      </c>
      <c r="C30" s="536">
        <f>+C31+C32+C33</f>
        <v>0</v>
      </c>
    </row>
    <row r="31" spans="1:3" s="277" customFormat="1" ht="12" customHeight="1" x14ac:dyDescent="0.2">
      <c r="A31" s="270" t="s">
        <v>91</v>
      </c>
      <c r="B31" s="271" t="s">
        <v>244</v>
      </c>
      <c r="C31" s="542"/>
    </row>
    <row r="32" spans="1:3" s="277" customFormat="1" ht="12" customHeight="1" x14ac:dyDescent="0.2">
      <c r="A32" s="270" t="s">
        <v>92</v>
      </c>
      <c r="B32" s="272" t="s">
        <v>245</v>
      </c>
      <c r="C32" s="543"/>
    </row>
    <row r="33" spans="1:3" s="277" customFormat="1" ht="12" customHeight="1" thickBot="1" x14ac:dyDescent="0.25">
      <c r="A33" s="269" t="s">
        <v>93</v>
      </c>
      <c r="B33" s="88" t="s">
        <v>246</v>
      </c>
      <c r="C33" s="544"/>
    </row>
    <row r="34" spans="1:3" s="222" customFormat="1" ht="12" customHeight="1" thickBot="1" x14ac:dyDescent="0.25">
      <c r="A34" s="101" t="s">
        <v>27</v>
      </c>
      <c r="B34" s="85" t="s">
        <v>332</v>
      </c>
      <c r="C34" s="944">
        <v>20000</v>
      </c>
    </row>
    <row r="35" spans="1:3" s="222" customFormat="1" ht="12" customHeight="1" thickBot="1" x14ac:dyDescent="0.25">
      <c r="A35" s="101" t="s">
        <v>28</v>
      </c>
      <c r="B35" s="85" t="s">
        <v>362</v>
      </c>
      <c r="C35" s="545"/>
    </row>
    <row r="36" spans="1:3" s="222" customFormat="1" ht="12" customHeight="1" thickBot="1" x14ac:dyDescent="0.25">
      <c r="A36" s="98" t="s">
        <v>29</v>
      </c>
      <c r="B36" s="85" t="s">
        <v>559</v>
      </c>
      <c r="C36" s="844">
        <f>+C8+C20+C25+C26+C30+C34+C35</f>
        <v>870595</v>
      </c>
    </row>
    <row r="37" spans="1:3" s="222" customFormat="1" ht="12" customHeight="1" thickBot="1" x14ac:dyDescent="0.25">
      <c r="A37" s="130" t="s">
        <v>30</v>
      </c>
      <c r="B37" s="85" t="s">
        <v>364</v>
      </c>
      <c r="C37" s="844">
        <f>+C38+C39+C40</f>
        <v>86889355</v>
      </c>
    </row>
    <row r="38" spans="1:3" s="222" customFormat="1" ht="12" customHeight="1" x14ac:dyDescent="0.2">
      <c r="A38" s="270" t="s">
        <v>365</v>
      </c>
      <c r="B38" s="271" t="s">
        <v>189</v>
      </c>
      <c r="C38" s="542">
        <v>93639</v>
      </c>
    </row>
    <row r="39" spans="1:3" s="222" customFormat="1" ht="12" customHeight="1" x14ac:dyDescent="0.2">
      <c r="A39" s="270" t="s">
        <v>366</v>
      </c>
      <c r="B39" s="272" t="s">
        <v>13</v>
      </c>
      <c r="C39" s="543"/>
    </row>
    <row r="40" spans="1:3" s="277" customFormat="1" ht="12" customHeight="1" thickBot="1" x14ac:dyDescent="0.25">
      <c r="A40" s="269" t="s">
        <v>367</v>
      </c>
      <c r="B40" s="88" t="s">
        <v>368</v>
      </c>
      <c r="C40" s="843">
        <f>86651516+10000+134200</f>
        <v>86795716</v>
      </c>
    </row>
    <row r="41" spans="1:3" s="277" customFormat="1" ht="15" customHeight="1" thickBot="1" x14ac:dyDescent="0.25">
      <c r="A41" s="130" t="s">
        <v>31</v>
      </c>
      <c r="B41" s="131" t="s">
        <v>369</v>
      </c>
      <c r="C41" s="844">
        <f>+C36+C37</f>
        <v>87759950</v>
      </c>
    </row>
    <row r="42" spans="1:3" s="277" customFormat="1" ht="15" customHeight="1" x14ac:dyDescent="0.2">
      <c r="A42" s="132"/>
      <c r="B42" s="133"/>
      <c r="C42" s="647"/>
    </row>
    <row r="43" spans="1:3" ht="13.5" thickBot="1" x14ac:dyDescent="0.25">
      <c r="A43" s="134"/>
      <c r="B43" s="135"/>
      <c r="C43" s="648"/>
    </row>
    <row r="44" spans="1:3" s="276" customFormat="1" ht="16.5" customHeight="1" thickBot="1" x14ac:dyDescent="0.25">
      <c r="A44" s="136"/>
      <c r="B44" s="137" t="s">
        <v>61</v>
      </c>
      <c r="C44" s="546"/>
    </row>
    <row r="45" spans="1:3" s="278" customFormat="1" ht="12" customHeight="1" thickBot="1" x14ac:dyDescent="0.25">
      <c r="A45" s="101" t="s">
        <v>22</v>
      </c>
      <c r="B45" s="85" t="s">
        <v>370</v>
      </c>
      <c r="C45" s="845">
        <f>SUM(C46:C50)</f>
        <v>85689940</v>
      </c>
    </row>
    <row r="46" spans="1:3" ht="12" customHeight="1" x14ac:dyDescent="0.2">
      <c r="A46" s="269" t="s">
        <v>98</v>
      </c>
      <c r="B46" s="8" t="s">
        <v>53</v>
      </c>
      <c r="C46" s="542">
        <v>58944411</v>
      </c>
    </row>
    <row r="47" spans="1:3" ht="12" customHeight="1" x14ac:dyDescent="0.2">
      <c r="A47" s="269" t="s">
        <v>99</v>
      </c>
      <c r="B47" s="7" t="s">
        <v>160</v>
      </c>
      <c r="C47" s="645">
        <v>11728198</v>
      </c>
    </row>
    <row r="48" spans="1:3" ht="12" customHeight="1" x14ac:dyDescent="0.2">
      <c r="A48" s="269" t="s">
        <v>100</v>
      </c>
      <c r="B48" s="7" t="s">
        <v>130</v>
      </c>
      <c r="C48" s="822">
        <f>15292331+10000-285000</f>
        <v>15017331</v>
      </c>
    </row>
    <row r="49" spans="1:3" ht="12" customHeight="1" x14ac:dyDescent="0.2">
      <c r="A49" s="269" t="s">
        <v>101</v>
      </c>
      <c r="B49" s="7" t="s">
        <v>161</v>
      </c>
      <c r="C49" s="645"/>
    </row>
    <row r="50" spans="1:3" ht="12" customHeight="1" thickBot="1" x14ac:dyDescent="0.25">
      <c r="A50" s="269" t="s">
        <v>137</v>
      </c>
      <c r="B50" s="7" t="s">
        <v>162</v>
      </c>
      <c r="C50" s="645"/>
    </row>
    <row r="51" spans="1:3" ht="12" customHeight="1" thickBot="1" x14ac:dyDescent="0.25">
      <c r="A51" s="101" t="s">
        <v>23</v>
      </c>
      <c r="B51" s="85" t="s">
        <v>371</v>
      </c>
      <c r="C51" s="845">
        <f>SUM(C52:C54)</f>
        <v>2070010</v>
      </c>
    </row>
    <row r="52" spans="1:3" s="278" customFormat="1" ht="12" customHeight="1" x14ac:dyDescent="0.2">
      <c r="A52" s="269" t="s">
        <v>104</v>
      </c>
      <c r="B52" s="8" t="s">
        <v>180</v>
      </c>
      <c r="C52" s="938">
        <f>1630810+134200+305000</f>
        <v>2070010</v>
      </c>
    </row>
    <row r="53" spans="1:3" ht="12" customHeight="1" x14ac:dyDescent="0.2">
      <c r="A53" s="269" t="s">
        <v>105</v>
      </c>
      <c r="B53" s="7" t="s">
        <v>164</v>
      </c>
      <c r="C53" s="645"/>
    </row>
    <row r="54" spans="1:3" ht="12" customHeight="1" x14ac:dyDescent="0.2">
      <c r="A54" s="269" t="s">
        <v>106</v>
      </c>
      <c r="B54" s="7" t="s">
        <v>62</v>
      </c>
      <c r="C54" s="645"/>
    </row>
    <row r="55" spans="1:3" ht="12" customHeight="1" thickBot="1" x14ac:dyDescent="0.25">
      <c r="A55" s="269" t="s">
        <v>107</v>
      </c>
      <c r="B55" s="7" t="s">
        <v>552</v>
      </c>
      <c r="C55" s="645"/>
    </row>
    <row r="56" spans="1:3" ht="15" customHeight="1" thickBot="1" x14ac:dyDescent="0.25">
      <c r="A56" s="101" t="s">
        <v>24</v>
      </c>
      <c r="B56" s="85" t="s">
        <v>17</v>
      </c>
      <c r="C56" s="541"/>
    </row>
    <row r="57" spans="1:3" ht="13.5" thickBot="1" x14ac:dyDescent="0.25">
      <c r="A57" s="101" t="s">
        <v>25</v>
      </c>
      <c r="B57" s="138" t="s">
        <v>553</v>
      </c>
      <c r="C57" s="845">
        <f>+C45+C51+C56</f>
        <v>87759950</v>
      </c>
    </row>
    <row r="58" spans="1:3" ht="15" customHeight="1" thickBot="1" x14ac:dyDescent="0.25">
      <c r="C58" s="547"/>
    </row>
    <row r="59" spans="1:3" ht="14.25" customHeight="1" thickBot="1" x14ac:dyDescent="0.25">
      <c r="A59" s="141" t="s">
        <v>545</v>
      </c>
      <c r="B59" s="142"/>
      <c r="C59" s="649">
        <v>21</v>
      </c>
    </row>
    <row r="60" spans="1:3" ht="13.5" thickBot="1" x14ac:dyDescent="0.25">
      <c r="A60" s="141" t="s">
        <v>176</v>
      </c>
      <c r="B60" s="142"/>
      <c r="C60" s="548"/>
    </row>
    <row r="61" spans="1:3" x14ac:dyDescent="0.2">
      <c r="C61" s="653"/>
    </row>
    <row r="62" spans="1:3" x14ac:dyDescent="0.2">
      <c r="C62" s="653"/>
    </row>
    <row r="63" spans="1:3" x14ac:dyDescent="0.2">
      <c r="C63" s="653"/>
    </row>
    <row r="64" spans="1:3" x14ac:dyDescent="0.2">
      <c r="C64" s="653"/>
    </row>
    <row r="65" spans="3:3" x14ac:dyDescent="0.2">
      <c r="C65" s="653"/>
    </row>
    <row r="66" spans="3:3" x14ac:dyDescent="0.2">
      <c r="C66" s="653"/>
    </row>
    <row r="67" spans="3:3" x14ac:dyDescent="0.2">
      <c r="C67" s="653"/>
    </row>
    <row r="68" spans="3:3" x14ac:dyDescent="0.2">
      <c r="C68" s="65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&amp;R25. melléklet a 11/2018.(V.31.)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Layout" zoomScaleNormal="100" zoomScaleSheetLayoutView="115" workbookViewId="0">
      <selection activeCell="D3" sqref="D3"/>
    </sheetView>
  </sheetViews>
  <sheetFormatPr defaultColWidth="12.5" defaultRowHeight="12.75" x14ac:dyDescent="0.2"/>
  <cols>
    <col min="1" max="1" width="35.83203125" style="381" customWidth="1"/>
    <col min="2" max="2" width="12" style="381" customWidth="1"/>
    <col min="3" max="3" width="16" style="381" customWidth="1"/>
    <col min="4" max="4" width="15" style="877" customWidth="1"/>
    <col min="5" max="5" width="14" style="381" customWidth="1"/>
    <col min="6" max="6" width="13.6640625" style="381" customWidth="1"/>
    <col min="7" max="8" width="13.33203125" style="381" customWidth="1"/>
    <col min="9" max="10" width="12" style="381" customWidth="1"/>
    <col min="11" max="11" width="14.83203125" style="381" customWidth="1"/>
    <col min="12" max="12" width="12.6640625" style="381" bestFit="1" customWidth="1"/>
    <col min="13" max="257" width="12.5" style="381"/>
    <col min="258" max="258" width="34" style="381" bestFit="1" customWidth="1"/>
    <col min="259" max="259" width="13" style="381" bestFit="1" customWidth="1"/>
    <col min="260" max="261" width="14.83203125" style="381" bestFit="1" customWidth="1"/>
    <col min="262" max="262" width="13.1640625" style="381" customWidth="1"/>
    <col min="263" max="264" width="13" style="381" bestFit="1" customWidth="1"/>
    <col min="265" max="265" width="12.83203125" style="381" customWidth="1"/>
    <col min="266" max="266" width="11.83203125" style="381" bestFit="1" customWidth="1"/>
    <col min="267" max="267" width="14.83203125" style="381" bestFit="1" customWidth="1"/>
    <col min="268" max="513" width="12.5" style="381"/>
    <col min="514" max="514" width="34" style="381" bestFit="1" customWidth="1"/>
    <col min="515" max="515" width="13" style="381" bestFit="1" customWidth="1"/>
    <col min="516" max="517" width="14.83203125" style="381" bestFit="1" customWidth="1"/>
    <col min="518" max="518" width="13.1640625" style="381" customWidth="1"/>
    <col min="519" max="520" width="13" style="381" bestFit="1" customWidth="1"/>
    <col min="521" max="521" width="12.83203125" style="381" customWidth="1"/>
    <col min="522" max="522" width="11.83203125" style="381" bestFit="1" customWidth="1"/>
    <col min="523" max="523" width="14.83203125" style="381" bestFit="1" customWidth="1"/>
    <col min="524" max="769" width="12.5" style="381"/>
    <col min="770" max="770" width="34" style="381" bestFit="1" customWidth="1"/>
    <col min="771" max="771" width="13" style="381" bestFit="1" customWidth="1"/>
    <col min="772" max="773" width="14.83203125" style="381" bestFit="1" customWidth="1"/>
    <col min="774" max="774" width="13.1640625" style="381" customWidth="1"/>
    <col min="775" max="776" width="13" style="381" bestFit="1" customWidth="1"/>
    <col min="777" max="777" width="12.83203125" style="381" customWidth="1"/>
    <col min="778" max="778" width="11.83203125" style="381" bestFit="1" customWidth="1"/>
    <col min="779" max="779" width="14.83203125" style="381" bestFit="1" customWidth="1"/>
    <col min="780" max="1025" width="12.5" style="381"/>
    <col min="1026" max="1026" width="34" style="381" bestFit="1" customWidth="1"/>
    <col min="1027" max="1027" width="13" style="381" bestFit="1" customWidth="1"/>
    <col min="1028" max="1029" width="14.83203125" style="381" bestFit="1" customWidth="1"/>
    <col min="1030" max="1030" width="13.1640625" style="381" customWidth="1"/>
    <col min="1031" max="1032" width="13" style="381" bestFit="1" customWidth="1"/>
    <col min="1033" max="1033" width="12.83203125" style="381" customWidth="1"/>
    <col min="1034" max="1034" width="11.83203125" style="381" bestFit="1" customWidth="1"/>
    <col min="1035" max="1035" width="14.83203125" style="381" bestFit="1" customWidth="1"/>
    <col min="1036" max="1281" width="12.5" style="381"/>
    <col min="1282" max="1282" width="34" style="381" bestFit="1" customWidth="1"/>
    <col min="1283" max="1283" width="13" style="381" bestFit="1" customWidth="1"/>
    <col min="1284" max="1285" width="14.83203125" style="381" bestFit="1" customWidth="1"/>
    <col min="1286" max="1286" width="13.1640625" style="381" customWidth="1"/>
    <col min="1287" max="1288" width="13" style="381" bestFit="1" customWidth="1"/>
    <col min="1289" max="1289" width="12.83203125" style="381" customWidth="1"/>
    <col min="1290" max="1290" width="11.83203125" style="381" bestFit="1" customWidth="1"/>
    <col min="1291" max="1291" width="14.83203125" style="381" bestFit="1" customWidth="1"/>
    <col min="1292" max="1537" width="12.5" style="381"/>
    <col min="1538" max="1538" width="34" style="381" bestFit="1" customWidth="1"/>
    <col min="1539" max="1539" width="13" style="381" bestFit="1" customWidth="1"/>
    <col min="1540" max="1541" width="14.83203125" style="381" bestFit="1" customWidth="1"/>
    <col min="1542" max="1542" width="13.1640625" style="381" customWidth="1"/>
    <col min="1543" max="1544" width="13" style="381" bestFit="1" customWidth="1"/>
    <col min="1545" max="1545" width="12.83203125" style="381" customWidth="1"/>
    <col min="1546" max="1546" width="11.83203125" style="381" bestFit="1" customWidth="1"/>
    <col min="1547" max="1547" width="14.83203125" style="381" bestFit="1" customWidth="1"/>
    <col min="1548" max="1793" width="12.5" style="381"/>
    <col min="1794" max="1794" width="34" style="381" bestFit="1" customWidth="1"/>
    <col min="1795" max="1795" width="13" style="381" bestFit="1" customWidth="1"/>
    <col min="1796" max="1797" width="14.83203125" style="381" bestFit="1" customWidth="1"/>
    <col min="1798" max="1798" width="13.1640625" style="381" customWidth="1"/>
    <col min="1799" max="1800" width="13" style="381" bestFit="1" customWidth="1"/>
    <col min="1801" max="1801" width="12.83203125" style="381" customWidth="1"/>
    <col min="1802" max="1802" width="11.83203125" style="381" bestFit="1" customWidth="1"/>
    <col min="1803" max="1803" width="14.83203125" style="381" bestFit="1" customWidth="1"/>
    <col min="1804" max="2049" width="12.5" style="381"/>
    <col min="2050" max="2050" width="34" style="381" bestFit="1" customWidth="1"/>
    <col min="2051" max="2051" width="13" style="381" bestFit="1" customWidth="1"/>
    <col min="2052" max="2053" width="14.83203125" style="381" bestFit="1" customWidth="1"/>
    <col min="2054" max="2054" width="13.1640625" style="381" customWidth="1"/>
    <col min="2055" max="2056" width="13" style="381" bestFit="1" customWidth="1"/>
    <col min="2057" max="2057" width="12.83203125" style="381" customWidth="1"/>
    <col min="2058" max="2058" width="11.83203125" style="381" bestFit="1" customWidth="1"/>
    <col min="2059" max="2059" width="14.83203125" style="381" bestFit="1" customWidth="1"/>
    <col min="2060" max="2305" width="12.5" style="381"/>
    <col min="2306" max="2306" width="34" style="381" bestFit="1" customWidth="1"/>
    <col min="2307" max="2307" width="13" style="381" bestFit="1" customWidth="1"/>
    <col min="2308" max="2309" width="14.83203125" style="381" bestFit="1" customWidth="1"/>
    <col min="2310" max="2310" width="13.1640625" style="381" customWidth="1"/>
    <col min="2311" max="2312" width="13" style="381" bestFit="1" customWidth="1"/>
    <col min="2313" max="2313" width="12.83203125" style="381" customWidth="1"/>
    <col min="2314" max="2314" width="11.83203125" style="381" bestFit="1" customWidth="1"/>
    <col min="2315" max="2315" width="14.83203125" style="381" bestFit="1" customWidth="1"/>
    <col min="2316" max="2561" width="12.5" style="381"/>
    <col min="2562" max="2562" width="34" style="381" bestFit="1" customWidth="1"/>
    <col min="2563" max="2563" width="13" style="381" bestFit="1" customWidth="1"/>
    <col min="2564" max="2565" width="14.83203125" style="381" bestFit="1" customWidth="1"/>
    <col min="2566" max="2566" width="13.1640625" style="381" customWidth="1"/>
    <col min="2567" max="2568" width="13" style="381" bestFit="1" customWidth="1"/>
    <col min="2569" max="2569" width="12.83203125" style="381" customWidth="1"/>
    <col min="2570" max="2570" width="11.83203125" style="381" bestFit="1" customWidth="1"/>
    <col min="2571" max="2571" width="14.83203125" style="381" bestFit="1" customWidth="1"/>
    <col min="2572" max="2817" width="12.5" style="381"/>
    <col min="2818" max="2818" width="34" style="381" bestFit="1" customWidth="1"/>
    <col min="2819" max="2819" width="13" style="381" bestFit="1" customWidth="1"/>
    <col min="2820" max="2821" width="14.83203125" style="381" bestFit="1" customWidth="1"/>
    <col min="2822" max="2822" width="13.1640625" style="381" customWidth="1"/>
    <col min="2823" max="2824" width="13" style="381" bestFit="1" customWidth="1"/>
    <col min="2825" max="2825" width="12.83203125" style="381" customWidth="1"/>
    <col min="2826" max="2826" width="11.83203125" style="381" bestFit="1" customWidth="1"/>
    <col min="2827" max="2827" width="14.83203125" style="381" bestFit="1" customWidth="1"/>
    <col min="2828" max="3073" width="12.5" style="381"/>
    <col min="3074" max="3074" width="34" style="381" bestFit="1" customWidth="1"/>
    <col min="3075" max="3075" width="13" style="381" bestFit="1" customWidth="1"/>
    <col min="3076" max="3077" width="14.83203125" style="381" bestFit="1" customWidth="1"/>
    <col min="3078" max="3078" width="13.1640625" style="381" customWidth="1"/>
    <col min="3079" max="3080" width="13" style="381" bestFit="1" customWidth="1"/>
    <col min="3081" max="3081" width="12.83203125" style="381" customWidth="1"/>
    <col min="3082" max="3082" width="11.83203125" style="381" bestFit="1" customWidth="1"/>
    <col min="3083" max="3083" width="14.83203125" style="381" bestFit="1" customWidth="1"/>
    <col min="3084" max="3329" width="12.5" style="381"/>
    <col min="3330" max="3330" width="34" style="381" bestFit="1" customWidth="1"/>
    <col min="3331" max="3331" width="13" style="381" bestFit="1" customWidth="1"/>
    <col min="3332" max="3333" width="14.83203125" style="381" bestFit="1" customWidth="1"/>
    <col min="3334" max="3334" width="13.1640625" style="381" customWidth="1"/>
    <col min="3335" max="3336" width="13" style="381" bestFit="1" customWidth="1"/>
    <col min="3337" max="3337" width="12.83203125" style="381" customWidth="1"/>
    <col min="3338" max="3338" width="11.83203125" style="381" bestFit="1" customWidth="1"/>
    <col min="3339" max="3339" width="14.83203125" style="381" bestFit="1" customWidth="1"/>
    <col min="3340" max="3585" width="12.5" style="381"/>
    <col min="3586" max="3586" width="34" style="381" bestFit="1" customWidth="1"/>
    <col min="3587" max="3587" width="13" style="381" bestFit="1" customWidth="1"/>
    <col min="3588" max="3589" width="14.83203125" style="381" bestFit="1" customWidth="1"/>
    <col min="3590" max="3590" width="13.1640625" style="381" customWidth="1"/>
    <col min="3591" max="3592" width="13" style="381" bestFit="1" customWidth="1"/>
    <col min="3593" max="3593" width="12.83203125" style="381" customWidth="1"/>
    <col min="3594" max="3594" width="11.83203125" style="381" bestFit="1" customWidth="1"/>
    <col min="3595" max="3595" width="14.83203125" style="381" bestFit="1" customWidth="1"/>
    <col min="3596" max="3841" width="12.5" style="381"/>
    <col min="3842" max="3842" width="34" style="381" bestFit="1" customWidth="1"/>
    <col min="3843" max="3843" width="13" style="381" bestFit="1" customWidth="1"/>
    <col min="3844" max="3845" width="14.83203125" style="381" bestFit="1" customWidth="1"/>
    <col min="3846" max="3846" width="13.1640625" style="381" customWidth="1"/>
    <col min="3847" max="3848" width="13" style="381" bestFit="1" customWidth="1"/>
    <col min="3849" max="3849" width="12.83203125" style="381" customWidth="1"/>
    <col min="3850" max="3850" width="11.83203125" style="381" bestFit="1" customWidth="1"/>
    <col min="3851" max="3851" width="14.83203125" style="381" bestFit="1" customWidth="1"/>
    <col min="3852" max="4097" width="12.5" style="381"/>
    <col min="4098" max="4098" width="34" style="381" bestFit="1" customWidth="1"/>
    <col min="4099" max="4099" width="13" style="381" bestFit="1" customWidth="1"/>
    <col min="4100" max="4101" width="14.83203125" style="381" bestFit="1" customWidth="1"/>
    <col min="4102" max="4102" width="13.1640625" style="381" customWidth="1"/>
    <col min="4103" max="4104" width="13" style="381" bestFit="1" customWidth="1"/>
    <col min="4105" max="4105" width="12.83203125" style="381" customWidth="1"/>
    <col min="4106" max="4106" width="11.83203125" style="381" bestFit="1" customWidth="1"/>
    <col min="4107" max="4107" width="14.83203125" style="381" bestFit="1" customWidth="1"/>
    <col min="4108" max="4353" width="12.5" style="381"/>
    <col min="4354" max="4354" width="34" style="381" bestFit="1" customWidth="1"/>
    <col min="4355" max="4355" width="13" style="381" bestFit="1" customWidth="1"/>
    <col min="4356" max="4357" width="14.83203125" style="381" bestFit="1" customWidth="1"/>
    <col min="4358" max="4358" width="13.1640625" style="381" customWidth="1"/>
    <col min="4359" max="4360" width="13" style="381" bestFit="1" customWidth="1"/>
    <col min="4361" max="4361" width="12.83203125" style="381" customWidth="1"/>
    <col min="4362" max="4362" width="11.83203125" style="381" bestFit="1" customWidth="1"/>
    <col min="4363" max="4363" width="14.83203125" style="381" bestFit="1" customWidth="1"/>
    <col min="4364" max="4609" width="12.5" style="381"/>
    <col min="4610" max="4610" width="34" style="381" bestFit="1" customWidth="1"/>
    <col min="4611" max="4611" width="13" style="381" bestFit="1" customWidth="1"/>
    <col min="4612" max="4613" width="14.83203125" style="381" bestFit="1" customWidth="1"/>
    <col min="4614" max="4614" width="13.1640625" style="381" customWidth="1"/>
    <col min="4615" max="4616" width="13" style="381" bestFit="1" customWidth="1"/>
    <col min="4617" max="4617" width="12.83203125" style="381" customWidth="1"/>
    <col min="4618" max="4618" width="11.83203125" style="381" bestFit="1" customWidth="1"/>
    <col min="4619" max="4619" width="14.83203125" style="381" bestFit="1" customWidth="1"/>
    <col min="4620" max="4865" width="12.5" style="381"/>
    <col min="4866" max="4866" width="34" style="381" bestFit="1" customWidth="1"/>
    <col min="4867" max="4867" width="13" style="381" bestFit="1" customWidth="1"/>
    <col min="4868" max="4869" width="14.83203125" style="381" bestFit="1" customWidth="1"/>
    <col min="4870" max="4870" width="13.1640625" style="381" customWidth="1"/>
    <col min="4871" max="4872" width="13" style="381" bestFit="1" customWidth="1"/>
    <col min="4873" max="4873" width="12.83203125" style="381" customWidth="1"/>
    <col min="4874" max="4874" width="11.83203125" style="381" bestFit="1" customWidth="1"/>
    <col min="4875" max="4875" width="14.83203125" style="381" bestFit="1" customWidth="1"/>
    <col min="4876" max="5121" width="12.5" style="381"/>
    <col min="5122" max="5122" width="34" style="381" bestFit="1" customWidth="1"/>
    <col min="5123" max="5123" width="13" style="381" bestFit="1" customWidth="1"/>
    <col min="5124" max="5125" width="14.83203125" style="381" bestFit="1" customWidth="1"/>
    <col min="5126" max="5126" width="13.1640625" style="381" customWidth="1"/>
    <col min="5127" max="5128" width="13" style="381" bestFit="1" customWidth="1"/>
    <col min="5129" max="5129" width="12.83203125" style="381" customWidth="1"/>
    <col min="5130" max="5130" width="11.83203125" style="381" bestFit="1" customWidth="1"/>
    <col min="5131" max="5131" width="14.83203125" style="381" bestFit="1" customWidth="1"/>
    <col min="5132" max="5377" width="12.5" style="381"/>
    <col min="5378" max="5378" width="34" style="381" bestFit="1" customWidth="1"/>
    <col min="5379" max="5379" width="13" style="381" bestFit="1" customWidth="1"/>
    <col min="5380" max="5381" width="14.83203125" style="381" bestFit="1" customWidth="1"/>
    <col min="5382" max="5382" width="13.1640625" style="381" customWidth="1"/>
    <col min="5383" max="5384" width="13" style="381" bestFit="1" customWidth="1"/>
    <col min="5385" max="5385" width="12.83203125" style="381" customWidth="1"/>
    <col min="5386" max="5386" width="11.83203125" style="381" bestFit="1" customWidth="1"/>
    <col min="5387" max="5387" width="14.83203125" style="381" bestFit="1" customWidth="1"/>
    <col min="5388" max="5633" width="12.5" style="381"/>
    <col min="5634" max="5634" width="34" style="381" bestFit="1" customWidth="1"/>
    <col min="5635" max="5635" width="13" style="381" bestFit="1" customWidth="1"/>
    <col min="5636" max="5637" width="14.83203125" style="381" bestFit="1" customWidth="1"/>
    <col min="5638" max="5638" width="13.1640625" style="381" customWidth="1"/>
    <col min="5639" max="5640" width="13" style="381" bestFit="1" customWidth="1"/>
    <col min="5641" max="5641" width="12.83203125" style="381" customWidth="1"/>
    <col min="5642" max="5642" width="11.83203125" style="381" bestFit="1" customWidth="1"/>
    <col min="5643" max="5643" width="14.83203125" style="381" bestFit="1" customWidth="1"/>
    <col min="5644" max="5889" width="12.5" style="381"/>
    <col min="5890" max="5890" width="34" style="381" bestFit="1" customWidth="1"/>
    <col min="5891" max="5891" width="13" style="381" bestFit="1" customWidth="1"/>
    <col min="5892" max="5893" width="14.83203125" style="381" bestFit="1" customWidth="1"/>
    <col min="5894" max="5894" width="13.1640625" style="381" customWidth="1"/>
    <col min="5895" max="5896" width="13" style="381" bestFit="1" customWidth="1"/>
    <col min="5897" max="5897" width="12.83203125" style="381" customWidth="1"/>
    <col min="5898" max="5898" width="11.83203125" style="381" bestFit="1" customWidth="1"/>
    <col min="5899" max="5899" width="14.83203125" style="381" bestFit="1" customWidth="1"/>
    <col min="5900" max="6145" width="12.5" style="381"/>
    <col min="6146" max="6146" width="34" style="381" bestFit="1" customWidth="1"/>
    <col min="6147" max="6147" width="13" style="381" bestFit="1" customWidth="1"/>
    <col min="6148" max="6149" width="14.83203125" style="381" bestFit="1" customWidth="1"/>
    <col min="6150" max="6150" width="13.1640625" style="381" customWidth="1"/>
    <col min="6151" max="6152" width="13" style="381" bestFit="1" customWidth="1"/>
    <col min="6153" max="6153" width="12.83203125" style="381" customWidth="1"/>
    <col min="6154" max="6154" width="11.83203125" style="381" bestFit="1" customWidth="1"/>
    <col min="6155" max="6155" width="14.83203125" style="381" bestFit="1" customWidth="1"/>
    <col min="6156" max="6401" width="12.5" style="381"/>
    <col min="6402" max="6402" width="34" style="381" bestFit="1" customWidth="1"/>
    <col min="6403" max="6403" width="13" style="381" bestFit="1" customWidth="1"/>
    <col min="6404" max="6405" width="14.83203125" style="381" bestFit="1" customWidth="1"/>
    <col min="6406" max="6406" width="13.1640625" style="381" customWidth="1"/>
    <col min="6407" max="6408" width="13" style="381" bestFit="1" customWidth="1"/>
    <col min="6409" max="6409" width="12.83203125" style="381" customWidth="1"/>
    <col min="6410" max="6410" width="11.83203125" style="381" bestFit="1" customWidth="1"/>
    <col min="6411" max="6411" width="14.83203125" style="381" bestFit="1" customWidth="1"/>
    <col min="6412" max="6657" width="12.5" style="381"/>
    <col min="6658" max="6658" width="34" style="381" bestFit="1" customWidth="1"/>
    <col min="6659" max="6659" width="13" style="381" bestFit="1" customWidth="1"/>
    <col min="6660" max="6661" width="14.83203125" style="381" bestFit="1" customWidth="1"/>
    <col min="6662" max="6662" width="13.1640625" style="381" customWidth="1"/>
    <col min="6663" max="6664" width="13" style="381" bestFit="1" customWidth="1"/>
    <col min="6665" max="6665" width="12.83203125" style="381" customWidth="1"/>
    <col min="6666" max="6666" width="11.83203125" style="381" bestFit="1" customWidth="1"/>
    <col min="6667" max="6667" width="14.83203125" style="381" bestFit="1" customWidth="1"/>
    <col min="6668" max="6913" width="12.5" style="381"/>
    <col min="6914" max="6914" width="34" style="381" bestFit="1" customWidth="1"/>
    <col min="6915" max="6915" width="13" style="381" bestFit="1" customWidth="1"/>
    <col min="6916" max="6917" width="14.83203125" style="381" bestFit="1" customWidth="1"/>
    <col min="6918" max="6918" width="13.1640625" style="381" customWidth="1"/>
    <col min="6919" max="6920" width="13" style="381" bestFit="1" customWidth="1"/>
    <col min="6921" max="6921" width="12.83203125" style="381" customWidth="1"/>
    <col min="6922" max="6922" width="11.83203125" style="381" bestFit="1" customWidth="1"/>
    <col min="6923" max="6923" width="14.83203125" style="381" bestFit="1" customWidth="1"/>
    <col min="6924" max="7169" width="12.5" style="381"/>
    <col min="7170" max="7170" width="34" style="381" bestFit="1" customWidth="1"/>
    <col min="7171" max="7171" width="13" style="381" bestFit="1" customWidth="1"/>
    <col min="7172" max="7173" width="14.83203125" style="381" bestFit="1" customWidth="1"/>
    <col min="7174" max="7174" width="13.1640625" style="381" customWidth="1"/>
    <col min="7175" max="7176" width="13" style="381" bestFit="1" customWidth="1"/>
    <col min="7177" max="7177" width="12.83203125" style="381" customWidth="1"/>
    <col min="7178" max="7178" width="11.83203125" style="381" bestFit="1" customWidth="1"/>
    <col min="7179" max="7179" width="14.83203125" style="381" bestFit="1" customWidth="1"/>
    <col min="7180" max="7425" width="12.5" style="381"/>
    <col min="7426" max="7426" width="34" style="381" bestFit="1" customWidth="1"/>
    <col min="7427" max="7427" width="13" style="381" bestFit="1" customWidth="1"/>
    <col min="7428" max="7429" width="14.83203125" style="381" bestFit="1" customWidth="1"/>
    <col min="7430" max="7430" width="13.1640625" style="381" customWidth="1"/>
    <col min="7431" max="7432" width="13" style="381" bestFit="1" customWidth="1"/>
    <col min="7433" max="7433" width="12.83203125" style="381" customWidth="1"/>
    <col min="7434" max="7434" width="11.83203125" style="381" bestFit="1" customWidth="1"/>
    <col min="7435" max="7435" width="14.83203125" style="381" bestFit="1" customWidth="1"/>
    <col min="7436" max="7681" width="12.5" style="381"/>
    <col min="7682" max="7682" width="34" style="381" bestFit="1" customWidth="1"/>
    <col min="7683" max="7683" width="13" style="381" bestFit="1" customWidth="1"/>
    <col min="7684" max="7685" width="14.83203125" style="381" bestFit="1" customWidth="1"/>
    <col min="7686" max="7686" width="13.1640625" style="381" customWidth="1"/>
    <col min="7687" max="7688" width="13" style="381" bestFit="1" customWidth="1"/>
    <col min="7689" max="7689" width="12.83203125" style="381" customWidth="1"/>
    <col min="7690" max="7690" width="11.83203125" style="381" bestFit="1" customWidth="1"/>
    <col min="7691" max="7691" width="14.83203125" style="381" bestFit="1" customWidth="1"/>
    <col min="7692" max="7937" width="12.5" style="381"/>
    <col min="7938" max="7938" width="34" style="381" bestFit="1" customWidth="1"/>
    <col min="7939" max="7939" width="13" style="381" bestFit="1" customWidth="1"/>
    <col min="7940" max="7941" width="14.83203125" style="381" bestFit="1" customWidth="1"/>
    <col min="7942" max="7942" width="13.1640625" style="381" customWidth="1"/>
    <col min="7943" max="7944" width="13" style="381" bestFit="1" customWidth="1"/>
    <col min="7945" max="7945" width="12.83203125" style="381" customWidth="1"/>
    <col min="7946" max="7946" width="11.83203125" style="381" bestFit="1" customWidth="1"/>
    <col min="7947" max="7947" width="14.83203125" style="381" bestFit="1" customWidth="1"/>
    <col min="7948" max="8193" width="12.5" style="381"/>
    <col min="8194" max="8194" width="34" style="381" bestFit="1" customWidth="1"/>
    <col min="8195" max="8195" width="13" style="381" bestFit="1" customWidth="1"/>
    <col min="8196" max="8197" width="14.83203125" style="381" bestFit="1" customWidth="1"/>
    <col min="8198" max="8198" width="13.1640625" style="381" customWidth="1"/>
    <col min="8199" max="8200" width="13" style="381" bestFit="1" customWidth="1"/>
    <col min="8201" max="8201" width="12.83203125" style="381" customWidth="1"/>
    <col min="8202" max="8202" width="11.83203125" style="381" bestFit="1" customWidth="1"/>
    <col min="8203" max="8203" width="14.83203125" style="381" bestFit="1" customWidth="1"/>
    <col min="8204" max="8449" width="12.5" style="381"/>
    <col min="8450" max="8450" width="34" style="381" bestFit="1" customWidth="1"/>
    <col min="8451" max="8451" width="13" style="381" bestFit="1" customWidth="1"/>
    <col min="8452" max="8453" width="14.83203125" style="381" bestFit="1" customWidth="1"/>
    <col min="8454" max="8454" width="13.1640625" style="381" customWidth="1"/>
    <col min="8455" max="8456" width="13" style="381" bestFit="1" customWidth="1"/>
    <col min="8457" max="8457" width="12.83203125" style="381" customWidth="1"/>
    <col min="8458" max="8458" width="11.83203125" style="381" bestFit="1" customWidth="1"/>
    <col min="8459" max="8459" width="14.83203125" style="381" bestFit="1" customWidth="1"/>
    <col min="8460" max="8705" width="12.5" style="381"/>
    <col min="8706" max="8706" width="34" style="381" bestFit="1" customWidth="1"/>
    <col min="8707" max="8707" width="13" style="381" bestFit="1" customWidth="1"/>
    <col min="8708" max="8709" width="14.83203125" style="381" bestFit="1" customWidth="1"/>
    <col min="8710" max="8710" width="13.1640625" style="381" customWidth="1"/>
    <col min="8711" max="8712" width="13" style="381" bestFit="1" customWidth="1"/>
    <col min="8713" max="8713" width="12.83203125" style="381" customWidth="1"/>
    <col min="8714" max="8714" width="11.83203125" style="381" bestFit="1" customWidth="1"/>
    <col min="8715" max="8715" width="14.83203125" style="381" bestFit="1" customWidth="1"/>
    <col min="8716" max="8961" width="12.5" style="381"/>
    <col min="8962" max="8962" width="34" style="381" bestFit="1" customWidth="1"/>
    <col min="8963" max="8963" width="13" style="381" bestFit="1" customWidth="1"/>
    <col min="8964" max="8965" width="14.83203125" style="381" bestFit="1" customWidth="1"/>
    <col min="8966" max="8966" width="13.1640625" style="381" customWidth="1"/>
    <col min="8967" max="8968" width="13" style="381" bestFit="1" customWidth="1"/>
    <col min="8969" max="8969" width="12.83203125" style="381" customWidth="1"/>
    <col min="8970" max="8970" width="11.83203125" style="381" bestFit="1" customWidth="1"/>
    <col min="8971" max="8971" width="14.83203125" style="381" bestFit="1" customWidth="1"/>
    <col min="8972" max="9217" width="12.5" style="381"/>
    <col min="9218" max="9218" width="34" style="381" bestFit="1" customWidth="1"/>
    <col min="9219" max="9219" width="13" style="381" bestFit="1" customWidth="1"/>
    <col min="9220" max="9221" width="14.83203125" style="381" bestFit="1" customWidth="1"/>
    <col min="9222" max="9222" width="13.1640625" style="381" customWidth="1"/>
    <col min="9223" max="9224" width="13" style="381" bestFit="1" customWidth="1"/>
    <col min="9225" max="9225" width="12.83203125" style="381" customWidth="1"/>
    <col min="9226" max="9226" width="11.83203125" style="381" bestFit="1" customWidth="1"/>
    <col min="9227" max="9227" width="14.83203125" style="381" bestFit="1" customWidth="1"/>
    <col min="9228" max="9473" width="12.5" style="381"/>
    <col min="9474" max="9474" width="34" style="381" bestFit="1" customWidth="1"/>
    <col min="9475" max="9475" width="13" style="381" bestFit="1" customWidth="1"/>
    <col min="9476" max="9477" width="14.83203125" style="381" bestFit="1" customWidth="1"/>
    <col min="9478" max="9478" width="13.1640625" style="381" customWidth="1"/>
    <col min="9479" max="9480" width="13" style="381" bestFit="1" customWidth="1"/>
    <col min="9481" max="9481" width="12.83203125" style="381" customWidth="1"/>
    <col min="9482" max="9482" width="11.83203125" style="381" bestFit="1" customWidth="1"/>
    <col min="9483" max="9483" width="14.83203125" style="381" bestFit="1" customWidth="1"/>
    <col min="9484" max="9729" width="12.5" style="381"/>
    <col min="9730" max="9730" width="34" style="381" bestFit="1" customWidth="1"/>
    <col min="9731" max="9731" width="13" style="381" bestFit="1" customWidth="1"/>
    <col min="9732" max="9733" width="14.83203125" style="381" bestFit="1" customWidth="1"/>
    <col min="9734" max="9734" width="13.1640625" style="381" customWidth="1"/>
    <col min="9735" max="9736" width="13" style="381" bestFit="1" customWidth="1"/>
    <col min="9737" max="9737" width="12.83203125" style="381" customWidth="1"/>
    <col min="9738" max="9738" width="11.83203125" style="381" bestFit="1" customWidth="1"/>
    <col min="9739" max="9739" width="14.83203125" style="381" bestFit="1" customWidth="1"/>
    <col min="9740" max="9985" width="12.5" style="381"/>
    <col min="9986" max="9986" width="34" style="381" bestFit="1" customWidth="1"/>
    <col min="9987" max="9987" width="13" style="381" bestFit="1" customWidth="1"/>
    <col min="9988" max="9989" width="14.83203125" style="381" bestFit="1" customWidth="1"/>
    <col min="9990" max="9990" width="13.1640625" style="381" customWidth="1"/>
    <col min="9991" max="9992" width="13" style="381" bestFit="1" customWidth="1"/>
    <col min="9993" max="9993" width="12.83203125" style="381" customWidth="1"/>
    <col min="9994" max="9994" width="11.83203125" style="381" bestFit="1" customWidth="1"/>
    <col min="9995" max="9995" width="14.83203125" style="381" bestFit="1" customWidth="1"/>
    <col min="9996" max="10241" width="12.5" style="381"/>
    <col min="10242" max="10242" width="34" style="381" bestFit="1" customWidth="1"/>
    <col min="10243" max="10243" width="13" style="381" bestFit="1" customWidth="1"/>
    <col min="10244" max="10245" width="14.83203125" style="381" bestFit="1" customWidth="1"/>
    <col min="10246" max="10246" width="13.1640625" style="381" customWidth="1"/>
    <col min="10247" max="10248" width="13" style="381" bestFit="1" customWidth="1"/>
    <col min="10249" max="10249" width="12.83203125" style="381" customWidth="1"/>
    <col min="10250" max="10250" width="11.83203125" style="381" bestFit="1" customWidth="1"/>
    <col min="10251" max="10251" width="14.83203125" style="381" bestFit="1" customWidth="1"/>
    <col min="10252" max="10497" width="12.5" style="381"/>
    <col min="10498" max="10498" width="34" style="381" bestFit="1" customWidth="1"/>
    <col min="10499" max="10499" width="13" style="381" bestFit="1" customWidth="1"/>
    <col min="10500" max="10501" width="14.83203125" style="381" bestFit="1" customWidth="1"/>
    <col min="10502" max="10502" width="13.1640625" style="381" customWidth="1"/>
    <col min="10503" max="10504" width="13" style="381" bestFit="1" customWidth="1"/>
    <col min="10505" max="10505" width="12.83203125" style="381" customWidth="1"/>
    <col min="10506" max="10506" width="11.83203125" style="381" bestFit="1" customWidth="1"/>
    <col min="10507" max="10507" width="14.83203125" style="381" bestFit="1" customWidth="1"/>
    <col min="10508" max="10753" width="12.5" style="381"/>
    <col min="10754" max="10754" width="34" style="381" bestFit="1" customWidth="1"/>
    <col min="10755" max="10755" width="13" style="381" bestFit="1" customWidth="1"/>
    <col min="10756" max="10757" width="14.83203125" style="381" bestFit="1" customWidth="1"/>
    <col min="10758" max="10758" width="13.1640625" style="381" customWidth="1"/>
    <col min="10759" max="10760" width="13" style="381" bestFit="1" customWidth="1"/>
    <col min="10761" max="10761" width="12.83203125" style="381" customWidth="1"/>
    <col min="10762" max="10762" width="11.83203125" style="381" bestFit="1" customWidth="1"/>
    <col min="10763" max="10763" width="14.83203125" style="381" bestFit="1" customWidth="1"/>
    <col min="10764" max="11009" width="12.5" style="381"/>
    <col min="11010" max="11010" width="34" style="381" bestFit="1" customWidth="1"/>
    <col min="11011" max="11011" width="13" style="381" bestFit="1" customWidth="1"/>
    <col min="11012" max="11013" width="14.83203125" style="381" bestFit="1" customWidth="1"/>
    <col min="11014" max="11014" width="13.1640625" style="381" customWidth="1"/>
    <col min="11015" max="11016" width="13" style="381" bestFit="1" customWidth="1"/>
    <col min="11017" max="11017" width="12.83203125" style="381" customWidth="1"/>
    <col min="11018" max="11018" width="11.83203125" style="381" bestFit="1" customWidth="1"/>
    <col min="11019" max="11019" width="14.83203125" style="381" bestFit="1" customWidth="1"/>
    <col min="11020" max="11265" width="12.5" style="381"/>
    <col min="11266" max="11266" width="34" style="381" bestFit="1" customWidth="1"/>
    <col min="11267" max="11267" width="13" style="381" bestFit="1" customWidth="1"/>
    <col min="11268" max="11269" width="14.83203125" style="381" bestFit="1" customWidth="1"/>
    <col min="11270" max="11270" width="13.1640625" style="381" customWidth="1"/>
    <col min="11271" max="11272" width="13" style="381" bestFit="1" customWidth="1"/>
    <col min="11273" max="11273" width="12.83203125" style="381" customWidth="1"/>
    <col min="11274" max="11274" width="11.83203125" style="381" bestFit="1" customWidth="1"/>
    <col min="11275" max="11275" width="14.83203125" style="381" bestFit="1" customWidth="1"/>
    <col min="11276" max="11521" width="12.5" style="381"/>
    <col min="11522" max="11522" width="34" style="381" bestFit="1" customWidth="1"/>
    <col min="11523" max="11523" width="13" style="381" bestFit="1" customWidth="1"/>
    <col min="11524" max="11525" width="14.83203125" style="381" bestFit="1" customWidth="1"/>
    <col min="11526" max="11526" width="13.1640625" style="381" customWidth="1"/>
    <col min="11527" max="11528" width="13" style="381" bestFit="1" customWidth="1"/>
    <col min="11529" max="11529" width="12.83203125" style="381" customWidth="1"/>
    <col min="11530" max="11530" width="11.83203125" style="381" bestFit="1" customWidth="1"/>
    <col min="11531" max="11531" width="14.83203125" style="381" bestFit="1" customWidth="1"/>
    <col min="11532" max="11777" width="12.5" style="381"/>
    <col min="11778" max="11778" width="34" style="381" bestFit="1" customWidth="1"/>
    <col min="11779" max="11779" width="13" style="381" bestFit="1" customWidth="1"/>
    <col min="11780" max="11781" width="14.83203125" style="381" bestFit="1" customWidth="1"/>
    <col min="11782" max="11782" width="13.1640625" style="381" customWidth="1"/>
    <col min="11783" max="11784" width="13" style="381" bestFit="1" customWidth="1"/>
    <col min="11785" max="11785" width="12.83203125" style="381" customWidth="1"/>
    <col min="11786" max="11786" width="11.83203125" style="381" bestFit="1" customWidth="1"/>
    <col min="11787" max="11787" width="14.83203125" style="381" bestFit="1" customWidth="1"/>
    <col min="11788" max="12033" width="12.5" style="381"/>
    <col min="12034" max="12034" width="34" style="381" bestFit="1" customWidth="1"/>
    <col min="12035" max="12035" width="13" style="381" bestFit="1" customWidth="1"/>
    <col min="12036" max="12037" width="14.83203125" style="381" bestFit="1" customWidth="1"/>
    <col min="12038" max="12038" width="13.1640625" style="381" customWidth="1"/>
    <col min="12039" max="12040" width="13" style="381" bestFit="1" customWidth="1"/>
    <col min="12041" max="12041" width="12.83203125" style="381" customWidth="1"/>
    <col min="12042" max="12042" width="11.83203125" style="381" bestFit="1" customWidth="1"/>
    <col min="12043" max="12043" width="14.83203125" style="381" bestFit="1" customWidth="1"/>
    <col min="12044" max="12289" width="12.5" style="381"/>
    <col min="12290" max="12290" width="34" style="381" bestFit="1" customWidth="1"/>
    <col min="12291" max="12291" width="13" style="381" bestFit="1" customWidth="1"/>
    <col min="12292" max="12293" width="14.83203125" style="381" bestFit="1" customWidth="1"/>
    <col min="12294" max="12294" width="13.1640625" style="381" customWidth="1"/>
    <col min="12295" max="12296" width="13" style="381" bestFit="1" customWidth="1"/>
    <col min="12297" max="12297" width="12.83203125" style="381" customWidth="1"/>
    <col min="12298" max="12298" width="11.83203125" style="381" bestFit="1" customWidth="1"/>
    <col min="12299" max="12299" width="14.83203125" style="381" bestFit="1" customWidth="1"/>
    <col min="12300" max="12545" width="12.5" style="381"/>
    <col min="12546" max="12546" width="34" style="381" bestFit="1" customWidth="1"/>
    <col min="12547" max="12547" width="13" style="381" bestFit="1" customWidth="1"/>
    <col min="12548" max="12549" width="14.83203125" style="381" bestFit="1" customWidth="1"/>
    <col min="12550" max="12550" width="13.1640625" style="381" customWidth="1"/>
    <col min="12551" max="12552" width="13" style="381" bestFit="1" customWidth="1"/>
    <col min="12553" max="12553" width="12.83203125" style="381" customWidth="1"/>
    <col min="12554" max="12554" width="11.83203125" style="381" bestFit="1" customWidth="1"/>
    <col min="12555" max="12555" width="14.83203125" style="381" bestFit="1" customWidth="1"/>
    <col min="12556" max="12801" width="12.5" style="381"/>
    <col min="12802" max="12802" width="34" style="381" bestFit="1" customWidth="1"/>
    <col min="12803" max="12803" width="13" style="381" bestFit="1" customWidth="1"/>
    <col min="12804" max="12805" width="14.83203125" style="381" bestFit="1" customWidth="1"/>
    <col min="12806" max="12806" width="13.1640625" style="381" customWidth="1"/>
    <col min="12807" max="12808" width="13" style="381" bestFit="1" customWidth="1"/>
    <col min="12809" max="12809" width="12.83203125" style="381" customWidth="1"/>
    <col min="12810" max="12810" width="11.83203125" style="381" bestFit="1" customWidth="1"/>
    <col min="12811" max="12811" width="14.83203125" style="381" bestFit="1" customWidth="1"/>
    <col min="12812" max="13057" width="12.5" style="381"/>
    <col min="13058" max="13058" width="34" style="381" bestFit="1" customWidth="1"/>
    <col min="13059" max="13059" width="13" style="381" bestFit="1" customWidth="1"/>
    <col min="13060" max="13061" width="14.83203125" style="381" bestFit="1" customWidth="1"/>
    <col min="13062" max="13062" width="13.1640625" style="381" customWidth="1"/>
    <col min="13063" max="13064" width="13" style="381" bestFit="1" customWidth="1"/>
    <col min="13065" max="13065" width="12.83203125" style="381" customWidth="1"/>
    <col min="13066" max="13066" width="11.83203125" style="381" bestFit="1" customWidth="1"/>
    <col min="13067" max="13067" width="14.83203125" style="381" bestFit="1" customWidth="1"/>
    <col min="13068" max="13313" width="12.5" style="381"/>
    <col min="13314" max="13314" width="34" style="381" bestFit="1" customWidth="1"/>
    <col min="13315" max="13315" width="13" style="381" bestFit="1" customWidth="1"/>
    <col min="13316" max="13317" width="14.83203125" style="381" bestFit="1" customWidth="1"/>
    <col min="13318" max="13318" width="13.1640625" style="381" customWidth="1"/>
    <col min="13319" max="13320" width="13" style="381" bestFit="1" customWidth="1"/>
    <col min="13321" max="13321" width="12.83203125" style="381" customWidth="1"/>
    <col min="13322" max="13322" width="11.83203125" style="381" bestFit="1" customWidth="1"/>
    <col min="13323" max="13323" width="14.83203125" style="381" bestFit="1" customWidth="1"/>
    <col min="13324" max="13569" width="12.5" style="381"/>
    <col min="13570" max="13570" width="34" style="381" bestFit="1" customWidth="1"/>
    <col min="13571" max="13571" width="13" style="381" bestFit="1" customWidth="1"/>
    <col min="13572" max="13573" width="14.83203125" style="381" bestFit="1" customWidth="1"/>
    <col min="13574" max="13574" width="13.1640625" style="381" customWidth="1"/>
    <col min="13575" max="13576" width="13" style="381" bestFit="1" customWidth="1"/>
    <col min="13577" max="13577" width="12.83203125" style="381" customWidth="1"/>
    <col min="13578" max="13578" width="11.83203125" style="381" bestFit="1" customWidth="1"/>
    <col min="13579" max="13579" width="14.83203125" style="381" bestFit="1" customWidth="1"/>
    <col min="13580" max="13825" width="12.5" style="381"/>
    <col min="13826" max="13826" width="34" style="381" bestFit="1" customWidth="1"/>
    <col min="13827" max="13827" width="13" style="381" bestFit="1" customWidth="1"/>
    <col min="13828" max="13829" width="14.83203125" style="381" bestFit="1" customWidth="1"/>
    <col min="13830" max="13830" width="13.1640625" style="381" customWidth="1"/>
    <col min="13831" max="13832" width="13" style="381" bestFit="1" customWidth="1"/>
    <col min="13833" max="13833" width="12.83203125" style="381" customWidth="1"/>
    <col min="13834" max="13834" width="11.83203125" style="381" bestFit="1" customWidth="1"/>
    <col min="13835" max="13835" width="14.83203125" style="381" bestFit="1" customWidth="1"/>
    <col min="13836" max="14081" width="12.5" style="381"/>
    <col min="14082" max="14082" width="34" style="381" bestFit="1" customWidth="1"/>
    <col min="14083" max="14083" width="13" style="381" bestFit="1" customWidth="1"/>
    <col min="14084" max="14085" width="14.83203125" style="381" bestFit="1" customWidth="1"/>
    <col min="14086" max="14086" width="13.1640625" style="381" customWidth="1"/>
    <col min="14087" max="14088" width="13" style="381" bestFit="1" customWidth="1"/>
    <col min="14089" max="14089" width="12.83203125" style="381" customWidth="1"/>
    <col min="14090" max="14090" width="11.83203125" style="381" bestFit="1" customWidth="1"/>
    <col min="14091" max="14091" width="14.83203125" style="381" bestFit="1" customWidth="1"/>
    <col min="14092" max="14337" width="12.5" style="381"/>
    <col min="14338" max="14338" width="34" style="381" bestFit="1" customWidth="1"/>
    <col min="14339" max="14339" width="13" style="381" bestFit="1" customWidth="1"/>
    <col min="14340" max="14341" width="14.83203125" style="381" bestFit="1" customWidth="1"/>
    <col min="14342" max="14342" width="13.1640625" style="381" customWidth="1"/>
    <col min="14343" max="14344" width="13" style="381" bestFit="1" customWidth="1"/>
    <col min="14345" max="14345" width="12.83203125" style="381" customWidth="1"/>
    <col min="14346" max="14346" width="11.83203125" style="381" bestFit="1" customWidth="1"/>
    <col min="14347" max="14347" width="14.83203125" style="381" bestFit="1" customWidth="1"/>
    <col min="14348" max="14593" width="12.5" style="381"/>
    <col min="14594" max="14594" width="34" style="381" bestFit="1" customWidth="1"/>
    <col min="14595" max="14595" width="13" style="381" bestFit="1" customWidth="1"/>
    <col min="14596" max="14597" width="14.83203125" style="381" bestFit="1" customWidth="1"/>
    <col min="14598" max="14598" width="13.1640625" style="381" customWidth="1"/>
    <col min="14599" max="14600" width="13" style="381" bestFit="1" customWidth="1"/>
    <col min="14601" max="14601" width="12.83203125" style="381" customWidth="1"/>
    <col min="14602" max="14602" width="11.83203125" style="381" bestFit="1" customWidth="1"/>
    <col min="14603" max="14603" width="14.83203125" style="381" bestFit="1" customWidth="1"/>
    <col min="14604" max="14849" width="12.5" style="381"/>
    <col min="14850" max="14850" width="34" style="381" bestFit="1" customWidth="1"/>
    <col min="14851" max="14851" width="13" style="381" bestFit="1" customWidth="1"/>
    <col min="14852" max="14853" width="14.83203125" style="381" bestFit="1" customWidth="1"/>
    <col min="14854" max="14854" width="13.1640625" style="381" customWidth="1"/>
    <col min="14855" max="14856" width="13" style="381" bestFit="1" customWidth="1"/>
    <col min="14857" max="14857" width="12.83203125" style="381" customWidth="1"/>
    <col min="14858" max="14858" width="11.83203125" style="381" bestFit="1" customWidth="1"/>
    <col min="14859" max="14859" width="14.83203125" style="381" bestFit="1" customWidth="1"/>
    <col min="14860" max="15105" width="12.5" style="381"/>
    <col min="15106" max="15106" width="34" style="381" bestFit="1" customWidth="1"/>
    <col min="15107" max="15107" width="13" style="381" bestFit="1" customWidth="1"/>
    <col min="15108" max="15109" width="14.83203125" style="381" bestFit="1" customWidth="1"/>
    <col min="15110" max="15110" width="13.1640625" style="381" customWidth="1"/>
    <col min="15111" max="15112" width="13" style="381" bestFit="1" customWidth="1"/>
    <col min="15113" max="15113" width="12.83203125" style="381" customWidth="1"/>
    <col min="15114" max="15114" width="11.83203125" style="381" bestFit="1" customWidth="1"/>
    <col min="15115" max="15115" width="14.83203125" style="381" bestFit="1" customWidth="1"/>
    <col min="15116" max="15361" width="12.5" style="381"/>
    <col min="15362" max="15362" width="34" style="381" bestFit="1" customWidth="1"/>
    <col min="15363" max="15363" width="13" style="381" bestFit="1" customWidth="1"/>
    <col min="15364" max="15365" width="14.83203125" style="381" bestFit="1" customWidth="1"/>
    <col min="15366" max="15366" width="13.1640625" style="381" customWidth="1"/>
    <col min="15367" max="15368" width="13" style="381" bestFit="1" customWidth="1"/>
    <col min="15369" max="15369" width="12.83203125" style="381" customWidth="1"/>
    <col min="15370" max="15370" width="11.83203125" style="381" bestFit="1" customWidth="1"/>
    <col min="15371" max="15371" width="14.83203125" style="381" bestFit="1" customWidth="1"/>
    <col min="15372" max="15617" width="12.5" style="381"/>
    <col min="15618" max="15618" width="34" style="381" bestFit="1" customWidth="1"/>
    <col min="15619" max="15619" width="13" style="381" bestFit="1" customWidth="1"/>
    <col min="15620" max="15621" width="14.83203125" style="381" bestFit="1" customWidth="1"/>
    <col min="15622" max="15622" width="13.1640625" style="381" customWidth="1"/>
    <col min="15623" max="15624" width="13" style="381" bestFit="1" customWidth="1"/>
    <col min="15625" max="15625" width="12.83203125" style="381" customWidth="1"/>
    <col min="15626" max="15626" width="11.83203125" style="381" bestFit="1" customWidth="1"/>
    <col min="15627" max="15627" width="14.83203125" style="381" bestFit="1" customWidth="1"/>
    <col min="15628" max="15873" width="12.5" style="381"/>
    <col min="15874" max="15874" width="34" style="381" bestFit="1" customWidth="1"/>
    <col min="15875" max="15875" width="13" style="381" bestFit="1" customWidth="1"/>
    <col min="15876" max="15877" width="14.83203125" style="381" bestFit="1" customWidth="1"/>
    <col min="15878" max="15878" width="13.1640625" style="381" customWidth="1"/>
    <col min="15879" max="15880" width="13" style="381" bestFit="1" customWidth="1"/>
    <col min="15881" max="15881" width="12.83203125" style="381" customWidth="1"/>
    <col min="15882" max="15882" width="11.83203125" style="381" bestFit="1" customWidth="1"/>
    <col min="15883" max="15883" width="14.83203125" style="381" bestFit="1" customWidth="1"/>
    <col min="15884" max="16129" width="12.5" style="381"/>
    <col min="16130" max="16130" width="34" style="381" bestFit="1" customWidth="1"/>
    <col min="16131" max="16131" width="13" style="381" bestFit="1" customWidth="1"/>
    <col min="16132" max="16133" width="14.83203125" style="381" bestFit="1" customWidth="1"/>
    <col min="16134" max="16134" width="13.1640625" style="381" customWidth="1"/>
    <col min="16135" max="16136" width="13" style="381" bestFit="1" customWidth="1"/>
    <col min="16137" max="16137" width="12.83203125" style="381" customWidth="1"/>
    <col min="16138" max="16138" width="11.83203125" style="381" bestFit="1" customWidth="1"/>
    <col min="16139" max="16139" width="14.83203125" style="381" bestFit="1" customWidth="1"/>
    <col min="16140" max="16384" width="12.5" style="381"/>
  </cols>
  <sheetData>
    <row r="1" spans="1:12" x14ac:dyDescent="0.2">
      <c r="A1" s="380"/>
      <c r="B1" s="380"/>
      <c r="C1" s="380"/>
      <c r="D1" s="875"/>
      <c r="E1" s="380"/>
      <c r="F1" s="380"/>
      <c r="I1" s="382"/>
      <c r="J1" s="382"/>
      <c r="K1" s="383"/>
    </row>
    <row r="2" spans="1:12" x14ac:dyDescent="0.2">
      <c r="A2" s="380"/>
      <c r="B2" s="380"/>
      <c r="C2" s="380"/>
      <c r="D2" s="875"/>
      <c r="E2" s="380"/>
      <c r="F2" s="380"/>
      <c r="G2" s="384"/>
      <c r="H2" s="384"/>
      <c r="I2" s="384"/>
      <c r="J2" s="384"/>
      <c r="K2" s="385"/>
    </row>
    <row r="3" spans="1:12" x14ac:dyDescent="0.2">
      <c r="A3" s="380"/>
      <c r="B3" s="380"/>
      <c r="C3" s="380"/>
      <c r="D3" s="875"/>
      <c r="E3" s="380"/>
      <c r="F3" s="380"/>
      <c r="G3" s="384"/>
      <c r="H3" s="384"/>
      <c r="I3" s="384"/>
      <c r="J3" s="384"/>
      <c r="K3" s="384"/>
    </row>
    <row r="4" spans="1:12" ht="19.5" x14ac:dyDescent="0.35">
      <c r="A4" s="386" t="s">
        <v>392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</row>
    <row r="5" spans="1:12" ht="19.5" x14ac:dyDescent="0.35">
      <c r="A5" s="386" t="s">
        <v>624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</row>
    <row r="6" spans="1:12" ht="13.5" thickBot="1" x14ac:dyDescent="0.25">
      <c r="A6" s="380"/>
      <c r="B6" s="380"/>
      <c r="C6" s="380"/>
      <c r="D6" s="875"/>
      <c r="E6" s="380"/>
      <c r="F6" s="380"/>
      <c r="G6" s="380"/>
      <c r="H6" s="380"/>
      <c r="I6" s="380"/>
      <c r="J6" s="380"/>
      <c r="K6" s="387" t="s">
        <v>5</v>
      </c>
    </row>
    <row r="7" spans="1:12" ht="15.95" customHeight="1" x14ac:dyDescent="0.2">
      <c r="A7" s="1031" t="s">
        <v>2</v>
      </c>
      <c r="B7" s="1034" t="s">
        <v>393</v>
      </c>
      <c r="C7" s="1035"/>
      <c r="D7" s="1035"/>
      <c r="E7" s="1036" t="s">
        <v>625</v>
      </c>
      <c r="F7" s="1037"/>
      <c r="G7" s="1037"/>
      <c r="H7" s="1037"/>
      <c r="I7" s="1037"/>
      <c r="J7" s="1037"/>
      <c r="K7" s="1038"/>
    </row>
    <row r="8" spans="1:12" ht="15.95" customHeight="1" x14ac:dyDescent="0.2">
      <c r="A8" s="1032"/>
      <c r="B8" s="388" t="s">
        <v>394</v>
      </c>
      <c r="C8" s="388" t="s">
        <v>395</v>
      </c>
      <c r="D8" s="388" t="s">
        <v>396</v>
      </c>
      <c r="E8" s="388" t="s">
        <v>397</v>
      </c>
      <c r="F8" s="388" t="s">
        <v>398</v>
      </c>
      <c r="G8" s="388" t="s">
        <v>399</v>
      </c>
      <c r="H8" s="1039" t="s">
        <v>742</v>
      </c>
      <c r="I8" s="388" t="s">
        <v>400</v>
      </c>
      <c r="J8" s="388" t="s">
        <v>401</v>
      </c>
      <c r="K8" s="389" t="s">
        <v>396</v>
      </c>
    </row>
    <row r="9" spans="1:12" ht="15.95" customHeight="1" x14ac:dyDescent="0.2">
      <c r="A9" s="1033"/>
      <c r="B9" s="388" t="s">
        <v>402</v>
      </c>
      <c r="C9" s="388" t="s">
        <v>403</v>
      </c>
      <c r="D9" s="388" t="s">
        <v>404</v>
      </c>
      <c r="E9" s="388" t="s">
        <v>405</v>
      </c>
      <c r="F9" s="388" t="s">
        <v>406</v>
      </c>
      <c r="G9" s="388" t="s">
        <v>407</v>
      </c>
      <c r="H9" s="1040"/>
      <c r="I9" s="388" t="s">
        <v>408</v>
      </c>
      <c r="J9" s="388" t="s">
        <v>407</v>
      </c>
      <c r="K9" s="389" t="s">
        <v>409</v>
      </c>
    </row>
    <row r="10" spans="1:12" ht="15.95" customHeight="1" x14ac:dyDescent="0.2">
      <c r="A10" s="390" t="s">
        <v>410</v>
      </c>
      <c r="B10" s="945">
        <v>174100032</v>
      </c>
      <c r="C10" s="946">
        <f t="shared" ref="C10:C15" si="0">K10-B10</f>
        <v>132997454</v>
      </c>
      <c r="D10" s="947">
        <f t="shared" ref="D10:D14" si="1">SUM(B10:C10)</f>
        <v>307097486</v>
      </c>
      <c r="E10" s="946">
        <f>61703726+51600+80000-1157738</f>
        <v>60677588</v>
      </c>
      <c r="F10" s="946">
        <f>14089304-225759</f>
        <v>13863545</v>
      </c>
      <c r="G10" s="946">
        <f>230665212+622141</f>
        <v>231287353</v>
      </c>
      <c r="H10" s="946"/>
      <c r="I10" s="945"/>
      <c r="J10" s="946">
        <f>1229000+40000</f>
        <v>1269000</v>
      </c>
      <c r="K10" s="847">
        <f t="shared" ref="K10:K14" si="2">SUM(E10:J10)</f>
        <v>307097486</v>
      </c>
      <c r="L10" s="391"/>
    </row>
    <row r="11" spans="1:12" ht="15.95" customHeight="1" x14ac:dyDescent="0.2">
      <c r="A11" s="390" t="s">
        <v>0</v>
      </c>
      <c r="B11" s="945">
        <v>12280923</v>
      </c>
      <c r="C11" s="946">
        <f>K11-B11</f>
        <v>291998328</v>
      </c>
      <c r="D11" s="947">
        <f t="shared" si="1"/>
        <v>304279251</v>
      </c>
      <c r="E11" s="945">
        <f>187166011+408000+80000+1630390-80000</f>
        <v>189204401</v>
      </c>
      <c r="F11" s="945">
        <f>40197175+71604+14040+308098</f>
        <v>40590917</v>
      </c>
      <c r="G11" s="946">
        <f>71308603+110000+60000+624000-624000+130000+80000+88350</f>
        <v>71776953</v>
      </c>
      <c r="H11" s="946"/>
      <c r="I11" s="945"/>
      <c r="J11" s="945">
        <f>2766980-60000</f>
        <v>2706980</v>
      </c>
      <c r="K11" s="847">
        <f t="shared" si="2"/>
        <v>304279251</v>
      </c>
      <c r="L11" s="392"/>
    </row>
    <row r="12" spans="1:12" ht="15.95" customHeight="1" x14ac:dyDescent="0.2">
      <c r="A12" s="390" t="s">
        <v>603</v>
      </c>
      <c r="B12" s="945">
        <v>13275287</v>
      </c>
      <c r="C12" s="946">
        <f t="shared" si="0"/>
        <v>85014103</v>
      </c>
      <c r="D12" s="947">
        <f t="shared" si="1"/>
        <v>98289390</v>
      </c>
      <c r="E12" s="945">
        <f>44090923+69000+170500</f>
        <v>44330423</v>
      </c>
      <c r="F12" s="945">
        <f>8671204+12110+33248</f>
        <v>8716562</v>
      </c>
      <c r="G12" s="946">
        <f>42412062-81110+232749</f>
        <v>42563701</v>
      </c>
      <c r="H12" s="946"/>
      <c r="I12" s="945"/>
      <c r="J12" s="945">
        <v>2678704</v>
      </c>
      <c r="K12" s="847">
        <f t="shared" si="2"/>
        <v>98289390</v>
      </c>
    </row>
    <row r="13" spans="1:12" s="391" customFormat="1" ht="18" customHeight="1" x14ac:dyDescent="0.2">
      <c r="A13" s="369" t="s">
        <v>582</v>
      </c>
      <c r="B13" s="948">
        <f>224494113-28+3011250+1595250</f>
        <v>229100585</v>
      </c>
      <c r="C13" s="946">
        <f t="shared" si="0"/>
        <v>504965057</v>
      </c>
      <c r="D13" s="947">
        <f t="shared" si="1"/>
        <v>734065642</v>
      </c>
      <c r="E13" s="949">
        <f>432587281+258000+374000+4907657+673383+1000000</f>
        <v>439800321</v>
      </c>
      <c r="F13" s="949">
        <f>91161523+50310+72930+949388+132042+175500</f>
        <v>92541693</v>
      </c>
      <c r="G13" s="949">
        <f>186217978+192293+628600+1606688-528975+955814-179000</f>
        <v>188893398</v>
      </c>
      <c r="H13" s="949"/>
      <c r="I13" s="949"/>
      <c r="J13" s="949">
        <f>12698618+599137-646525+179000</f>
        <v>12830230</v>
      </c>
      <c r="K13" s="847">
        <f t="shared" si="2"/>
        <v>734065642</v>
      </c>
    </row>
    <row r="14" spans="1:12" s="391" customFormat="1" ht="18" customHeight="1" x14ac:dyDescent="0.2">
      <c r="A14" s="369" t="s">
        <v>561</v>
      </c>
      <c r="B14" s="948">
        <f>944234+20000</f>
        <v>964234</v>
      </c>
      <c r="C14" s="946">
        <f t="shared" si="0"/>
        <v>86795716</v>
      </c>
      <c r="D14" s="947">
        <f t="shared" si="1"/>
        <v>87759950</v>
      </c>
      <c r="E14" s="950">
        <v>58944411</v>
      </c>
      <c r="F14" s="950">
        <v>11728198</v>
      </c>
      <c r="G14" s="949">
        <f>15292331+10000-285000</f>
        <v>15017331</v>
      </c>
      <c r="H14" s="949"/>
      <c r="I14" s="950"/>
      <c r="J14" s="949">
        <f>1630810+305000+134200</f>
        <v>2070010</v>
      </c>
      <c r="K14" s="847">
        <f t="shared" si="2"/>
        <v>87759950</v>
      </c>
    </row>
    <row r="15" spans="1:12" s="391" customFormat="1" ht="18" customHeight="1" x14ac:dyDescent="0.2">
      <c r="A15" s="369" t="s">
        <v>583</v>
      </c>
      <c r="B15" s="951">
        <f>14887546+20620+63321</f>
        <v>14971487</v>
      </c>
      <c r="C15" s="945">
        <f t="shared" si="0"/>
        <v>229993770</v>
      </c>
      <c r="D15" s="952">
        <f t="shared" ref="D15" si="3">SUM(B15:C15)</f>
        <v>244965257</v>
      </c>
      <c r="E15" s="949">
        <v>140694612</v>
      </c>
      <c r="F15" s="949">
        <v>29787058</v>
      </c>
      <c r="G15" s="950">
        <f>45358887+20620-152400</f>
        <v>45227107</v>
      </c>
      <c r="H15" s="949">
        <v>86500</v>
      </c>
      <c r="I15" s="950">
        <v>24250000</v>
      </c>
      <c r="J15" s="950">
        <v>4919980</v>
      </c>
      <c r="K15" s="953">
        <f>SUM(E15:J15)</f>
        <v>244965257</v>
      </c>
    </row>
    <row r="16" spans="1:12" s="877" customFormat="1" ht="18" customHeight="1" thickBot="1" x14ac:dyDescent="0.25">
      <c r="A16" s="876" t="s">
        <v>412</v>
      </c>
      <c r="B16" s="590">
        <f t="shared" ref="B16:J16" si="4">SUM(B10:B15)</f>
        <v>444692548</v>
      </c>
      <c r="C16" s="590">
        <f t="shared" si="4"/>
        <v>1331764428</v>
      </c>
      <c r="D16" s="590">
        <f t="shared" si="4"/>
        <v>1776456976</v>
      </c>
      <c r="E16" s="590">
        <f t="shared" si="4"/>
        <v>933651756</v>
      </c>
      <c r="F16" s="590">
        <f t="shared" si="4"/>
        <v>197227973</v>
      </c>
      <c r="G16" s="590">
        <f t="shared" si="4"/>
        <v>594765843</v>
      </c>
      <c r="H16" s="590">
        <f t="shared" si="4"/>
        <v>86500</v>
      </c>
      <c r="I16" s="590">
        <f t="shared" si="4"/>
        <v>24250000</v>
      </c>
      <c r="J16" s="590">
        <f t="shared" si="4"/>
        <v>26474904</v>
      </c>
      <c r="K16" s="954">
        <f>SUM(K10:K15)</f>
        <v>1776456976</v>
      </c>
    </row>
    <row r="17" spans="3:8" s="654" customFormat="1" ht="11.25" x14ac:dyDescent="0.2">
      <c r="D17" s="878"/>
    </row>
    <row r="18" spans="3:8" s="654" customFormat="1" ht="11.25" x14ac:dyDescent="0.2">
      <c r="D18" s="878"/>
    </row>
    <row r="19" spans="3:8" s="655" customFormat="1" x14ac:dyDescent="0.2">
      <c r="D19" s="879"/>
    </row>
    <row r="20" spans="3:8" s="655" customFormat="1" x14ac:dyDescent="0.2">
      <c r="D20" s="879"/>
    </row>
    <row r="21" spans="3:8" s="655" customFormat="1" x14ac:dyDescent="0.2">
      <c r="D21" s="879"/>
    </row>
    <row r="22" spans="3:8" s="655" customFormat="1" x14ac:dyDescent="0.2">
      <c r="D22" s="879"/>
    </row>
    <row r="23" spans="3:8" s="655" customFormat="1" x14ac:dyDescent="0.2">
      <c r="D23" s="879"/>
    </row>
    <row r="24" spans="3:8" s="655" customFormat="1" x14ac:dyDescent="0.2">
      <c r="D24" s="879"/>
    </row>
    <row r="25" spans="3:8" s="655" customFormat="1" x14ac:dyDescent="0.2">
      <c r="D25" s="879"/>
    </row>
    <row r="26" spans="3:8" s="655" customFormat="1" x14ac:dyDescent="0.2">
      <c r="D26" s="879"/>
    </row>
    <row r="27" spans="3:8" x14ac:dyDescent="0.2">
      <c r="C27" s="392"/>
      <c r="G27" s="392"/>
      <c r="H27" s="392"/>
    </row>
    <row r="33" spans="11:11" x14ac:dyDescent="0.2">
      <c r="K33" s="393"/>
    </row>
  </sheetData>
  <mergeCells count="4">
    <mergeCell ref="A7:A9"/>
    <mergeCell ref="B7:D7"/>
    <mergeCell ref="E7:K7"/>
    <mergeCell ref="H8:H9"/>
  </mergeCells>
  <pageMargins left="0.75" right="0.75" top="1" bottom="1" header="0.5" footer="0.5"/>
  <pageSetup paperSize="9" scale="84" fitToHeight="0" orientation="landscape" r:id="rId1"/>
  <headerFooter alignWithMargins="0">
    <oddHeader>&amp;R26. melléklet a 11/2018.(V.31.)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view="pageLayout" zoomScaleNormal="100" workbookViewId="0">
      <selection activeCell="D3" sqref="D3"/>
    </sheetView>
  </sheetViews>
  <sheetFormatPr defaultColWidth="10.6640625" defaultRowHeight="12.75" x14ac:dyDescent="0.2"/>
  <cols>
    <col min="1" max="1" width="10" style="395" customWidth="1"/>
    <col min="2" max="2" width="37.33203125" style="395" customWidth="1"/>
    <col min="3" max="3" width="24.83203125" style="395" customWidth="1"/>
    <col min="4" max="4" width="22.6640625" style="395" customWidth="1"/>
    <col min="5" max="5" width="11.6640625" style="395" bestFit="1" customWidth="1"/>
    <col min="6" max="16384" width="10.6640625" style="395"/>
  </cols>
  <sheetData>
    <row r="1" spans="1:6" ht="15.75" x14ac:dyDescent="0.25">
      <c r="A1" s="394"/>
      <c r="B1" s="394"/>
      <c r="C1" s="394"/>
      <c r="D1" s="591"/>
    </row>
    <row r="2" spans="1:6" ht="15.75" x14ac:dyDescent="0.25">
      <c r="A2" s="394"/>
      <c r="B2" s="394"/>
      <c r="C2" s="394"/>
      <c r="D2" s="396"/>
    </row>
    <row r="3" spans="1:6" ht="15.75" x14ac:dyDescent="0.25">
      <c r="A3" s="394"/>
      <c r="B3" s="394"/>
      <c r="C3" s="394"/>
      <c r="D3" s="591"/>
    </row>
    <row r="4" spans="1:6" ht="15.75" x14ac:dyDescent="0.25">
      <c r="A4" s="394"/>
      <c r="B4" s="394"/>
      <c r="C4" s="394"/>
      <c r="D4" s="592"/>
    </row>
    <row r="5" spans="1:6" ht="15.75" x14ac:dyDescent="0.25">
      <c r="A5" s="394"/>
      <c r="B5" s="394"/>
      <c r="C5" s="394"/>
      <c r="D5" s="592"/>
    </row>
    <row r="6" spans="1:6" ht="15.75" x14ac:dyDescent="0.25">
      <c r="A6" s="394"/>
      <c r="B6" s="394"/>
      <c r="C6" s="394"/>
      <c r="D6" s="593"/>
    </row>
    <row r="7" spans="1:6" ht="19.5" x14ac:dyDescent="0.35">
      <c r="A7" s="397" t="s">
        <v>386</v>
      </c>
      <c r="B7" s="397"/>
      <c r="C7" s="397"/>
      <c r="D7" s="594"/>
    </row>
    <row r="8" spans="1:6" ht="19.5" x14ac:dyDescent="0.35">
      <c r="A8" s="397" t="s">
        <v>626</v>
      </c>
      <c r="B8" s="397"/>
      <c r="C8" s="397"/>
      <c r="D8" s="594"/>
    </row>
    <row r="9" spans="1:6" ht="19.5" x14ac:dyDescent="0.35">
      <c r="A9" s="397"/>
      <c r="B9" s="397"/>
      <c r="C9" s="397"/>
      <c r="D9" s="594"/>
    </row>
    <row r="10" spans="1:6" ht="19.5" x14ac:dyDescent="0.35">
      <c r="A10" s="397"/>
      <c r="B10" s="397"/>
      <c r="C10" s="397"/>
      <c r="D10" s="594"/>
    </row>
    <row r="11" spans="1:6" ht="19.5" x14ac:dyDescent="0.35">
      <c r="A11" s="397"/>
      <c r="B11" s="397"/>
      <c r="C11" s="397"/>
      <c r="D11" s="594"/>
    </row>
    <row r="12" spans="1:6" ht="19.5" x14ac:dyDescent="0.35">
      <c r="A12" s="397"/>
      <c r="B12" s="397"/>
      <c r="C12" s="397"/>
      <c r="D12" s="594"/>
    </row>
    <row r="13" spans="1:6" ht="16.5" thickBot="1" x14ac:dyDescent="0.3">
      <c r="A13" s="394"/>
      <c r="B13" s="394"/>
      <c r="C13" s="394"/>
      <c r="D13" s="595" t="s">
        <v>5</v>
      </c>
    </row>
    <row r="14" spans="1:6" s="401" customFormat="1" ht="33" customHeight="1" thickBot="1" x14ac:dyDescent="0.25">
      <c r="A14" s="398" t="s">
        <v>66</v>
      </c>
      <c r="B14" s="399"/>
      <c r="C14" s="400"/>
      <c r="D14" s="596" t="s">
        <v>59</v>
      </c>
    </row>
    <row r="15" spans="1:6" ht="16.5" thickBot="1" x14ac:dyDescent="0.3">
      <c r="A15" s="696" t="s">
        <v>63</v>
      </c>
      <c r="B15" s="697"/>
      <c r="C15" s="698"/>
      <c r="D15" s="848">
        <f>6526975+266142</f>
        <v>6793117</v>
      </c>
      <c r="E15" s="402"/>
      <c r="F15" s="403"/>
    </row>
    <row r="16" spans="1:6" ht="15.75" x14ac:dyDescent="0.25">
      <c r="A16" s="691" t="s">
        <v>388</v>
      </c>
      <c r="B16" s="700"/>
      <c r="C16" s="701"/>
      <c r="D16" s="702"/>
      <c r="E16" s="403"/>
      <c r="F16" s="403"/>
    </row>
    <row r="17" spans="1:6" x14ac:dyDescent="0.2">
      <c r="A17" s="599" t="s">
        <v>389</v>
      </c>
      <c r="B17" s="600"/>
      <c r="C17" s="692"/>
      <c r="D17" s="597">
        <v>3130181</v>
      </c>
      <c r="E17" s="601"/>
      <c r="F17" s="598"/>
    </row>
    <row r="18" spans="1:6" x14ac:dyDescent="0.2">
      <c r="A18" s="599" t="s">
        <v>713</v>
      </c>
      <c r="B18" s="600"/>
      <c r="C18" s="692"/>
      <c r="D18" s="597">
        <v>200000</v>
      </c>
      <c r="E18" s="601"/>
      <c r="F18" s="598"/>
    </row>
    <row r="19" spans="1:6" x14ac:dyDescent="0.2">
      <c r="A19" s="599" t="s">
        <v>555</v>
      </c>
      <c r="B19" s="600"/>
      <c r="C19" s="692"/>
      <c r="D19" s="597">
        <v>4504494</v>
      </c>
      <c r="E19" s="601"/>
      <c r="F19" s="603"/>
    </row>
    <row r="20" spans="1:6" x14ac:dyDescent="0.2">
      <c r="A20" s="599" t="s">
        <v>604</v>
      </c>
      <c r="B20" s="600"/>
      <c r="C20" s="692"/>
      <c r="D20" s="597">
        <v>2540590</v>
      </c>
      <c r="E20" s="601"/>
      <c r="F20" s="603"/>
    </row>
    <row r="21" spans="1:6" x14ac:dyDescent="0.2">
      <c r="A21" s="602" t="s">
        <v>413</v>
      </c>
      <c r="B21" s="600"/>
      <c r="C21" s="692"/>
      <c r="D21" s="597">
        <v>36771408</v>
      </c>
      <c r="E21" s="601"/>
      <c r="F21" s="598"/>
    </row>
    <row r="22" spans="1:6" x14ac:dyDescent="0.2">
      <c r="A22" s="658" t="s">
        <v>6</v>
      </c>
      <c r="B22" s="659"/>
      <c r="C22" s="692"/>
      <c r="D22" s="597">
        <v>400000</v>
      </c>
      <c r="E22" s="601"/>
      <c r="F22" s="598"/>
    </row>
    <row r="23" spans="1:6" x14ac:dyDescent="0.2">
      <c r="A23" s="658" t="s">
        <v>606</v>
      </c>
      <c r="B23" s="659"/>
      <c r="C23" s="692"/>
      <c r="D23" s="597">
        <v>846565</v>
      </c>
      <c r="E23" s="601"/>
      <c r="F23" s="598"/>
    </row>
    <row r="24" spans="1:6" x14ac:dyDescent="0.2">
      <c r="A24" s="658" t="s">
        <v>609</v>
      </c>
      <c r="B24" s="659"/>
      <c r="C24" s="692"/>
      <c r="D24" s="597">
        <v>6007265</v>
      </c>
      <c r="E24" s="601"/>
      <c r="F24" s="598"/>
    </row>
    <row r="25" spans="1:6" x14ac:dyDescent="0.2">
      <c r="A25" s="658" t="s">
        <v>712</v>
      </c>
      <c r="B25" s="659"/>
      <c r="C25" s="692"/>
      <c r="D25" s="597">
        <v>4500000</v>
      </c>
      <c r="E25" s="601"/>
      <c r="F25" s="598"/>
    </row>
    <row r="26" spans="1:6" x14ac:dyDescent="0.2">
      <c r="A26" s="960" t="s">
        <v>743</v>
      </c>
      <c r="B26" s="957"/>
      <c r="C26" s="958"/>
      <c r="D26" s="959">
        <v>750000</v>
      </c>
      <c r="E26" s="601"/>
      <c r="F26" s="598"/>
    </row>
    <row r="27" spans="1:6" ht="16.5" thickBot="1" x14ac:dyDescent="0.3">
      <c r="A27" s="693" t="s">
        <v>390</v>
      </c>
      <c r="B27" s="694"/>
      <c r="C27" s="695"/>
      <c r="D27" s="961">
        <f>SUM(D17:D26)</f>
        <v>59650503</v>
      </c>
    </row>
    <row r="28" spans="1:6" ht="16.5" thickBot="1" x14ac:dyDescent="0.3">
      <c r="A28" s="703"/>
      <c r="B28" s="704"/>
      <c r="C28" s="705"/>
      <c r="D28" s="705"/>
    </row>
    <row r="29" spans="1:6" ht="16.5" thickBot="1" x14ac:dyDescent="0.3">
      <c r="A29" s="696" t="s">
        <v>391</v>
      </c>
      <c r="B29" s="697"/>
      <c r="C29" s="698"/>
      <c r="D29" s="699">
        <f>SUM(D15,D27)</f>
        <v>66443620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&amp;R27. melléklet a 11/2018.(V.31.)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zoomScale="85" zoomScaleNormal="100" zoomScaleSheetLayoutView="85" zoomScalePageLayoutView="85" workbookViewId="0">
      <selection activeCell="A3" sqref="A3:H3"/>
    </sheetView>
  </sheetViews>
  <sheetFormatPr defaultRowHeight="15.75" x14ac:dyDescent="0.25"/>
  <cols>
    <col min="1" max="1" width="9" style="343" customWidth="1"/>
    <col min="2" max="2" width="75.83203125" style="343" customWidth="1"/>
    <col min="3" max="3" width="16.5" style="808" customWidth="1"/>
    <col min="4" max="4" width="15.5" style="808" customWidth="1"/>
    <col min="5" max="7" width="15.5" style="808" hidden="1" customWidth="1"/>
    <col min="8" max="8" width="15.5" style="808" customWidth="1"/>
    <col min="9" max="9" width="14.33203125" style="327" hidden="1" customWidth="1"/>
    <col min="10" max="10" width="12.6640625" style="327" hidden="1" customWidth="1"/>
    <col min="11" max="11" width="14.33203125" style="327" hidden="1" customWidth="1"/>
    <col min="12" max="16384" width="9.33203125" style="327"/>
  </cols>
  <sheetData>
    <row r="1" spans="1:11" ht="35.25" customHeight="1" x14ac:dyDescent="0.25">
      <c r="A1" s="1041" t="s">
        <v>722</v>
      </c>
      <c r="B1" s="1042"/>
      <c r="C1" s="1042"/>
      <c r="D1" s="1042"/>
      <c r="E1" s="1042"/>
      <c r="F1" s="1042"/>
      <c r="G1" s="1042"/>
      <c r="H1" s="1042"/>
    </row>
    <row r="3" spans="1:11" ht="15.95" customHeight="1" x14ac:dyDescent="0.25">
      <c r="A3" s="993" t="s">
        <v>19</v>
      </c>
      <c r="B3" s="993"/>
      <c r="C3" s="993"/>
      <c r="D3" s="993"/>
      <c r="E3" s="993"/>
      <c r="F3" s="993"/>
      <c r="G3" s="993"/>
      <c r="H3" s="993"/>
    </row>
    <row r="4" spans="1:11" ht="15.95" customHeight="1" thickBot="1" x14ac:dyDescent="0.3">
      <c r="A4" s="992" t="s">
        <v>140</v>
      </c>
      <c r="B4" s="992"/>
      <c r="C4" s="791"/>
      <c r="D4" s="791"/>
      <c r="E4" s="792"/>
      <c r="F4" s="792"/>
      <c r="G4" s="792"/>
      <c r="H4" s="793" t="s">
        <v>601</v>
      </c>
    </row>
    <row r="5" spans="1:11" ht="38.1" customHeight="1" thickBot="1" x14ac:dyDescent="0.3">
      <c r="A5" s="22" t="s">
        <v>73</v>
      </c>
      <c r="B5" s="23" t="s">
        <v>21</v>
      </c>
      <c r="C5" s="794" t="s">
        <v>714</v>
      </c>
      <c r="D5" s="794" t="s">
        <v>627</v>
      </c>
      <c r="E5" s="795"/>
      <c r="F5" s="795"/>
      <c r="G5" s="795"/>
      <c r="H5" s="796" t="s">
        <v>617</v>
      </c>
    </row>
    <row r="6" spans="1:11" s="328" customFormat="1" ht="12" customHeight="1" thickBot="1" x14ac:dyDescent="0.25">
      <c r="A6" s="31" t="s">
        <v>466</v>
      </c>
      <c r="B6" s="32" t="s">
        <v>467</v>
      </c>
      <c r="C6" s="726" t="s">
        <v>468</v>
      </c>
      <c r="D6" s="726" t="s">
        <v>521</v>
      </c>
      <c r="E6" s="797"/>
      <c r="F6" s="797"/>
      <c r="G6" s="797"/>
      <c r="H6" s="767" t="s">
        <v>522</v>
      </c>
    </row>
    <row r="7" spans="1:11" s="330" customFormat="1" ht="12" customHeight="1" thickBot="1" x14ac:dyDescent="0.25">
      <c r="A7" s="19" t="s">
        <v>22</v>
      </c>
      <c r="B7" s="20" t="s">
        <v>201</v>
      </c>
      <c r="C7" s="726">
        <f>SUM(C8:C13)</f>
        <v>1024115149</v>
      </c>
      <c r="D7" s="727">
        <f>SUM(D8:D13)</f>
        <v>1157368280</v>
      </c>
      <c r="E7" s="728">
        <f>+E8+E9+E10+E11+E12+E13</f>
        <v>1133144785</v>
      </c>
      <c r="F7" s="727">
        <f>+F8+F9+F10+F11+F12+F13</f>
        <v>0</v>
      </c>
      <c r="G7" s="727">
        <f>+G8+G9+G10+G11+G12+G13</f>
        <v>0</v>
      </c>
      <c r="H7" s="157">
        <f t="shared" ref="H7:H38" si="0">SUM(I7:K7)</f>
        <v>1319904176</v>
      </c>
      <c r="I7" s="329">
        <f>+I8+I9+I10+I11+I12+I13</f>
        <v>1319904176</v>
      </c>
      <c r="J7" s="157">
        <f>+J8+J9+J10+J11+J12+J13</f>
        <v>0</v>
      </c>
      <c r="K7" s="157">
        <f>+K8+K9+K10+K11+K12+K13</f>
        <v>0</v>
      </c>
    </row>
    <row r="8" spans="1:11" s="330" customFormat="1" ht="12" customHeight="1" x14ac:dyDescent="0.2">
      <c r="A8" s="14" t="s">
        <v>98</v>
      </c>
      <c r="B8" s="352" t="s">
        <v>202</v>
      </c>
      <c r="C8" s="729">
        <v>231987612</v>
      </c>
      <c r="D8" s="730">
        <f>SUM(E8:G8)+905743</f>
        <v>228418282</v>
      </c>
      <c r="E8" s="731">
        <v>227512539</v>
      </c>
      <c r="F8" s="732"/>
      <c r="G8" s="732"/>
      <c r="H8" s="811">
        <f t="shared" si="0"/>
        <v>227855923</v>
      </c>
      <c r="I8" s="279">
        <v>227855923</v>
      </c>
      <c r="J8" s="279"/>
      <c r="K8" s="279"/>
    </row>
    <row r="9" spans="1:11" s="330" customFormat="1" ht="12" customHeight="1" x14ac:dyDescent="0.2">
      <c r="A9" s="13" t="s">
        <v>99</v>
      </c>
      <c r="B9" s="353" t="s">
        <v>203</v>
      </c>
      <c r="C9" s="733">
        <v>218221810</v>
      </c>
      <c r="D9" s="734">
        <f>SUM(E9:G9)+10461768-4721982-4278000</f>
        <v>219569080</v>
      </c>
      <c r="E9" s="735">
        <v>218107294</v>
      </c>
      <c r="F9" s="736"/>
      <c r="G9" s="736"/>
      <c r="H9" s="367">
        <f t="shared" si="0"/>
        <v>224734134</v>
      </c>
      <c r="I9" s="161">
        <v>224734134</v>
      </c>
      <c r="J9" s="161"/>
      <c r="K9" s="161"/>
    </row>
    <row r="10" spans="1:11" s="330" customFormat="1" ht="12" customHeight="1" x14ac:dyDescent="0.2">
      <c r="A10" s="13" t="s">
        <v>100</v>
      </c>
      <c r="B10" s="353" t="s">
        <v>204</v>
      </c>
      <c r="C10" s="733">
        <v>534266192</v>
      </c>
      <c r="D10" s="734">
        <f>SUM(E10:G10)-35761000-1921230+31350000</f>
        <v>597207802</v>
      </c>
      <c r="E10" s="735">
        <f>121200000+67844165+118423160+15562200+177597260+4526280+11511000+24250000+62625967</f>
        <v>603540032</v>
      </c>
      <c r="F10" s="736"/>
      <c r="G10" s="736"/>
      <c r="H10" s="367">
        <f t="shared" si="0"/>
        <v>565964345</v>
      </c>
      <c r="I10" s="161">
        <f>126991000+65060600+119410000+192410145+62092600</f>
        <v>565964345</v>
      </c>
      <c r="J10" s="161"/>
      <c r="K10" s="161"/>
    </row>
    <row r="11" spans="1:11" s="330" customFormat="1" ht="12" customHeight="1" x14ac:dyDescent="0.2">
      <c r="A11" s="13" t="s">
        <v>101</v>
      </c>
      <c r="B11" s="353" t="s">
        <v>205</v>
      </c>
      <c r="C11" s="733">
        <v>26942276</v>
      </c>
      <c r="D11" s="734">
        <f>SUM(E11:G11)-4412740+4412740+1038248</f>
        <v>31342308</v>
      </c>
      <c r="E11" s="735">
        <f>4412740+15262320+10629000</f>
        <v>30304060</v>
      </c>
      <c r="F11" s="736"/>
      <c r="G11" s="736"/>
      <c r="H11" s="367">
        <f t="shared" si="0"/>
        <v>28744040</v>
      </c>
      <c r="I11" s="161">
        <f>16122040+12622000</f>
        <v>28744040</v>
      </c>
      <c r="J11" s="161"/>
      <c r="K11" s="161"/>
    </row>
    <row r="12" spans="1:11" s="330" customFormat="1" ht="12" customHeight="1" x14ac:dyDescent="0.2">
      <c r="A12" s="13" t="s">
        <v>137</v>
      </c>
      <c r="B12" s="707" t="s">
        <v>469</v>
      </c>
      <c r="C12" s="733">
        <v>1738907</v>
      </c>
      <c r="D12" s="734">
        <f>SUM(E12:G12)+23885805+49094027+4501192-4412740-15000000+306000-31224336</f>
        <v>80830808</v>
      </c>
      <c r="E12" s="735">
        <f>3551000+1060845+168707597+58000+128000-119824582</f>
        <v>53680860</v>
      </c>
      <c r="F12" s="736"/>
      <c r="G12" s="736"/>
      <c r="H12" s="367">
        <f t="shared" si="0"/>
        <v>272605734</v>
      </c>
      <c r="I12" s="161">
        <f>16254886+63796813+190231327+1309600+1013108</f>
        <v>272605734</v>
      </c>
      <c r="J12" s="161"/>
      <c r="K12" s="161"/>
    </row>
    <row r="13" spans="1:11" s="330" customFormat="1" ht="12" customHeight="1" thickBot="1" x14ac:dyDescent="0.25">
      <c r="A13" s="15" t="s">
        <v>102</v>
      </c>
      <c r="B13" s="708" t="s">
        <v>470</v>
      </c>
      <c r="C13" s="737">
        <v>10958352</v>
      </c>
      <c r="D13" s="738">
        <f>SUM(E13:G13)</f>
        <v>0</v>
      </c>
      <c r="E13" s="739"/>
      <c r="F13" s="740"/>
      <c r="G13" s="740"/>
      <c r="H13" s="812">
        <f t="shared" si="0"/>
        <v>0</v>
      </c>
      <c r="I13" s="145"/>
      <c r="J13" s="158"/>
      <c r="K13" s="158"/>
    </row>
    <row r="14" spans="1:11" s="330" customFormat="1" ht="12" customHeight="1" thickBot="1" x14ac:dyDescent="0.25">
      <c r="A14" s="19" t="s">
        <v>23</v>
      </c>
      <c r="B14" s="709" t="s">
        <v>206</v>
      </c>
      <c r="C14" s="741">
        <v>710827871</v>
      </c>
      <c r="D14" s="728">
        <f>SUM(D15:D19)</f>
        <v>335849323</v>
      </c>
      <c r="E14" s="728">
        <f>+E15+E16+E17+E18+E19</f>
        <v>-145452435</v>
      </c>
      <c r="F14" s="727">
        <f>+F15+F16+F17+F18+F19</f>
        <v>0</v>
      </c>
      <c r="G14" s="727">
        <f>+G15+G16+G17+G18+G19</f>
        <v>5485000</v>
      </c>
      <c r="H14" s="157">
        <f t="shared" si="0"/>
        <v>261819841</v>
      </c>
      <c r="I14" s="329">
        <f>+I15+I16+I17+I18+I19</f>
        <v>239190449</v>
      </c>
      <c r="J14" s="157">
        <f>+J15+J16+J17+J18+J19</f>
        <v>3116857</v>
      </c>
      <c r="K14" s="157">
        <f>+K15+K16+K17+K18+K19</f>
        <v>19512535</v>
      </c>
    </row>
    <row r="15" spans="1:11" s="330" customFormat="1" ht="12" customHeight="1" x14ac:dyDescent="0.2">
      <c r="A15" s="14" t="s">
        <v>104</v>
      </c>
      <c r="B15" s="352" t="s">
        <v>207</v>
      </c>
      <c r="C15" s="733"/>
      <c r="D15" s="730">
        <f>SUM(E15:G15)</f>
        <v>0</v>
      </c>
      <c r="E15" s="742"/>
      <c r="F15" s="743"/>
      <c r="G15" s="743"/>
      <c r="H15" s="813">
        <f t="shared" si="0"/>
        <v>0</v>
      </c>
      <c r="I15" s="331"/>
      <c r="J15" s="159"/>
      <c r="K15" s="159"/>
    </row>
    <row r="16" spans="1:11" s="330" customFormat="1" ht="12" customHeight="1" x14ac:dyDescent="0.2">
      <c r="A16" s="13" t="s">
        <v>105</v>
      </c>
      <c r="B16" s="353" t="s">
        <v>208</v>
      </c>
      <c r="C16" s="733"/>
      <c r="D16" s="744">
        <f>SUM(E16:G16)</f>
        <v>0</v>
      </c>
      <c r="E16" s="739"/>
      <c r="F16" s="740"/>
      <c r="G16" s="740"/>
      <c r="H16" s="367">
        <f t="shared" si="0"/>
        <v>0</v>
      </c>
      <c r="I16" s="145"/>
      <c r="J16" s="158"/>
      <c r="K16" s="158"/>
    </row>
    <row r="17" spans="1:11" s="330" customFormat="1" ht="12" customHeight="1" x14ac:dyDescent="0.2">
      <c r="A17" s="13" t="s">
        <v>106</v>
      </c>
      <c r="B17" s="353" t="s">
        <v>377</v>
      </c>
      <c r="C17" s="733"/>
      <c r="D17" s="734">
        <f>SUM(E17:G17)</f>
        <v>0</v>
      </c>
      <c r="E17" s="739"/>
      <c r="F17" s="740"/>
      <c r="G17" s="740"/>
      <c r="H17" s="367">
        <f t="shared" si="0"/>
        <v>0</v>
      </c>
      <c r="I17" s="145"/>
      <c r="J17" s="158"/>
      <c r="K17" s="158"/>
    </row>
    <row r="18" spans="1:11" s="330" customFormat="1" ht="12" customHeight="1" x14ac:dyDescent="0.2">
      <c r="A18" s="13" t="s">
        <v>107</v>
      </c>
      <c r="B18" s="353" t="s">
        <v>378</v>
      </c>
      <c r="C18" s="733"/>
      <c r="D18" s="734">
        <f>SUM(E18:G18)</f>
        <v>0</v>
      </c>
      <c r="E18" s="739"/>
      <c r="F18" s="740"/>
      <c r="G18" s="740"/>
      <c r="H18" s="367">
        <f t="shared" si="0"/>
        <v>0</v>
      </c>
      <c r="I18" s="145"/>
      <c r="J18" s="158"/>
      <c r="K18" s="158"/>
    </row>
    <row r="19" spans="1:11" s="330" customFormat="1" ht="12" customHeight="1" x14ac:dyDescent="0.2">
      <c r="A19" s="13" t="s">
        <v>108</v>
      </c>
      <c r="B19" s="353" t="s">
        <v>209</v>
      </c>
      <c r="C19" s="733">
        <v>710827871</v>
      </c>
      <c r="D19" s="734">
        <f>SUM(E19:G19)+326152588+94906504+10325405+7215044+33734217+3483000</f>
        <v>335849323</v>
      </c>
      <c r="E19" s="735">
        <f>2285000+210000+110446000+65342000-323735435</f>
        <v>-145452435</v>
      </c>
      <c r="F19" s="736"/>
      <c r="G19" s="736">
        <v>5485000</v>
      </c>
      <c r="H19" s="510">
        <f t="shared" si="0"/>
        <v>261819841</v>
      </c>
      <c r="I19" s="313">
        <f>3900000+4320000+125887110+24250000-344442+81177781</f>
        <v>239190449</v>
      </c>
      <c r="J19" s="310">
        <f>3096237+20620</f>
        <v>3116857</v>
      </c>
      <c r="K19" s="161">
        <v>19512535</v>
      </c>
    </row>
    <row r="20" spans="1:11" s="330" customFormat="1" ht="12" customHeight="1" thickBot="1" x14ac:dyDescent="0.25">
      <c r="A20" s="15" t="s">
        <v>117</v>
      </c>
      <c r="B20" s="708" t="s">
        <v>210</v>
      </c>
      <c r="C20" s="737"/>
      <c r="D20" s="738">
        <f>374405+16502729</f>
        <v>16877134</v>
      </c>
      <c r="E20" s="745"/>
      <c r="F20" s="746"/>
      <c r="G20" s="746"/>
      <c r="H20" s="885">
        <f t="shared" si="0"/>
        <v>85930791</v>
      </c>
      <c r="I20" s="312">
        <v>85531256</v>
      </c>
      <c r="J20" s="230"/>
      <c r="K20" s="230">
        <v>399535</v>
      </c>
    </row>
    <row r="21" spans="1:11" s="330" customFormat="1" ht="12" customHeight="1" thickBot="1" x14ac:dyDescent="0.25">
      <c r="A21" s="19" t="s">
        <v>24</v>
      </c>
      <c r="B21" s="706" t="s">
        <v>211</v>
      </c>
      <c r="C21" s="741">
        <v>92052777</v>
      </c>
      <c r="D21" s="728">
        <f>SUM(D22:D26)</f>
        <v>532260298</v>
      </c>
      <c r="E21" s="728">
        <f>+E22+E23+E24+E25+E26</f>
        <v>-11381976</v>
      </c>
      <c r="F21" s="727">
        <f>+F22+F23+F24+F25+F26</f>
        <v>0</v>
      </c>
      <c r="G21" s="727">
        <f>+G22+G23+G24+G25+G26</f>
        <v>0</v>
      </c>
      <c r="H21" s="157">
        <f t="shared" si="0"/>
        <v>73301322</v>
      </c>
      <c r="I21" s="329">
        <f>+I22+I23+I24+I25+I26</f>
        <v>73301322</v>
      </c>
      <c r="J21" s="157">
        <f>+J22+J23+J24+J25+J26</f>
        <v>0</v>
      </c>
      <c r="K21" s="157">
        <f>+K22+K23+K24+K25+K26</f>
        <v>0</v>
      </c>
    </row>
    <row r="22" spans="1:11" s="330" customFormat="1" ht="12" customHeight="1" x14ac:dyDescent="0.2">
      <c r="A22" s="14" t="s">
        <v>87</v>
      </c>
      <c r="B22" s="352" t="s">
        <v>212</v>
      </c>
      <c r="C22" s="733">
        <v>20850665</v>
      </c>
      <c r="D22" s="730">
        <f>SUM(E22:G22)+15690532</f>
        <v>15690532</v>
      </c>
      <c r="E22" s="747"/>
      <c r="F22" s="748"/>
      <c r="G22" s="748"/>
      <c r="H22" s="813">
        <f t="shared" si="0"/>
        <v>0</v>
      </c>
      <c r="I22" s="355"/>
      <c r="J22" s="307"/>
      <c r="K22" s="307"/>
    </row>
    <row r="23" spans="1:11" s="330" customFormat="1" ht="12" customHeight="1" x14ac:dyDescent="0.2">
      <c r="A23" s="13" t="s">
        <v>88</v>
      </c>
      <c r="B23" s="353" t="s">
        <v>213</v>
      </c>
      <c r="C23" s="733"/>
      <c r="D23" s="744">
        <f>SUM(E23:G23)</f>
        <v>0</v>
      </c>
      <c r="E23" s="735"/>
      <c r="F23" s="736"/>
      <c r="G23" s="736"/>
      <c r="H23" s="814">
        <f t="shared" si="0"/>
        <v>0</v>
      </c>
      <c r="I23" s="308"/>
      <c r="J23" s="161"/>
      <c r="K23" s="161"/>
    </row>
    <row r="24" spans="1:11" s="330" customFormat="1" ht="12" customHeight="1" x14ac:dyDescent="0.2">
      <c r="A24" s="13" t="s">
        <v>89</v>
      </c>
      <c r="B24" s="353" t="s">
        <v>379</v>
      </c>
      <c r="C24" s="733"/>
      <c r="D24" s="744">
        <f>SUM(E24:G24)</f>
        <v>0</v>
      </c>
      <c r="E24" s="735"/>
      <c r="F24" s="736"/>
      <c r="G24" s="736"/>
      <c r="H24" s="367">
        <f t="shared" si="0"/>
        <v>0</v>
      </c>
      <c r="I24" s="308"/>
      <c r="J24" s="161"/>
      <c r="K24" s="161"/>
    </row>
    <row r="25" spans="1:11" s="330" customFormat="1" ht="12" customHeight="1" x14ac:dyDescent="0.2">
      <c r="A25" s="13" t="s">
        <v>90</v>
      </c>
      <c r="B25" s="353" t="s">
        <v>380</v>
      </c>
      <c r="C25" s="733"/>
      <c r="D25" s="744">
        <f>SUM(E25:G25)</f>
        <v>0</v>
      </c>
      <c r="E25" s="735"/>
      <c r="F25" s="736"/>
      <c r="G25" s="736"/>
      <c r="H25" s="367">
        <f t="shared" si="0"/>
        <v>0</v>
      </c>
      <c r="I25" s="308"/>
      <c r="J25" s="161"/>
      <c r="K25" s="161"/>
    </row>
    <row r="26" spans="1:11" s="330" customFormat="1" ht="12" customHeight="1" x14ac:dyDescent="0.2">
      <c r="A26" s="13" t="s">
        <v>148</v>
      </c>
      <c r="B26" s="353" t="s">
        <v>214</v>
      </c>
      <c r="C26" s="733">
        <v>71202112</v>
      </c>
      <c r="D26" s="744">
        <f>SUM(E26:G26)+15179276+93705029+216916507+202150930</f>
        <v>516569766</v>
      </c>
      <c r="E26" s="735">
        <f>3797300-15179276</f>
        <v>-11381976</v>
      </c>
      <c r="F26" s="736"/>
      <c r="G26" s="736"/>
      <c r="H26" s="510">
        <f t="shared" si="0"/>
        <v>73301322</v>
      </c>
      <c r="I26" s="308">
        <f>5866130+3779393+3796748+59859051</f>
        <v>73301322</v>
      </c>
      <c r="J26" s="161"/>
      <c r="K26" s="161"/>
    </row>
    <row r="27" spans="1:11" s="330" customFormat="1" ht="12" customHeight="1" thickBot="1" x14ac:dyDescent="0.25">
      <c r="A27" s="15" t="s">
        <v>149</v>
      </c>
      <c r="B27" s="354" t="s">
        <v>215</v>
      </c>
      <c r="C27" s="737">
        <v>71149405</v>
      </c>
      <c r="D27" s="749">
        <f>SUM(E27:G27)+91545029+214128350+202150930</f>
        <v>511621609</v>
      </c>
      <c r="E27" s="745">
        <v>3797300</v>
      </c>
      <c r="F27" s="746"/>
      <c r="G27" s="746"/>
      <c r="H27" s="885">
        <f t="shared" si="0"/>
        <v>68947847</v>
      </c>
      <c r="I27" s="312">
        <f>9645523+3796748+55505576</f>
        <v>68947847</v>
      </c>
      <c r="J27" s="230"/>
      <c r="K27" s="230"/>
    </row>
    <row r="28" spans="1:11" s="330" customFormat="1" ht="12" customHeight="1" thickBot="1" x14ac:dyDescent="0.25">
      <c r="A28" s="19" t="s">
        <v>150</v>
      </c>
      <c r="B28" s="706" t="s">
        <v>216</v>
      </c>
      <c r="C28" s="741">
        <f>C29+C33+C34+C35</f>
        <v>356945262</v>
      </c>
      <c r="D28" s="728">
        <f>SUM(D29)+SUM(D32:D35)</f>
        <v>366490000</v>
      </c>
      <c r="E28" s="750">
        <f>+E29+E33+E34+E35</f>
        <v>329390000</v>
      </c>
      <c r="F28" s="751">
        <f>+F29+F33+F34+F35</f>
        <v>0</v>
      </c>
      <c r="G28" s="751">
        <f>+G29+G33+G34+G35</f>
        <v>0</v>
      </c>
      <c r="H28" s="157">
        <f t="shared" si="0"/>
        <v>352658000</v>
      </c>
      <c r="I28" s="332">
        <f>+I29+I33+I34+I35</f>
        <v>352658000</v>
      </c>
      <c r="J28" s="162">
        <f>+J29+J33+J34+J35</f>
        <v>0</v>
      </c>
      <c r="K28" s="162">
        <f>+K29+K33+K34+K35</f>
        <v>0</v>
      </c>
    </row>
    <row r="29" spans="1:11" s="330" customFormat="1" ht="12" customHeight="1" x14ac:dyDescent="0.2">
      <c r="A29" s="14" t="s">
        <v>217</v>
      </c>
      <c r="B29" s="352" t="s">
        <v>7</v>
      </c>
      <c r="C29" s="733">
        <f>SUM(C30:C32)</f>
        <v>320366432</v>
      </c>
      <c r="D29" s="730">
        <f>SUM(D30:D31)</f>
        <v>327830000</v>
      </c>
      <c r="E29" s="730">
        <f>SUM(E30:E32)</f>
        <v>292830000</v>
      </c>
      <c r="F29" s="752"/>
      <c r="G29" s="752"/>
      <c r="H29" s="811">
        <f t="shared" si="0"/>
        <v>308654000</v>
      </c>
      <c r="I29" s="356">
        <f>SUM(I30:I32)</f>
        <v>308654000</v>
      </c>
      <c r="J29" s="236"/>
      <c r="K29" s="236"/>
    </row>
    <row r="30" spans="1:11" s="330" customFormat="1" ht="12" customHeight="1" x14ac:dyDescent="0.2">
      <c r="A30" s="13" t="s">
        <v>220</v>
      </c>
      <c r="B30" s="353" t="s">
        <v>9</v>
      </c>
      <c r="C30" s="733">
        <v>78837793</v>
      </c>
      <c r="D30" s="744">
        <f>SUM(E30:G30)</f>
        <v>78990000</v>
      </c>
      <c r="E30" s="739">
        <f>8990000+70000000</f>
        <v>78990000</v>
      </c>
      <c r="F30" s="740"/>
      <c r="G30" s="740"/>
      <c r="H30" s="367">
        <f t="shared" si="0"/>
        <v>77500000</v>
      </c>
      <c r="I30" s="145">
        <f>7500000+70000000</f>
        <v>77500000</v>
      </c>
      <c r="J30" s="158"/>
      <c r="K30" s="158"/>
    </row>
    <row r="31" spans="1:11" s="330" customFormat="1" ht="12" customHeight="1" x14ac:dyDescent="0.2">
      <c r="A31" s="13" t="s">
        <v>221</v>
      </c>
      <c r="B31" s="353" t="s">
        <v>571</v>
      </c>
      <c r="C31" s="733">
        <v>241343096</v>
      </c>
      <c r="D31" s="734">
        <f>SUM(E31:G31)+35000000</f>
        <v>248840000</v>
      </c>
      <c r="E31" s="739">
        <f>203840000+10000000</f>
        <v>213840000</v>
      </c>
      <c r="F31" s="740"/>
      <c r="G31" s="740"/>
      <c r="H31" s="367">
        <f t="shared" si="0"/>
        <v>231154000</v>
      </c>
      <c r="I31" s="145">
        <v>231154000</v>
      </c>
      <c r="J31" s="158"/>
      <c r="K31" s="158"/>
    </row>
    <row r="32" spans="1:11" s="330" customFormat="1" ht="12" customHeight="1" x14ac:dyDescent="0.2">
      <c r="A32" s="13" t="s">
        <v>222</v>
      </c>
      <c r="B32" s="353" t="s">
        <v>8</v>
      </c>
      <c r="C32" s="733">
        <v>185543</v>
      </c>
      <c r="D32" s="744">
        <f>SUM(E32:G32)</f>
        <v>0</v>
      </c>
      <c r="E32" s="735"/>
      <c r="F32" s="736"/>
      <c r="G32" s="736"/>
      <c r="H32" s="367">
        <f t="shared" si="0"/>
        <v>0</v>
      </c>
      <c r="I32" s="308"/>
      <c r="J32" s="161"/>
      <c r="K32" s="161"/>
    </row>
    <row r="33" spans="1:11" s="330" customFormat="1" ht="12" customHeight="1" x14ac:dyDescent="0.2">
      <c r="A33" s="13" t="s">
        <v>570</v>
      </c>
      <c r="B33" s="353" t="s">
        <v>225</v>
      </c>
      <c r="C33" s="733">
        <v>27707080</v>
      </c>
      <c r="D33" s="744">
        <f>SUM(E33:G33)</f>
        <v>27000000</v>
      </c>
      <c r="E33" s="739">
        <f>27000000</f>
        <v>27000000</v>
      </c>
      <c r="F33" s="740"/>
      <c r="G33" s="740"/>
      <c r="H33" s="367">
        <f t="shared" si="0"/>
        <v>28000000</v>
      </c>
      <c r="I33" s="145">
        <v>28000000</v>
      </c>
      <c r="J33" s="158"/>
      <c r="K33" s="158"/>
    </row>
    <row r="34" spans="1:11" s="330" customFormat="1" ht="12" customHeight="1" x14ac:dyDescent="0.2">
      <c r="A34" s="13" t="s">
        <v>584</v>
      </c>
      <c r="B34" s="353" t="s">
        <v>226</v>
      </c>
      <c r="C34" s="733">
        <v>3865671</v>
      </c>
      <c r="D34" s="744">
        <f>SUM(E34:G34)-4000000</f>
        <v>60000</v>
      </c>
      <c r="E34" s="739">
        <v>4060000</v>
      </c>
      <c r="F34" s="740"/>
      <c r="G34" s="740"/>
      <c r="H34" s="367">
        <f t="shared" si="0"/>
        <v>4000</v>
      </c>
      <c r="I34" s="145">
        <f>4000+4500000-4500000</f>
        <v>4000</v>
      </c>
      <c r="J34" s="158"/>
      <c r="K34" s="158"/>
    </row>
    <row r="35" spans="1:11" s="330" customFormat="1" ht="12" customHeight="1" thickBot="1" x14ac:dyDescent="0.25">
      <c r="A35" s="15" t="s">
        <v>585</v>
      </c>
      <c r="B35" s="354" t="s">
        <v>227</v>
      </c>
      <c r="C35" s="737">
        <v>5006079</v>
      </c>
      <c r="D35" s="749">
        <f>SUM(E35:G35)+4000000+2100000</f>
        <v>11600000</v>
      </c>
      <c r="E35" s="745">
        <v>5500000</v>
      </c>
      <c r="F35" s="746"/>
      <c r="G35" s="746"/>
      <c r="H35" s="812">
        <f t="shared" si="0"/>
        <v>16000000</v>
      </c>
      <c r="I35" s="312">
        <f>1500000+2000000+1000000+7000000+4500000</f>
        <v>16000000</v>
      </c>
      <c r="J35" s="230"/>
      <c r="K35" s="230"/>
    </row>
    <row r="36" spans="1:11" s="330" customFormat="1" ht="12" customHeight="1" thickBot="1" x14ac:dyDescent="0.25">
      <c r="A36" s="19" t="s">
        <v>26</v>
      </c>
      <c r="B36" s="706" t="s">
        <v>474</v>
      </c>
      <c r="C36" s="741">
        <f>SUM(C37:C47)</f>
        <v>438590106</v>
      </c>
      <c r="D36" s="728">
        <f>SUM(D37:D47)</f>
        <v>464679145</v>
      </c>
      <c r="E36" s="728">
        <f>SUM(E37:E47)</f>
        <v>54395907</v>
      </c>
      <c r="F36" s="727">
        <f>SUM(F37:F47)</f>
        <v>9416500</v>
      </c>
      <c r="G36" s="727">
        <f>SUM(G37:G47)</f>
        <v>385266178</v>
      </c>
      <c r="H36" s="157">
        <f t="shared" si="0"/>
        <v>438155968</v>
      </c>
      <c r="I36" s="329">
        <f>SUM(I37:I47)</f>
        <v>44104520</v>
      </c>
      <c r="J36" s="157">
        <f>SUM(J37:J47)</f>
        <v>8419440</v>
      </c>
      <c r="K36" s="157">
        <f>SUM(K37:K47)</f>
        <v>385632008</v>
      </c>
    </row>
    <row r="37" spans="1:11" s="330" customFormat="1" ht="12" customHeight="1" x14ac:dyDescent="0.2">
      <c r="A37" s="14" t="s">
        <v>91</v>
      </c>
      <c r="B37" s="352" t="s">
        <v>230</v>
      </c>
      <c r="C37" s="733">
        <v>13801743</v>
      </c>
      <c r="D37" s="753">
        <f>SUM(E37:G37)+5500000+275371-130000+3954000</f>
        <v>19744849</v>
      </c>
      <c r="E37" s="731">
        <f>3937000+4000000+5000000-2941522</f>
        <v>9995478</v>
      </c>
      <c r="F37" s="732"/>
      <c r="G37" s="732">
        <v>150000</v>
      </c>
      <c r="H37" s="811">
        <f t="shared" si="0"/>
        <v>12179000</v>
      </c>
      <c r="I37" s="335">
        <v>12159000</v>
      </c>
      <c r="J37" s="279"/>
      <c r="K37" s="279">
        <v>20000</v>
      </c>
    </row>
    <row r="38" spans="1:11" s="330" customFormat="1" ht="12" customHeight="1" x14ac:dyDescent="0.2">
      <c r="A38" s="13" t="s">
        <v>92</v>
      </c>
      <c r="B38" s="353" t="s">
        <v>231</v>
      </c>
      <c r="C38" s="733">
        <v>92246962</v>
      </c>
      <c r="D38" s="734">
        <f>SUM(E38:G38)+1813568-195228+4055000-5885856+1800934</f>
        <v>96708620</v>
      </c>
      <c r="E38" s="735">
        <f>100000+12004000+160000+7128864</f>
        <v>19392864</v>
      </c>
      <c r="F38" s="736">
        <v>7533500</v>
      </c>
      <c r="G38" s="732">
        <v>68193838</v>
      </c>
      <c r="H38" s="367">
        <f t="shared" si="0"/>
        <v>74735980</v>
      </c>
      <c r="I38" s="308">
        <f>13910169+100000+62992</f>
        <v>14073161</v>
      </c>
      <c r="J38" s="161">
        <f>500000+1198440+380000+4150000</f>
        <v>6228440</v>
      </c>
      <c r="K38" s="279">
        <f>52063316+2371063</f>
        <v>54434379</v>
      </c>
    </row>
    <row r="39" spans="1:11" s="330" customFormat="1" ht="12" customHeight="1" x14ac:dyDescent="0.2">
      <c r="A39" s="13" t="s">
        <v>93</v>
      </c>
      <c r="B39" s="353" t="s">
        <v>232</v>
      </c>
      <c r="C39" s="733">
        <v>87133464</v>
      </c>
      <c r="D39" s="734">
        <f>SUM(E39:G39)+1061599-195228+364027-3376000-189000-42520+2246520</f>
        <v>95492738</v>
      </c>
      <c r="E39" s="735">
        <f>8458000+947000</f>
        <v>9405000</v>
      </c>
      <c r="F39" s="736">
        <v>500000</v>
      </c>
      <c r="G39" s="732">
        <v>85718340</v>
      </c>
      <c r="H39" s="367">
        <f t="shared" ref="H39:H89" si="1">SUM(I39:K39)</f>
        <v>103069200</v>
      </c>
      <c r="I39" s="308">
        <f>500000+300000+50000+1400000+947000+300000+52200</f>
        <v>3549200</v>
      </c>
      <c r="J39" s="161">
        <v>300000</v>
      </c>
      <c r="K39" s="279">
        <v>99220000</v>
      </c>
    </row>
    <row r="40" spans="1:11" s="330" customFormat="1" ht="12" customHeight="1" x14ac:dyDescent="0.2">
      <c r="A40" s="13" t="s">
        <v>152</v>
      </c>
      <c r="B40" s="353" t="s">
        <v>233</v>
      </c>
      <c r="C40" s="733">
        <v>7452660</v>
      </c>
      <c r="D40" s="734">
        <f>SUM(E40:G40)</f>
        <v>430000</v>
      </c>
      <c r="E40" s="735">
        <f>430000</f>
        <v>430000</v>
      </c>
      <c r="F40" s="736"/>
      <c r="G40" s="732"/>
      <c r="H40" s="367">
        <f t="shared" si="1"/>
        <v>430000</v>
      </c>
      <c r="I40" s="308">
        <v>430000</v>
      </c>
      <c r="J40" s="161"/>
      <c r="K40" s="279"/>
    </row>
    <row r="41" spans="1:11" s="330" customFormat="1" ht="12" customHeight="1" x14ac:dyDescent="0.2">
      <c r="A41" s="13" t="s">
        <v>153</v>
      </c>
      <c r="B41" s="353" t="s">
        <v>234</v>
      </c>
      <c r="C41" s="733">
        <v>175650577</v>
      </c>
      <c r="D41" s="734">
        <f>SUM(E41:G41)-1800934</f>
        <v>176438468</v>
      </c>
      <c r="E41" s="735"/>
      <c r="F41" s="736"/>
      <c r="G41" s="732">
        <f>182811402-4572000</f>
        <v>178239402</v>
      </c>
      <c r="H41" s="367">
        <f t="shared" si="1"/>
        <v>179085653</v>
      </c>
      <c r="I41" s="308"/>
      <c r="J41" s="161"/>
      <c r="K41" s="279">
        <v>179085653</v>
      </c>
    </row>
    <row r="42" spans="1:11" s="330" customFormat="1" ht="12" customHeight="1" x14ac:dyDescent="0.2">
      <c r="A42" s="13" t="s">
        <v>154</v>
      </c>
      <c r="B42" s="353" t="s">
        <v>235</v>
      </c>
      <c r="C42" s="733">
        <v>40626143</v>
      </c>
      <c r="D42" s="734">
        <f>SUM(E42:G42)+270000+1485000+976640+195228+195228+246410+2609072+189000+42520-2463811</f>
        <v>50887450</v>
      </c>
      <c r="E42" s="735">
        <f>1063000+3242000+5853000+44000+378000+600000+1350000+1408565</f>
        <v>13938565</v>
      </c>
      <c r="F42" s="736">
        <v>1283000</v>
      </c>
      <c r="G42" s="732">
        <v>31920598</v>
      </c>
      <c r="H42" s="367">
        <f t="shared" si="1"/>
        <v>45481578</v>
      </c>
      <c r="I42" s="308">
        <f>3283000+5162000+81000+13500+378000+81000+14094+17008</f>
        <v>9029602</v>
      </c>
      <c r="J42" s="161">
        <f>135000+324000+103000+1229000</f>
        <v>1791000</v>
      </c>
      <c r="K42" s="279">
        <f>34020789+640187</f>
        <v>34660976</v>
      </c>
    </row>
    <row r="43" spans="1:11" s="330" customFormat="1" ht="12" customHeight="1" x14ac:dyDescent="0.2">
      <c r="A43" s="13" t="s">
        <v>155</v>
      </c>
      <c r="B43" s="353" t="s">
        <v>236</v>
      </c>
      <c r="C43" s="733">
        <v>19170000</v>
      </c>
      <c r="D43" s="734">
        <f>SUM(E43:G43)-1286000+1924793</f>
        <v>21672793</v>
      </c>
      <c r="E43" s="735"/>
      <c r="F43" s="736"/>
      <c r="G43" s="732">
        <v>21034000</v>
      </c>
      <c r="H43" s="367">
        <f t="shared" si="1"/>
        <v>18210000</v>
      </c>
      <c r="I43" s="308"/>
      <c r="J43" s="161"/>
      <c r="K43" s="279">
        <v>18210000</v>
      </c>
    </row>
    <row r="44" spans="1:11" s="330" customFormat="1" ht="12" customHeight="1" x14ac:dyDescent="0.2">
      <c r="A44" s="13" t="s">
        <v>156</v>
      </c>
      <c r="B44" s="353" t="s">
        <v>586</v>
      </c>
      <c r="C44" s="733">
        <v>132091</v>
      </c>
      <c r="D44" s="734">
        <f>SUM(E44:G44)</f>
        <v>40000</v>
      </c>
      <c r="E44" s="735">
        <v>30000</v>
      </c>
      <c r="F44" s="736"/>
      <c r="G44" s="732">
        <v>10000</v>
      </c>
      <c r="H44" s="367">
        <f t="shared" si="1"/>
        <v>31000</v>
      </c>
      <c r="I44" s="308">
        <v>30000</v>
      </c>
      <c r="J44" s="161"/>
      <c r="K44" s="279">
        <v>1000</v>
      </c>
    </row>
    <row r="45" spans="1:11" s="330" customFormat="1" ht="12" customHeight="1" x14ac:dyDescent="0.2">
      <c r="A45" s="13" t="s">
        <v>228</v>
      </c>
      <c r="B45" s="353" t="s">
        <v>238</v>
      </c>
      <c r="C45" s="733"/>
      <c r="D45" s="734">
        <f>SUM(E45:G45)</f>
        <v>0</v>
      </c>
      <c r="E45" s="735"/>
      <c r="F45" s="736"/>
      <c r="G45" s="732"/>
      <c r="H45" s="367">
        <f t="shared" si="1"/>
        <v>0</v>
      </c>
      <c r="I45" s="308"/>
      <c r="J45" s="161"/>
      <c r="K45" s="279"/>
    </row>
    <row r="46" spans="1:11" s="330" customFormat="1" ht="12" customHeight="1" x14ac:dyDescent="0.2">
      <c r="A46" s="15" t="s">
        <v>229</v>
      </c>
      <c r="B46" s="354" t="s">
        <v>475</v>
      </c>
      <c r="C46" s="733">
        <v>812271</v>
      </c>
      <c r="D46" s="744">
        <f>SUM(E46:G46)</f>
        <v>500000</v>
      </c>
      <c r="E46" s="745">
        <f>500000</f>
        <v>500000</v>
      </c>
      <c r="F46" s="746"/>
      <c r="G46" s="732"/>
      <c r="H46" s="367">
        <f t="shared" si="1"/>
        <v>500000</v>
      </c>
      <c r="I46" s="312">
        <v>500000</v>
      </c>
      <c r="J46" s="230"/>
      <c r="K46" s="279"/>
    </row>
    <row r="47" spans="1:11" s="330" customFormat="1" ht="12" customHeight="1" thickBot="1" x14ac:dyDescent="0.25">
      <c r="A47" s="15" t="s">
        <v>476</v>
      </c>
      <c r="B47" s="708" t="s">
        <v>239</v>
      </c>
      <c r="C47" s="737">
        <v>1564195</v>
      </c>
      <c r="D47" s="738">
        <f>SUM(E47:G47)+200318+416514+1343395</f>
        <v>2764227</v>
      </c>
      <c r="E47" s="745">
        <f>704000</f>
        <v>704000</v>
      </c>
      <c r="F47" s="746">
        <v>100000</v>
      </c>
      <c r="G47" s="732"/>
      <c r="H47" s="885">
        <f t="shared" si="1"/>
        <v>4433557</v>
      </c>
      <c r="I47" s="312">
        <f>60000+600000+501164+3172393</f>
        <v>4333557</v>
      </c>
      <c r="J47" s="230">
        <v>100000</v>
      </c>
      <c r="K47" s="279"/>
    </row>
    <row r="48" spans="1:11" s="330" customFormat="1" ht="12" customHeight="1" thickBot="1" x14ac:dyDescent="0.25">
      <c r="A48" s="19" t="s">
        <v>27</v>
      </c>
      <c r="B48" s="706" t="s">
        <v>240</v>
      </c>
      <c r="C48" s="741">
        <f>SUM(C49:C53)</f>
        <v>1786175</v>
      </c>
      <c r="D48" s="728">
        <f>SUM(D49:D53)</f>
        <v>47429000</v>
      </c>
      <c r="E48" s="728">
        <f>SUM(E49:E53)</f>
        <v>25179000</v>
      </c>
      <c r="F48" s="727">
        <f>SUM(F49:F53)</f>
        <v>0</v>
      </c>
      <c r="G48" s="727">
        <f>SUM(G49:G53)</f>
        <v>0</v>
      </c>
      <c r="H48" s="157">
        <f t="shared" si="1"/>
        <v>30332500</v>
      </c>
      <c r="I48" s="329">
        <f>SUM(I49:I53)</f>
        <v>30332500</v>
      </c>
      <c r="J48" s="157">
        <f>SUM(J49:J53)</f>
        <v>0</v>
      </c>
      <c r="K48" s="157">
        <f>SUM(K49:K53)</f>
        <v>0</v>
      </c>
    </row>
    <row r="49" spans="1:11" s="330" customFormat="1" ht="12" customHeight="1" x14ac:dyDescent="0.2">
      <c r="A49" s="14" t="s">
        <v>94</v>
      </c>
      <c r="B49" s="352" t="s">
        <v>244</v>
      </c>
      <c r="C49" s="733"/>
      <c r="D49" s="730">
        <f>SUM(E49:G49)</f>
        <v>0</v>
      </c>
      <c r="E49" s="731"/>
      <c r="F49" s="732"/>
      <c r="G49" s="732"/>
      <c r="H49" s="813">
        <f t="shared" si="1"/>
        <v>0</v>
      </c>
      <c r="I49" s="335"/>
      <c r="J49" s="279"/>
      <c r="K49" s="279"/>
    </row>
    <row r="50" spans="1:11" s="330" customFormat="1" ht="12" customHeight="1" x14ac:dyDescent="0.2">
      <c r="A50" s="13" t="s">
        <v>95</v>
      </c>
      <c r="B50" s="353" t="s">
        <v>245</v>
      </c>
      <c r="C50" s="733">
        <v>778000</v>
      </c>
      <c r="D50" s="744">
        <f>SUM(E50:G50)+22000000</f>
        <v>47179000</v>
      </c>
      <c r="E50" s="735">
        <f>25179000</f>
        <v>25179000</v>
      </c>
      <c r="F50" s="736"/>
      <c r="G50" s="736"/>
      <c r="H50" s="367">
        <f t="shared" si="1"/>
        <v>30332500</v>
      </c>
      <c r="I50" s="308">
        <v>30332500</v>
      </c>
      <c r="J50" s="161"/>
      <c r="K50" s="161"/>
    </row>
    <row r="51" spans="1:11" s="330" customFormat="1" ht="12" customHeight="1" x14ac:dyDescent="0.2">
      <c r="A51" s="13" t="s">
        <v>241</v>
      </c>
      <c r="B51" s="353" t="s">
        <v>246</v>
      </c>
      <c r="C51" s="733">
        <v>1008175</v>
      </c>
      <c r="D51" s="744">
        <v>250000</v>
      </c>
      <c r="E51" s="735"/>
      <c r="F51" s="736"/>
      <c r="G51" s="736"/>
      <c r="H51" s="367">
        <f t="shared" si="1"/>
        <v>0</v>
      </c>
      <c r="I51" s="308"/>
      <c r="J51" s="161"/>
      <c r="K51" s="161"/>
    </row>
    <row r="52" spans="1:11" s="330" customFormat="1" ht="12" customHeight="1" x14ac:dyDescent="0.2">
      <c r="A52" s="13" t="s">
        <v>242</v>
      </c>
      <c r="B52" s="353" t="s">
        <v>247</v>
      </c>
      <c r="C52" s="733"/>
      <c r="D52" s="744">
        <f>SUM(E52:G52)</f>
        <v>0</v>
      </c>
      <c r="E52" s="735"/>
      <c r="F52" s="736"/>
      <c r="G52" s="736"/>
      <c r="H52" s="367">
        <f t="shared" si="1"/>
        <v>0</v>
      </c>
      <c r="I52" s="308"/>
      <c r="J52" s="161"/>
      <c r="K52" s="161"/>
    </row>
    <row r="53" spans="1:11" s="330" customFormat="1" ht="12" customHeight="1" thickBot="1" x14ac:dyDescent="0.25">
      <c r="A53" s="15" t="s">
        <v>243</v>
      </c>
      <c r="B53" s="708" t="s">
        <v>248</v>
      </c>
      <c r="C53" s="737"/>
      <c r="D53" s="749">
        <f>SUM(E53:G53)</f>
        <v>0</v>
      </c>
      <c r="E53" s="745"/>
      <c r="F53" s="746"/>
      <c r="G53" s="746"/>
      <c r="H53" s="815">
        <f t="shared" si="1"/>
        <v>0</v>
      </c>
      <c r="I53" s="312"/>
      <c r="J53" s="230"/>
      <c r="K53" s="230"/>
    </row>
    <row r="54" spans="1:11" s="330" customFormat="1" ht="12" customHeight="1" thickBot="1" x14ac:dyDescent="0.25">
      <c r="A54" s="19" t="s">
        <v>157</v>
      </c>
      <c r="B54" s="706" t="s">
        <v>249</v>
      </c>
      <c r="C54" s="741">
        <f>SUM(C55:C57)</f>
        <v>11113183</v>
      </c>
      <c r="D54" s="728">
        <f>SUM(D55:D57)</f>
        <v>24244433</v>
      </c>
      <c r="E54" s="728">
        <f>SUM(E55:E57)</f>
        <v>6164433</v>
      </c>
      <c r="F54" s="727">
        <f>SUM(F55:F57)</f>
        <v>0</v>
      </c>
      <c r="G54" s="727">
        <f>SUM(G55:G57)</f>
        <v>0</v>
      </c>
      <c r="H54" s="351">
        <f t="shared" si="1"/>
        <v>4786000</v>
      </c>
      <c r="I54" s="329">
        <f>SUM(I55:I57)</f>
        <v>4786000</v>
      </c>
      <c r="J54" s="157">
        <f>SUM(J55:J57)</f>
        <v>0</v>
      </c>
      <c r="K54" s="157">
        <f>SUM(K55:K57)</f>
        <v>0</v>
      </c>
    </row>
    <row r="55" spans="1:11" s="330" customFormat="1" ht="12" customHeight="1" x14ac:dyDescent="0.2">
      <c r="A55" s="14" t="s">
        <v>96</v>
      </c>
      <c r="B55" s="352" t="s">
        <v>250</v>
      </c>
      <c r="C55" s="733"/>
      <c r="D55" s="753">
        <f>SUM(E55:G55)</f>
        <v>0</v>
      </c>
      <c r="E55" s="742"/>
      <c r="F55" s="743"/>
      <c r="G55" s="743"/>
      <c r="H55" s="816">
        <f t="shared" si="1"/>
        <v>0</v>
      </c>
      <c r="I55" s="331"/>
      <c r="J55" s="159"/>
      <c r="K55" s="159"/>
    </row>
    <row r="56" spans="1:11" s="330" customFormat="1" ht="12" customHeight="1" x14ac:dyDescent="0.2">
      <c r="A56" s="13" t="s">
        <v>97</v>
      </c>
      <c r="B56" s="353" t="s">
        <v>381</v>
      </c>
      <c r="C56" s="733">
        <v>1170155</v>
      </c>
      <c r="D56" s="734">
        <f>SUM(E56:G56)+18000000</f>
        <v>19949000</v>
      </c>
      <c r="E56" s="735">
        <f>383000+1566000</f>
        <v>1949000</v>
      </c>
      <c r="F56" s="736"/>
      <c r="G56" s="736"/>
      <c r="H56" s="367">
        <f t="shared" si="1"/>
        <v>1866000</v>
      </c>
      <c r="I56" s="308">
        <f>1566000+300000</f>
        <v>1866000</v>
      </c>
      <c r="J56" s="161"/>
      <c r="K56" s="161"/>
    </row>
    <row r="57" spans="1:11" s="330" customFormat="1" ht="12" customHeight="1" x14ac:dyDescent="0.2">
      <c r="A57" s="13" t="s">
        <v>253</v>
      </c>
      <c r="B57" s="353" t="s">
        <v>251</v>
      </c>
      <c r="C57" s="733">
        <v>9943028</v>
      </c>
      <c r="D57" s="734">
        <f>SUM(E57:G57)+80000</f>
        <v>4295433</v>
      </c>
      <c r="E57" s="735">
        <f>4075000+140433</f>
        <v>4215433</v>
      </c>
      <c r="F57" s="736"/>
      <c r="G57" s="736"/>
      <c r="H57" s="510">
        <f t="shared" si="1"/>
        <v>2920000</v>
      </c>
      <c r="I57" s="308">
        <f>2900000+20000</f>
        <v>2920000</v>
      </c>
      <c r="J57" s="161"/>
      <c r="K57" s="161"/>
    </row>
    <row r="58" spans="1:11" s="330" customFormat="1" ht="12" customHeight="1" thickBot="1" x14ac:dyDescent="0.25">
      <c r="A58" s="15" t="s">
        <v>254</v>
      </c>
      <c r="B58" s="708" t="s">
        <v>252</v>
      </c>
      <c r="C58" s="737"/>
      <c r="D58" s="749">
        <f>SUM(E58:G58)</f>
        <v>0</v>
      </c>
      <c r="E58" s="754"/>
      <c r="F58" s="755"/>
      <c r="G58" s="755"/>
      <c r="H58" s="812">
        <f t="shared" si="1"/>
        <v>0</v>
      </c>
      <c r="I58" s="146"/>
      <c r="J58" s="160"/>
      <c r="K58" s="160"/>
    </row>
    <row r="59" spans="1:11" s="330" customFormat="1" ht="12" customHeight="1" thickBot="1" x14ac:dyDescent="0.25">
      <c r="A59" s="19" t="s">
        <v>29</v>
      </c>
      <c r="B59" s="709" t="s">
        <v>255</v>
      </c>
      <c r="C59" s="741">
        <f>SUM(C60:C62)</f>
        <v>3841537</v>
      </c>
      <c r="D59" s="728">
        <f>SUM(D60:D62)</f>
        <v>1400000</v>
      </c>
      <c r="E59" s="728">
        <f>SUM(E60:E62)</f>
        <v>0</v>
      </c>
      <c r="F59" s="727">
        <f>SUM(F60:F62)</f>
        <v>0</v>
      </c>
      <c r="G59" s="727">
        <f>SUM(G60:G62)</f>
        <v>0</v>
      </c>
      <c r="H59" s="157">
        <f t="shared" si="1"/>
        <v>0</v>
      </c>
      <c r="I59" s="329">
        <f>SUM(I60:I62)</f>
        <v>0</v>
      </c>
      <c r="J59" s="157">
        <f>SUM(J60:J62)</f>
        <v>0</v>
      </c>
      <c r="K59" s="157">
        <f>SUM(K60:K62)</f>
        <v>0</v>
      </c>
    </row>
    <row r="60" spans="1:11" s="330" customFormat="1" ht="12" customHeight="1" x14ac:dyDescent="0.2">
      <c r="A60" s="14" t="s">
        <v>158</v>
      </c>
      <c r="B60" s="352" t="s">
        <v>257</v>
      </c>
      <c r="C60" s="733"/>
      <c r="D60" s="753">
        <f>SUM(E60:G60)</f>
        <v>0</v>
      </c>
      <c r="E60" s="735"/>
      <c r="F60" s="736"/>
      <c r="G60" s="736"/>
      <c r="H60" s="813">
        <f t="shared" si="1"/>
        <v>0</v>
      </c>
      <c r="I60" s="308"/>
      <c r="J60" s="161"/>
      <c r="K60" s="161"/>
    </row>
    <row r="61" spans="1:11" s="330" customFormat="1" ht="12" customHeight="1" x14ac:dyDescent="0.2">
      <c r="A61" s="13" t="s">
        <v>159</v>
      </c>
      <c r="B61" s="353" t="s">
        <v>382</v>
      </c>
      <c r="C61" s="733">
        <v>13837</v>
      </c>
      <c r="D61" s="734">
        <f>SUM(E61:G61)</f>
        <v>0</v>
      </c>
      <c r="E61" s="735"/>
      <c r="F61" s="736"/>
      <c r="G61" s="736"/>
      <c r="H61" s="814">
        <f t="shared" si="1"/>
        <v>0</v>
      </c>
      <c r="I61" s="308"/>
      <c r="J61" s="161"/>
      <c r="K61" s="161"/>
    </row>
    <row r="62" spans="1:11" s="330" customFormat="1" ht="12" customHeight="1" x14ac:dyDescent="0.2">
      <c r="A62" s="13" t="s">
        <v>181</v>
      </c>
      <c r="B62" s="353" t="s">
        <v>258</v>
      </c>
      <c r="C62" s="733">
        <v>3827700</v>
      </c>
      <c r="D62" s="734">
        <f>1200000+200000</f>
        <v>1400000</v>
      </c>
      <c r="E62" s="735"/>
      <c r="F62" s="736"/>
      <c r="G62" s="736"/>
      <c r="H62" s="814">
        <f t="shared" si="1"/>
        <v>0</v>
      </c>
      <c r="I62" s="308"/>
      <c r="J62" s="161"/>
      <c r="K62" s="161"/>
    </row>
    <row r="63" spans="1:11" s="330" customFormat="1" ht="12" customHeight="1" thickBot="1" x14ac:dyDescent="0.25">
      <c r="A63" s="15" t="s">
        <v>256</v>
      </c>
      <c r="B63" s="708" t="s">
        <v>259</v>
      </c>
      <c r="C63" s="737"/>
      <c r="D63" s="738">
        <f>SUM(E63:G63)</f>
        <v>0</v>
      </c>
      <c r="E63" s="735"/>
      <c r="F63" s="736"/>
      <c r="G63" s="736"/>
      <c r="H63" s="815">
        <f t="shared" si="1"/>
        <v>0</v>
      </c>
      <c r="I63" s="308"/>
      <c r="J63" s="161"/>
      <c r="K63" s="161"/>
    </row>
    <row r="64" spans="1:11" s="330" customFormat="1" ht="12" customHeight="1" thickBot="1" x14ac:dyDescent="0.25">
      <c r="A64" s="293" t="s">
        <v>477</v>
      </c>
      <c r="B64" s="706" t="s">
        <v>260</v>
      </c>
      <c r="C64" s="728">
        <f>C59+C54+C48+C36+C28+C21+C14+C7</f>
        <v>2639272060</v>
      </c>
      <c r="D64" s="728">
        <f>D59+D54+D48+D36+D28+D21+D14+D7</f>
        <v>2929720479</v>
      </c>
      <c r="E64" s="750">
        <f>+E7+E14+E21+E28+E36+E48+E54+E59</f>
        <v>1391439714</v>
      </c>
      <c r="F64" s="751">
        <f>+F7+F14+F21+F28+F36+F48+F54+F59</f>
        <v>9416500</v>
      </c>
      <c r="G64" s="751">
        <f>+G7+G14+G21+G28+G36+G48+G54+G59</f>
        <v>390751178</v>
      </c>
      <c r="H64" s="157">
        <f t="shared" si="1"/>
        <v>2480957807</v>
      </c>
      <c r="I64" s="332">
        <f>+I7+I14+I21+I28+I36+I48+I54+I59</f>
        <v>2064276967</v>
      </c>
      <c r="J64" s="162">
        <f>+J7+J14+J21+J28+J36+J48+J54+J59</f>
        <v>11536297</v>
      </c>
      <c r="K64" s="162">
        <f>+K7+K14+K21+K28+K36+K48+K54+K59</f>
        <v>405144543</v>
      </c>
    </row>
    <row r="65" spans="1:11" s="330" customFormat="1" ht="12" customHeight="1" thickBot="1" x14ac:dyDescent="0.25">
      <c r="A65" s="294" t="s">
        <v>261</v>
      </c>
      <c r="B65" s="709" t="s">
        <v>587</v>
      </c>
      <c r="C65" s="756">
        <f>SUM(C66:C68)</f>
        <v>20303000</v>
      </c>
      <c r="D65" s="757">
        <f>SUM(D66:D68)</f>
        <v>187500000</v>
      </c>
      <c r="E65" s="728">
        <f>SUM(E66:E68)</f>
        <v>144100000</v>
      </c>
      <c r="F65" s="727">
        <f>SUM(F66:F68)</f>
        <v>0</v>
      </c>
      <c r="G65" s="727">
        <f>SUM(G66:G68)</f>
        <v>0</v>
      </c>
      <c r="H65" s="157">
        <f t="shared" si="1"/>
        <v>193478462</v>
      </c>
      <c r="I65" s="329">
        <f>SUM(I66:I68)</f>
        <v>193478462</v>
      </c>
      <c r="J65" s="157">
        <f>SUM(J66:J68)</f>
        <v>0</v>
      </c>
      <c r="K65" s="157">
        <f>SUM(K66:K68)</f>
        <v>0</v>
      </c>
    </row>
    <row r="66" spans="1:11" s="330" customFormat="1" ht="12" customHeight="1" x14ac:dyDescent="0.2">
      <c r="A66" s="14" t="s">
        <v>293</v>
      </c>
      <c r="B66" s="352" t="s">
        <v>263</v>
      </c>
      <c r="C66" s="733">
        <v>20303000</v>
      </c>
      <c r="D66" s="730">
        <f>SUM(E66:G66)+37900000+5500000</f>
        <v>87500000</v>
      </c>
      <c r="E66" s="735">
        <v>44100000</v>
      </c>
      <c r="F66" s="736"/>
      <c r="G66" s="736"/>
      <c r="H66" s="811">
        <f t="shared" si="1"/>
        <v>93478462</v>
      </c>
      <c r="I66" s="308">
        <v>93478462</v>
      </c>
      <c r="J66" s="161"/>
      <c r="K66" s="161"/>
    </row>
    <row r="67" spans="1:11" s="330" customFormat="1" ht="12" customHeight="1" x14ac:dyDescent="0.2">
      <c r="A67" s="13" t="s">
        <v>302</v>
      </c>
      <c r="B67" s="353" t="s">
        <v>264</v>
      </c>
      <c r="C67" s="733"/>
      <c r="D67" s="744">
        <f>SUM(E67:G67)</f>
        <v>100000000</v>
      </c>
      <c r="E67" s="735">
        <v>100000000</v>
      </c>
      <c r="F67" s="736"/>
      <c r="G67" s="736"/>
      <c r="H67" s="367">
        <f t="shared" si="1"/>
        <v>100000000</v>
      </c>
      <c r="I67" s="308">
        <v>100000000</v>
      </c>
      <c r="J67" s="161"/>
      <c r="K67" s="161"/>
    </row>
    <row r="68" spans="1:11" s="330" customFormat="1" ht="12" customHeight="1" thickBot="1" x14ac:dyDescent="0.25">
      <c r="A68" s="15" t="s">
        <v>303</v>
      </c>
      <c r="B68" s="710" t="s">
        <v>478</v>
      </c>
      <c r="C68" s="737"/>
      <c r="D68" s="749">
        <f>SUM(E68:G68)</f>
        <v>0</v>
      </c>
      <c r="E68" s="735"/>
      <c r="F68" s="736"/>
      <c r="G68" s="736"/>
      <c r="H68" s="815">
        <f t="shared" si="1"/>
        <v>0</v>
      </c>
      <c r="I68" s="308"/>
      <c r="J68" s="161"/>
      <c r="K68" s="161"/>
    </row>
    <row r="69" spans="1:11" s="330" customFormat="1" ht="12" customHeight="1" thickBot="1" x14ac:dyDescent="0.25">
      <c r="A69" s="294" t="s">
        <v>266</v>
      </c>
      <c r="B69" s="709" t="s">
        <v>267</v>
      </c>
      <c r="C69" s="758">
        <f>SUM(C70:C73)</f>
        <v>0</v>
      </c>
      <c r="D69" s="758">
        <f>SUM(D70:D73)</f>
        <v>0</v>
      </c>
      <c r="E69" s="728">
        <f>SUM(E70:E73)</f>
        <v>0</v>
      </c>
      <c r="F69" s="727">
        <f>SUM(F70:F73)</f>
        <v>0</v>
      </c>
      <c r="G69" s="727">
        <f>SUM(G70:G73)</f>
        <v>0</v>
      </c>
      <c r="H69" s="157">
        <f t="shared" si="1"/>
        <v>0</v>
      </c>
      <c r="I69" s="329">
        <f>SUM(I70:I73)</f>
        <v>0</v>
      </c>
      <c r="J69" s="157">
        <f>SUM(J70:J73)</f>
        <v>0</v>
      </c>
      <c r="K69" s="157">
        <f>SUM(K70:K73)</f>
        <v>0</v>
      </c>
    </row>
    <row r="70" spans="1:11" s="330" customFormat="1" ht="12" customHeight="1" x14ac:dyDescent="0.2">
      <c r="A70" s="14" t="s">
        <v>138</v>
      </c>
      <c r="B70" s="352" t="s">
        <v>268</v>
      </c>
      <c r="C70" s="733"/>
      <c r="D70" s="730">
        <f>SUM(E70:G70)</f>
        <v>0</v>
      </c>
      <c r="E70" s="735"/>
      <c r="F70" s="736"/>
      <c r="G70" s="736"/>
      <c r="H70" s="813">
        <f t="shared" si="1"/>
        <v>0</v>
      </c>
      <c r="I70" s="308"/>
      <c r="J70" s="161"/>
      <c r="K70" s="161"/>
    </row>
    <row r="71" spans="1:11" s="330" customFormat="1" ht="17.25" customHeight="1" x14ac:dyDescent="0.2">
      <c r="A71" s="13" t="s">
        <v>139</v>
      </c>
      <c r="B71" s="353" t="s">
        <v>269</v>
      </c>
      <c r="C71" s="733"/>
      <c r="D71" s="744">
        <f>SUM(E71:G71)</f>
        <v>0</v>
      </c>
      <c r="E71" s="735"/>
      <c r="F71" s="736"/>
      <c r="G71" s="736"/>
      <c r="H71" s="814">
        <f t="shared" si="1"/>
        <v>0</v>
      </c>
      <c r="I71" s="308"/>
      <c r="J71" s="161"/>
      <c r="K71" s="161"/>
    </row>
    <row r="72" spans="1:11" s="330" customFormat="1" ht="12" customHeight="1" x14ac:dyDescent="0.2">
      <c r="A72" s="13" t="s">
        <v>294</v>
      </c>
      <c r="B72" s="353" t="s">
        <v>270</v>
      </c>
      <c r="C72" s="733"/>
      <c r="D72" s="744">
        <f>SUM(E72:G72)</f>
        <v>0</v>
      </c>
      <c r="E72" s="735"/>
      <c r="F72" s="736"/>
      <c r="G72" s="736"/>
      <c r="H72" s="814">
        <f t="shared" si="1"/>
        <v>0</v>
      </c>
      <c r="I72" s="308"/>
      <c r="J72" s="161"/>
      <c r="K72" s="161"/>
    </row>
    <row r="73" spans="1:11" s="330" customFormat="1" ht="12" customHeight="1" thickBot="1" x14ac:dyDescent="0.25">
      <c r="A73" s="15" t="s">
        <v>295</v>
      </c>
      <c r="B73" s="708" t="s">
        <v>271</v>
      </c>
      <c r="C73" s="737"/>
      <c r="D73" s="749">
        <f>SUM(E73:G73)</f>
        <v>0</v>
      </c>
      <c r="E73" s="735"/>
      <c r="F73" s="736"/>
      <c r="G73" s="736"/>
      <c r="H73" s="815">
        <f t="shared" si="1"/>
        <v>0</v>
      </c>
      <c r="I73" s="308"/>
      <c r="J73" s="161"/>
      <c r="K73" s="161"/>
    </row>
    <row r="74" spans="1:11" s="330" customFormat="1" ht="12" customHeight="1" thickBot="1" x14ac:dyDescent="0.25">
      <c r="A74" s="294" t="s">
        <v>272</v>
      </c>
      <c r="B74" s="709" t="s">
        <v>273</v>
      </c>
      <c r="C74" s="728">
        <f>SUM(C75:C76)</f>
        <v>264950190</v>
      </c>
      <c r="D74" s="728">
        <f>SUM(D75:D76)</f>
        <v>292999415</v>
      </c>
      <c r="E74" s="728">
        <f>SUM(E75:E76)</f>
        <v>289331423</v>
      </c>
      <c r="F74" s="727">
        <f>SUM(F75:F76)</f>
        <v>447404</v>
      </c>
      <c r="G74" s="727">
        <f>SUM(G75:G76)</f>
        <v>3220588</v>
      </c>
      <c r="H74" s="157">
        <f t="shared" si="1"/>
        <v>620677200</v>
      </c>
      <c r="I74" s="329">
        <f>SUM(I75:I76)</f>
        <v>594503730</v>
      </c>
      <c r="J74" s="157">
        <f>SUM(J75:J76)</f>
        <v>3212174</v>
      </c>
      <c r="K74" s="157">
        <f>SUM(K75:K76)</f>
        <v>22961296</v>
      </c>
    </row>
    <row r="75" spans="1:11" s="330" customFormat="1" ht="12" customHeight="1" x14ac:dyDescent="0.2">
      <c r="A75" s="14" t="s">
        <v>296</v>
      </c>
      <c r="B75" s="352" t="s">
        <v>274</v>
      </c>
      <c r="C75" s="733">
        <v>264950190</v>
      </c>
      <c r="D75" s="730">
        <f>SUM(E75:G75)</f>
        <v>292999415</v>
      </c>
      <c r="E75" s="735">
        <v>289331423</v>
      </c>
      <c r="F75" s="736">
        <v>447404</v>
      </c>
      <c r="G75" s="736">
        <v>3220588</v>
      </c>
      <c r="H75" s="811">
        <f t="shared" si="1"/>
        <v>620677200</v>
      </c>
      <c r="I75" s="308">
        <f>569119704-28+25384054</f>
        <v>594503730</v>
      </c>
      <c r="J75" s="161">
        <f>3148853+63321</f>
        <v>3212174</v>
      </c>
      <c r="K75" s="161">
        <f>22961296</f>
        <v>22961296</v>
      </c>
    </row>
    <row r="76" spans="1:11" s="330" customFormat="1" ht="12" customHeight="1" thickBot="1" x14ac:dyDescent="0.25">
      <c r="A76" s="15" t="s">
        <v>297</v>
      </c>
      <c r="B76" s="708" t="s">
        <v>275</v>
      </c>
      <c r="C76" s="737"/>
      <c r="D76" s="749">
        <f>SUM(E76:G76)</f>
        <v>0</v>
      </c>
      <c r="E76" s="735"/>
      <c r="F76" s="736"/>
      <c r="G76" s="736"/>
      <c r="H76" s="815">
        <f t="shared" si="1"/>
        <v>0</v>
      </c>
      <c r="I76" s="308"/>
      <c r="J76" s="161"/>
      <c r="K76" s="161"/>
    </row>
    <row r="77" spans="1:11" s="330" customFormat="1" ht="12" customHeight="1" thickBot="1" x14ac:dyDescent="0.25">
      <c r="A77" s="294" t="s">
        <v>276</v>
      </c>
      <c r="B77" s="709" t="s">
        <v>277</v>
      </c>
      <c r="C77" s="759">
        <f>SUM(C78:C80)</f>
        <v>35164932</v>
      </c>
      <c r="D77" s="758">
        <f>SUM(D78:D80)</f>
        <v>0</v>
      </c>
      <c r="E77" s="728">
        <f>SUM(E78:E80)</f>
        <v>0</v>
      </c>
      <c r="F77" s="727">
        <f>SUM(F78:F80)</f>
        <v>0</v>
      </c>
      <c r="G77" s="727">
        <f>SUM(G78:G80)</f>
        <v>0</v>
      </c>
      <c r="H77" s="157">
        <f t="shared" si="1"/>
        <v>0</v>
      </c>
      <c r="I77" s="329">
        <f>SUM(I78:I80)</f>
        <v>0</v>
      </c>
      <c r="J77" s="157">
        <f>SUM(J78:J80)</f>
        <v>0</v>
      </c>
      <c r="K77" s="157">
        <f>SUM(K78:K80)</f>
        <v>0</v>
      </c>
    </row>
    <row r="78" spans="1:11" s="330" customFormat="1" ht="12" customHeight="1" x14ac:dyDescent="0.2">
      <c r="A78" s="14" t="s">
        <v>298</v>
      </c>
      <c r="B78" s="352" t="s">
        <v>278</v>
      </c>
      <c r="C78" s="733">
        <v>35164932</v>
      </c>
      <c r="D78" s="730">
        <f>SUM(E78:G78)</f>
        <v>0</v>
      </c>
      <c r="E78" s="735"/>
      <c r="F78" s="736"/>
      <c r="G78" s="736"/>
      <c r="H78" s="813">
        <f t="shared" si="1"/>
        <v>0</v>
      </c>
      <c r="I78" s="308"/>
      <c r="J78" s="161"/>
      <c r="K78" s="161"/>
    </row>
    <row r="79" spans="1:11" s="330" customFormat="1" ht="12" customHeight="1" x14ac:dyDescent="0.2">
      <c r="A79" s="13" t="s">
        <v>299</v>
      </c>
      <c r="B79" s="353" t="s">
        <v>279</v>
      </c>
      <c r="C79" s="733"/>
      <c r="D79" s="744">
        <f>SUM(E79:G79)</f>
        <v>0</v>
      </c>
      <c r="E79" s="735"/>
      <c r="F79" s="736"/>
      <c r="G79" s="736"/>
      <c r="H79" s="814">
        <f t="shared" si="1"/>
        <v>0</v>
      </c>
      <c r="I79" s="308"/>
      <c r="J79" s="161"/>
      <c r="K79" s="161"/>
    </row>
    <row r="80" spans="1:11" s="330" customFormat="1" ht="12" customHeight="1" thickBot="1" x14ac:dyDescent="0.25">
      <c r="A80" s="15" t="s">
        <v>300</v>
      </c>
      <c r="B80" s="708" t="s">
        <v>280</v>
      </c>
      <c r="C80" s="737"/>
      <c r="D80" s="749">
        <f>SUM(E80:G80)</f>
        <v>0</v>
      </c>
      <c r="E80" s="735"/>
      <c r="F80" s="736"/>
      <c r="G80" s="736"/>
      <c r="H80" s="815">
        <f t="shared" si="1"/>
        <v>0</v>
      </c>
      <c r="I80" s="308"/>
      <c r="J80" s="161"/>
      <c r="K80" s="161"/>
    </row>
    <row r="81" spans="1:11" s="330" customFormat="1" ht="12" customHeight="1" thickBot="1" x14ac:dyDescent="0.25">
      <c r="A81" s="294" t="s">
        <v>281</v>
      </c>
      <c r="B81" s="709" t="s">
        <v>301</v>
      </c>
      <c r="C81" s="758">
        <f>SUM(C82:C85)</f>
        <v>0</v>
      </c>
      <c r="D81" s="758">
        <f>SUM(D82:D85)</f>
        <v>0</v>
      </c>
      <c r="E81" s="728">
        <f>SUM(E82:E85)</f>
        <v>0</v>
      </c>
      <c r="F81" s="727">
        <f>SUM(F82:F85)</f>
        <v>0</v>
      </c>
      <c r="G81" s="727">
        <f>SUM(G82:G85)</f>
        <v>0</v>
      </c>
      <c r="H81" s="157">
        <f t="shared" si="1"/>
        <v>0</v>
      </c>
      <c r="I81" s="329">
        <f>SUM(I82:I85)</f>
        <v>0</v>
      </c>
      <c r="J81" s="157">
        <f>SUM(J82:J85)</f>
        <v>0</v>
      </c>
      <c r="K81" s="157">
        <f>SUM(K82:K85)</f>
        <v>0</v>
      </c>
    </row>
    <row r="82" spans="1:11" s="330" customFormat="1" ht="12" customHeight="1" x14ac:dyDescent="0.2">
      <c r="A82" s="245" t="s">
        <v>282</v>
      </c>
      <c r="B82" s="352" t="s">
        <v>283</v>
      </c>
      <c r="C82" s="733"/>
      <c r="D82" s="730">
        <f t="shared" ref="D82:D87" si="2">SUM(E82:G82)</f>
        <v>0</v>
      </c>
      <c r="E82" s="735"/>
      <c r="F82" s="736"/>
      <c r="G82" s="736"/>
      <c r="H82" s="813">
        <f t="shared" si="1"/>
        <v>0</v>
      </c>
      <c r="I82" s="308"/>
      <c r="J82" s="161"/>
      <c r="K82" s="161"/>
    </row>
    <row r="83" spans="1:11" s="330" customFormat="1" ht="12" customHeight="1" x14ac:dyDescent="0.2">
      <c r="A83" s="246" t="s">
        <v>284</v>
      </c>
      <c r="B83" s="353" t="s">
        <v>285</v>
      </c>
      <c r="C83" s="733"/>
      <c r="D83" s="744">
        <f t="shared" si="2"/>
        <v>0</v>
      </c>
      <c r="E83" s="735"/>
      <c r="F83" s="736"/>
      <c r="G83" s="736"/>
      <c r="H83" s="814">
        <f t="shared" si="1"/>
        <v>0</v>
      </c>
      <c r="I83" s="308"/>
      <c r="J83" s="161"/>
      <c r="K83" s="161"/>
    </row>
    <row r="84" spans="1:11" s="330" customFormat="1" ht="12" customHeight="1" x14ac:dyDescent="0.2">
      <c r="A84" s="246" t="s">
        <v>286</v>
      </c>
      <c r="B84" s="353" t="s">
        <v>287</v>
      </c>
      <c r="C84" s="733"/>
      <c r="D84" s="744">
        <f t="shared" si="2"/>
        <v>0</v>
      </c>
      <c r="E84" s="735"/>
      <c r="F84" s="736"/>
      <c r="G84" s="736"/>
      <c r="H84" s="814">
        <f t="shared" si="1"/>
        <v>0</v>
      </c>
      <c r="I84" s="308"/>
      <c r="J84" s="161"/>
      <c r="K84" s="161"/>
    </row>
    <row r="85" spans="1:11" s="330" customFormat="1" ht="12" customHeight="1" thickBot="1" x14ac:dyDescent="0.25">
      <c r="A85" s="247" t="s">
        <v>288</v>
      </c>
      <c r="B85" s="708" t="s">
        <v>289</v>
      </c>
      <c r="C85" s="737"/>
      <c r="D85" s="749">
        <f t="shared" si="2"/>
        <v>0</v>
      </c>
      <c r="E85" s="735"/>
      <c r="F85" s="736"/>
      <c r="G85" s="736"/>
      <c r="H85" s="815">
        <f t="shared" si="1"/>
        <v>0</v>
      </c>
      <c r="I85" s="308"/>
      <c r="J85" s="161"/>
      <c r="K85" s="161"/>
    </row>
    <row r="86" spans="1:11" s="330" customFormat="1" ht="12" customHeight="1" thickBot="1" x14ac:dyDescent="0.25">
      <c r="A86" s="294" t="s">
        <v>290</v>
      </c>
      <c r="B86" s="709" t="s">
        <v>479</v>
      </c>
      <c r="C86" s="760"/>
      <c r="D86" s="761">
        <f t="shared" si="2"/>
        <v>0</v>
      </c>
      <c r="E86" s="762"/>
      <c r="F86" s="763"/>
      <c r="G86" s="763"/>
      <c r="H86" s="157">
        <f t="shared" si="1"/>
        <v>0</v>
      </c>
      <c r="I86" s="336"/>
      <c r="J86" s="280"/>
      <c r="K86" s="280"/>
    </row>
    <row r="87" spans="1:11" s="330" customFormat="1" ht="12" customHeight="1" thickBot="1" x14ac:dyDescent="0.25">
      <c r="A87" s="294" t="s">
        <v>292</v>
      </c>
      <c r="B87" s="709" t="s">
        <v>291</v>
      </c>
      <c r="C87" s="760"/>
      <c r="D87" s="728">
        <f t="shared" si="2"/>
        <v>0</v>
      </c>
      <c r="E87" s="762"/>
      <c r="F87" s="763"/>
      <c r="G87" s="763"/>
      <c r="H87" s="157">
        <f t="shared" si="1"/>
        <v>0</v>
      </c>
      <c r="I87" s="336"/>
      <c r="J87" s="280"/>
      <c r="K87" s="280"/>
    </row>
    <row r="88" spans="1:11" s="330" customFormat="1" ht="12" customHeight="1" thickBot="1" x14ac:dyDescent="0.25">
      <c r="A88" s="294" t="s">
        <v>304</v>
      </c>
      <c r="B88" s="711" t="s">
        <v>480</v>
      </c>
      <c r="C88" s="756">
        <f>C87+C86+C81+C77+C74+C69+C65</f>
        <v>320418122</v>
      </c>
      <c r="D88" s="728">
        <f>D87+D86+D81+D77+D74+D69+D65</f>
        <v>480499415</v>
      </c>
      <c r="E88" s="750">
        <f>+E65+E69+E74+E77+E81+E87+E86</f>
        <v>433431423</v>
      </c>
      <c r="F88" s="751">
        <f>+F65+F69+F74+F77+F81+F87+F86</f>
        <v>447404</v>
      </c>
      <c r="G88" s="751">
        <f>+G65+G69+G74+G77+G81+G87+G86</f>
        <v>3220588</v>
      </c>
      <c r="H88" s="157">
        <f t="shared" si="1"/>
        <v>814155662</v>
      </c>
      <c r="I88" s="332">
        <f>+I65+I69+I74+I77+I81+I87+I86</f>
        <v>787982192</v>
      </c>
      <c r="J88" s="162">
        <f>+J65+J69+J74+J77+J81+J87+J86</f>
        <v>3212174</v>
      </c>
      <c r="K88" s="162">
        <f>+K65+K69+K74+K77+K81+K87+K86</f>
        <v>22961296</v>
      </c>
    </row>
    <row r="89" spans="1:11" s="330" customFormat="1" ht="12" customHeight="1" thickBot="1" x14ac:dyDescent="0.25">
      <c r="A89" s="296" t="s">
        <v>481</v>
      </c>
      <c r="B89" s="712" t="s">
        <v>482</v>
      </c>
      <c r="C89" s="756">
        <f>C64+C88</f>
        <v>2959690182</v>
      </c>
      <c r="D89" s="728">
        <f>D64+D88</f>
        <v>3410219894</v>
      </c>
      <c r="E89" s="750">
        <f>+E64+E88</f>
        <v>1824871137</v>
      </c>
      <c r="F89" s="751">
        <f>+F64+F88</f>
        <v>9863904</v>
      </c>
      <c r="G89" s="751">
        <f>+G64+G88</f>
        <v>393971766</v>
      </c>
      <c r="H89" s="157">
        <f t="shared" si="1"/>
        <v>3295113469</v>
      </c>
      <c r="I89" s="332">
        <f>+I64+I88</f>
        <v>2852259159</v>
      </c>
      <c r="J89" s="162">
        <f>+J64+J88</f>
        <v>14748471</v>
      </c>
      <c r="K89" s="162">
        <f>+K64+K88</f>
        <v>428105839</v>
      </c>
    </row>
    <row r="90" spans="1:11" s="330" customFormat="1" ht="12" customHeight="1" x14ac:dyDescent="0.2">
      <c r="A90" s="337"/>
      <c r="B90" s="338"/>
      <c r="C90" s="798"/>
      <c r="D90" s="764"/>
      <c r="E90" s="765"/>
      <c r="F90" s="765"/>
      <c r="G90" s="765"/>
      <c r="H90" s="766"/>
    </row>
    <row r="91" spans="1:11" s="330" customFormat="1" ht="12" customHeight="1" x14ac:dyDescent="0.2">
      <c r="A91" s="993" t="s">
        <v>51</v>
      </c>
      <c r="B91" s="993"/>
      <c r="C91" s="993"/>
      <c r="D91" s="993"/>
      <c r="E91" s="993"/>
      <c r="F91" s="993"/>
      <c r="G91" s="993"/>
      <c r="H91" s="993"/>
    </row>
    <row r="92" spans="1:11" s="330" customFormat="1" ht="12" customHeight="1" thickBot="1" x14ac:dyDescent="0.25">
      <c r="A92" s="994" t="s">
        <v>141</v>
      </c>
      <c r="B92" s="994"/>
      <c r="C92" s="799"/>
      <c r="D92" s="791"/>
      <c r="E92" s="791"/>
      <c r="F92" s="791"/>
      <c r="G92" s="791"/>
      <c r="H92" s="800" t="str">
        <f>H4</f>
        <v>Forintban!</v>
      </c>
    </row>
    <row r="93" spans="1:11" s="330" customFormat="1" ht="36.75" customHeight="1" thickBot="1" x14ac:dyDescent="0.25">
      <c r="A93" s="22" t="s">
        <v>20</v>
      </c>
      <c r="B93" s="724" t="s">
        <v>52</v>
      </c>
      <c r="C93" s="801" t="s">
        <v>714</v>
      </c>
      <c r="D93" s="802" t="str">
        <f>+D5</f>
        <v>2017. évi módosított előirányzat</v>
      </c>
      <c r="E93" s="795"/>
      <c r="F93" s="795"/>
      <c r="G93" s="795"/>
      <c r="H93" s="796" t="str">
        <f>+H5</f>
        <v>2018. évi előirányzat</v>
      </c>
    </row>
    <row r="94" spans="1:11" s="330" customFormat="1" ht="12" customHeight="1" thickBot="1" x14ac:dyDescent="0.25">
      <c r="A94" s="31" t="s">
        <v>466</v>
      </c>
      <c r="B94" s="370" t="s">
        <v>467</v>
      </c>
      <c r="C94" s="756" t="s">
        <v>468</v>
      </c>
      <c r="D94" s="803" t="s">
        <v>521</v>
      </c>
      <c r="E94" s="797"/>
      <c r="F94" s="797"/>
      <c r="G94" s="797"/>
      <c r="H94" s="767" t="s">
        <v>522</v>
      </c>
    </row>
    <row r="95" spans="1:11" s="330" customFormat="1" ht="15" customHeight="1" thickBot="1" x14ac:dyDescent="0.25">
      <c r="A95" s="21" t="s">
        <v>22</v>
      </c>
      <c r="B95" s="713" t="s">
        <v>520</v>
      </c>
      <c r="C95" s="756">
        <f>SUM(C96:C100)+SUM(C113)</f>
        <v>2510000576</v>
      </c>
      <c r="D95" s="728">
        <f>SUM(D96:D100)+SUM(D113)</f>
        <v>2537502119</v>
      </c>
      <c r="E95" s="761">
        <f>+E96+E97+E98+E99+E100+E113</f>
        <v>336688965</v>
      </c>
      <c r="F95" s="767">
        <f>+F96+F97+F98+F99+F100+F113</f>
        <v>223822850</v>
      </c>
      <c r="G95" s="756">
        <f>G96+G97+G98+G99+G100+G113</f>
        <v>1388014694</v>
      </c>
      <c r="H95" s="375">
        <f t="shared" ref="H95:H156" si="3">SUM(I95:K95)</f>
        <v>2471754189</v>
      </c>
      <c r="I95" s="339">
        <f>+I96+I97+I98+I99+I100+I113</f>
        <v>724315225</v>
      </c>
      <c r="J95" s="156">
        <f>+J96+J97+J98+J99+J100+J113</f>
        <v>239430458</v>
      </c>
      <c r="K95" s="351">
        <f>K96+K97+K98+K99+K100+K113</f>
        <v>1508008506</v>
      </c>
    </row>
    <row r="96" spans="1:11" s="330" customFormat="1" ht="12.95" customHeight="1" x14ac:dyDescent="0.2">
      <c r="A96" s="16" t="s">
        <v>98</v>
      </c>
      <c r="B96" s="714" t="s">
        <v>53</v>
      </c>
      <c r="C96" s="768">
        <v>1207786084</v>
      </c>
      <c r="D96" s="753">
        <f>SUM(E96:G96)+252096521+85501355+27232396-1393308+7410662+5711096+12960546+166800</f>
        <v>1094113234</v>
      </c>
      <c r="E96" s="769">
        <f>25364000+485000+6010000+3749000+165142000+48000+105000-275033584+150179</f>
        <v>-73980405</v>
      </c>
      <c r="F96" s="770">
        <v>119212000</v>
      </c>
      <c r="G96" s="770">
        <v>659195571</v>
      </c>
      <c r="H96" s="564">
        <f t="shared" si="3"/>
        <v>988725211</v>
      </c>
      <c r="I96" s="357">
        <f>2854500+25097896+75000+16116992+1182990+2491000+1016699-198000+7688261</f>
        <v>56325338</v>
      </c>
      <c r="J96" s="317">
        <f>2528076+481000+134654515+2215000+152400</f>
        <v>140030991</v>
      </c>
      <c r="K96" s="323">
        <f>784492352+662383+6760147+80000+374000</f>
        <v>792368882</v>
      </c>
    </row>
    <row r="97" spans="1:11" ht="16.5" customHeight="1" x14ac:dyDescent="0.25">
      <c r="A97" s="13" t="s">
        <v>99</v>
      </c>
      <c r="B97" s="715" t="s">
        <v>160</v>
      </c>
      <c r="C97" s="771">
        <v>271747480</v>
      </c>
      <c r="D97" s="734">
        <f>SUM(E97:G97)+28812821+9405149+5800271-280382+2089507-570939+1438961+3013037+175648</f>
        <v>230642127</v>
      </c>
      <c r="E97" s="735">
        <f>5239000+143000+1233000+14000+1652000+19299000+10000+23000-28480392-1528915</f>
        <v>-2396307</v>
      </c>
      <c r="F97" s="736">
        <v>28323500</v>
      </c>
      <c r="G97" s="736">
        <v>154830861</v>
      </c>
      <c r="H97" s="564">
        <f t="shared" si="3"/>
        <v>208564007</v>
      </c>
      <c r="I97" s="308">
        <f>500965+4771305+13275+17258+2940000+14000+207615+1015000+283238-34749+1628272</f>
        <v>11356179</v>
      </c>
      <c r="J97" s="161">
        <f>443678+114000+28757160+461687+62043</f>
        <v>29838568</v>
      </c>
      <c r="K97" s="310">
        <f>165847404+144152+1290734+14040+72930</f>
        <v>167369260</v>
      </c>
    </row>
    <row r="98" spans="1:11" x14ac:dyDescent="0.25">
      <c r="A98" s="13" t="s">
        <v>100</v>
      </c>
      <c r="B98" s="715" t="s">
        <v>130</v>
      </c>
      <c r="C98" s="772">
        <v>776462763</v>
      </c>
      <c r="D98" s="734">
        <f>SUM(E98:G98)+41579904+1600000+22320920+28158088+9295882+11813400+570939+10565807+4029458+20547308</f>
        <v>953351741</v>
      </c>
      <c r="E98" s="745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746">
        <v>52037350</v>
      </c>
      <c r="G98" s="736">
        <v>573988262</v>
      </c>
      <c r="H98" s="564">
        <f t="shared" si="3"/>
        <v>889241948</v>
      </c>
      <c r="I98" s="312">
        <f>13447475+835000+16099000+50000+52909601+3082677+6787092+2456000+4504030+871220+397000+194467+34163000+50473064+34200000+3285067+156511+9000000+563000+17207888+2681000+3300000+17042731+48545760+500000+381000+314356+178500+77000-37621053+63500+9515799</f>
        <v>295660685</v>
      </c>
      <c r="J98" s="230">
        <f>4096000+324000+352000+40114003+137126+419550-152400+20620</f>
        <v>45310899</v>
      </c>
      <c r="K98" s="310">
        <f>545896186-624000+1605578+768600+624000</f>
        <v>548270364</v>
      </c>
    </row>
    <row r="99" spans="1:11" s="328" customFormat="1" ht="12" customHeight="1" x14ac:dyDescent="0.2">
      <c r="A99" s="13" t="s">
        <v>101</v>
      </c>
      <c r="B99" s="718" t="s">
        <v>161</v>
      </c>
      <c r="C99" s="771">
        <v>72060693</v>
      </c>
      <c r="D99" s="734">
        <f>SUM(E99:G99)-6901260-4000000</f>
        <v>77248740</v>
      </c>
      <c r="E99" s="745">
        <f>70980000-5080000-2000000</f>
        <v>63900000</v>
      </c>
      <c r="F99" s="746">
        <v>24250000</v>
      </c>
      <c r="G99" s="746"/>
      <c r="H99" s="564">
        <f t="shared" si="3"/>
        <v>166562000</v>
      </c>
      <c r="I99" s="312">
        <f>69500000+3500000+69312000</f>
        <v>142312000</v>
      </c>
      <c r="J99" s="230">
        <v>24250000</v>
      </c>
      <c r="K99" s="322"/>
    </row>
    <row r="100" spans="1:11" ht="12" customHeight="1" x14ac:dyDescent="0.25">
      <c r="A100" s="13" t="s">
        <v>112</v>
      </c>
      <c r="B100" s="18" t="s">
        <v>162</v>
      </c>
      <c r="C100" s="771">
        <v>181943556</v>
      </c>
      <c r="D100" s="734">
        <f>SUM(D101:D112)</f>
        <v>117690011</v>
      </c>
      <c r="E100" s="745">
        <f>SUM(E101:E112)</f>
        <v>76126000</v>
      </c>
      <c r="F100" s="746">
        <f>SUM(F101:F112)</f>
        <v>0</v>
      </c>
      <c r="G100" s="746"/>
      <c r="H100" s="564">
        <f t="shared" si="3"/>
        <v>152217403</v>
      </c>
      <c r="I100" s="312">
        <f>45183973+52959801+660000+100000+49357310+3869819+86500</f>
        <v>152217403</v>
      </c>
      <c r="J100" s="230"/>
      <c r="K100" s="322"/>
    </row>
    <row r="101" spans="1:11" ht="12" customHeight="1" x14ac:dyDescent="0.25">
      <c r="A101" s="13" t="s">
        <v>102</v>
      </c>
      <c r="B101" s="715" t="s">
        <v>483</v>
      </c>
      <c r="C101" s="772">
        <v>6261128</v>
      </c>
      <c r="D101" s="734">
        <f>SUM(E101:G101)+1500+7242044+114463+2792500+6504</f>
        <v>10157011</v>
      </c>
      <c r="E101" s="745"/>
      <c r="F101" s="746"/>
      <c r="G101" s="746"/>
      <c r="H101" s="564">
        <f t="shared" si="3"/>
        <v>4056319</v>
      </c>
      <c r="I101" s="312">
        <f>100000+3869819+86500</f>
        <v>4056319</v>
      </c>
      <c r="J101" s="230"/>
      <c r="K101" s="322"/>
    </row>
    <row r="102" spans="1:11" ht="12" customHeight="1" x14ac:dyDescent="0.25">
      <c r="A102" s="13" t="s">
        <v>103</v>
      </c>
      <c r="B102" s="717" t="s">
        <v>484</v>
      </c>
      <c r="C102" s="772"/>
      <c r="D102" s="734">
        <f>SUM(E102:G102)</f>
        <v>0</v>
      </c>
      <c r="E102" s="745"/>
      <c r="F102" s="746"/>
      <c r="G102" s="746"/>
      <c r="H102" s="662">
        <f t="shared" si="3"/>
        <v>0</v>
      </c>
      <c r="I102" s="312"/>
      <c r="J102" s="230"/>
      <c r="K102" s="322"/>
    </row>
    <row r="103" spans="1:11" ht="12" customHeight="1" x14ac:dyDescent="0.25">
      <c r="A103" s="13" t="s">
        <v>113</v>
      </c>
      <c r="B103" s="717" t="s">
        <v>485</v>
      </c>
      <c r="C103" s="772"/>
      <c r="D103" s="734">
        <f>SUM(E103:G103)</f>
        <v>0</v>
      </c>
      <c r="E103" s="745"/>
      <c r="F103" s="746"/>
      <c r="G103" s="746"/>
      <c r="H103" s="662">
        <f t="shared" si="3"/>
        <v>0</v>
      </c>
      <c r="I103" s="312"/>
      <c r="J103" s="230"/>
      <c r="K103" s="322"/>
    </row>
    <row r="104" spans="1:11" ht="12" customHeight="1" x14ac:dyDescent="0.25">
      <c r="A104" s="13" t="s">
        <v>114</v>
      </c>
      <c r="B104" s="725" t="s">
        <v>307</v>
      </c>
      <c r="C104" s="804"/>
      <c r="D104" s="734">
        <f>SUM(E104:G104)</f>
        <v>0</v>
      </c>
      <c r="E104" s="745"/>
      <c r="F104" s="746"/>
      <c r="G104" s="746"/>
      <c r="H104" s="662">
        <f t="shared" si="3"/>
        <v>0</v>
      </c>
      <c r="I104" s="312"/>
      <c r="J104" s="230"/>
      <c r="K104" s="322"/>
    </row>
    <row r="105" spans="1:11" ht="12" customHeight="1" x14ac:dyDescent="0.25">
      <c r="A105" s="13" t="s">
        <v>115</v>
      </c>
      <c r="B105" s="723" t="s">
        <v>308</v>
      </c>
      <c r="C105" s="772"/>
      <c r="D105" s="734">
        <f>SUM(E105:G105)</f>
        <v>0</v>
      </c>
      <c r="E105" s="745"/>
      <c r="F105" s="746"/>
      <c r="G105" s="746"/>
      <c r="H105" s="662">
        <f t="shared" si="3"/>
        <v>0</v>
      </c>
      <c r="I105" s="312"/>
      <c r="J105" s="230"/>
      <c r="K105" s="322"/>
    </row>
    <row r="106" spans="1:11" ht="12" customHeight="1" x14ac:dyDescent="0.25">
      <c r="A106" s="13" t="s">
        <v>116</v>
      </c>
      <c r="B106" s="723" t="s">
        <v>309</v>
      </c>
      <c r="C106" s="772"/>
      <c r="D106" s="734">
        <f>SUM(E106:G106)</f>
        <v>0</v>
      </c>
      <c r="E106" s="745"/>
      <c r="F106" s="746"/>
      <c r="G106" s="746"/>
      <c r="H106" s="662">
        <f t="shared" si="3"/>
        <v>0</v>
      </c>
      <c r="I106" s="312"/>
      <c r="J106" s="230"/>
      <c r="K106" s="322"/>
    </row>
    <row r="107" spans="1:11" ht="12" customHeight="1" x14ac:dyDescent="0.25">
      <c r="A107" s="13" t="s">
        <v>118</v>
      </c>
      <c r="B107" s="725" t="s">
        <v>310</v>
      </c>
      <c r="C107" s="773">
        <v>113441217</v>
      </c>
      <c r="D107" s="734">
        <f>SUM(E107:G107)+60754-60754</f>
        <v>0</v>
      </c>
      <c r="E107" s="745"/>
      <c r="F107" s="746"/>
      <c r="G107" s="746"/>
      <c r="H107" s="662">
        <f t="shared" si="3"/>
        <v>660000</v>
      </c>
      <c r="I107" s="312">
        <v>660000</v>
      </c>
      <c r="J107" s="230"/>
      <c r="K107" s="322"/>
    </row>
    <row r="108" spans="1:11" ht="12" customHeight="1" x14ac:dyDescent="0.25">
      <c r="A108" s="13" t="s">
        <v>163</v>
      </c>
      <c r="B108" s="725" t="s">
        <v>311</v>
      </c>
      <c r="C108" s="804"/>
      <c r="D108" s="734">
        <f>SUM(E108:G108)</f>
        <v>0</v>
      </c>
      <c r="E108" s="745"/>
      <c r="F108" s="746"/>
      <c r="G108" s="746"/>
      <c r="H108" s="662">
        <f t="shared" si="3"/>
        <v>0</v>
      </c>
      <c r="I108" s="312"/>
      <c r="J108" s="230"/>
      <c r="K108" s="322"/>
    </row>
    <row r="109" spans="1:11" ht="12" customHeight="1" x14ac:dyDescent="0.25">
      <c r="A109" s="13" t="s">
        <v>305</v>
      </c>
      <c r="B109" s="723" t="s">
        <v>312</v>
      </c>
      <c r="C109" s="773"/>
      <c r="D109" s="734">
        <f>SUM(E109:G109)</f>
        <v>0</v>
      </c>
      <c r="E109" s="745"/>
      <c r="F109" s="746"/>
      <c r="G109" s="746"/>
      <c r="H109" s="662">
        <f t="shared" si="3"/>
        <v>0</v>
      </c>
      <c r="I109" s="312"/>
      <c r="J109" s="230"/>
      <c r="K109" s="322"/>
    </row>
    <row r="110" spans="1:11" ht="12" customHeight="1" x14ac:dyDescent="0.25">
      <c r="A110" s="12" t="s">
        <v>306</v>
      </c>
      <c r="B110" s="717" t="s">
        <v>313</v>
      </c>
      <c r="C110" s="773"/>
      <c r="D110" s="734">
        <f>SUM(E110:G110)</f>
        <v>0</v>
      </c>
      <c r="E110" s="745"/>
      <c r="F110" s="746"/>
      <c r="G110" s="746"/>
      <c r="H110" s="662">
        <f t="shared" si="3"/>
        <v>0</v>
      </c>
      <c r="I110" s="312"/>
      <c r="J110" s="230"/>
      <c r="K110" s="322"/>
    </row>
    <row r="111" spans="1:11" ht="12" customHeight="1" x14ac:dyDescent="0.25">
      <c r="A111" s="13" t="s">
        <v>486</v>
      </c>
      <c r="B111" s="717" t="s">
        <v>314</v>
      </c>
      <c r="C111" s="773"/>
      <c r="D111" s="734">
        <f>SUM(E111:G111)</f>
        <v>0</v>
      </c>
      <c r="E111" s="745"/>
      <c r="F111" s="746"/>
      <c r="G111" s="746"/>
      <c r="H111" s="662">
        <f t="shared" si="3"/>
        <v>0</v>
      </c>
      <c r="I111" s="312"/>
      <c r="J111" s="230"/>
      <c r="K111" s="322"/>
    </row>
    <row r="112" spans="1:11" ht="12" customHeight="1" x14ac:dyDescent="0.25">
      <c r="A112" s="15" t="s">
        <v>487</v>
      </c>
      <c r="B112" s="717" t="s">
        <v>315</v>
      </c>
      <c r="C112" s="773">
        <v>62241211</v>
      </c>
      <c r="D112" s="734">
        <f>SUM(E112:G112)+3500000+6600000+2000000+16082000+3225000</f>
        <v>107533000</v>
      </c>
      <c r="E112" s="735">
        <f>536000+11389000+8562000+16678000+6401000+32560000</f>
        <v>76126000</v>
      </c>
      <c r="F112" s="736"/>
      <c r="G112" s="746"/>
      <c r="H112" s="662">
        <f t="shared" si="3"/>
        <v>147501084</v>
      </c>
      <c r="I112" s="308">
        <f>5697126+16985629+22501218+52959801+660000+49357310-660000</f>
        <v>147501084</v>
      </c>
      <c r="J112" s="161"/>
      <c r="K112" s="322"/>
    </row>
    <row r="113" spans="1:11" ht="12" customHeight="1" x14ac:dyDescent="0.25">
      <c r="A113" s="13" t="s">
        <v>488</v>
      </c>
      <c r="B113" s="718" t="s">
        <v>54</v>
      </c>
      <c r="C113" s="805">
        <f>SUM(C114:C115)</f>
        <v>0</v>
      </c>
      <c r="D113" s="734">
        <f>SUM(D114:D115)</f>
        <v>64456266</v>
      </c>
      <c r="E113" s="735">
        <f>E114+E115</f>
        <v>96195254</v>
      </c>
      <c r="F113" s="736"/>
      <c r="G113" s="736">
        <f>G114+G115</f>
        <v>0</v>
      </c>
      <c r="H113" s="662">
        <f t="shared" si="3"/>
        <v>66443620</v>
      </c>
      <c r="I113" s="308">
        <f>SUM(I114:I115)</f>
        <v>66443620</v>
      </c>
      <c r="J113" s="161"/>
      <c r="K113" s="310">
        <f>K114+K115</f>
        <v>0</v>
      </c>
    </row>
    <row r="114" spans="1:11" ht="12" customHeight="1" x14ac:dyDescent="0.25">
      <c r="A114" s="13" t="s">
        <v>489</v>
      </c>
      <c r="B114" s="715" t="s">
        <v>490</v>
      </c>
      <c r="C114" s="774"/>
      <c r="D114" s="734">
        <f>SUM(E114:G114)-9172313+8719388-4010722-1042502-1846399+5485909+8185627+3000000</f>
        <v>4036034</v>
      </c>
      <c r="E114" s="745">
        <f>20000000+1656508-26939462</f>
        <v>-5282954</v>
      </c>
      <c r="F114" s="746"/>
      <c r="G114" s="736"/>
      <c r="H114" s="564">
        <f t="shared" si="3"/>
        <v>6793117</v>
      </c>
      <c r="I114" s="312">
        <f>15000000-21705-8451320+266142</f>
        <v>6793117</v>
      </c>
      <c r="J114" s="230"/>
      <c r="K114" s="310"/>
    </row>
    <row r="115" spans="1:11" ht="12" customHeight="1" thickBot="1" x14ac:dyDescent="0.3">
      <c r="A115" s="17" t="s">
        <v>491</v>
      </c>
      <c r="B115" s="719" t="s">
        <v>492</v>
      </c>
      <c r="C115" s="806"/>
      <c r="D115" s="738">
        <f>SUM(E115:G115)-8373330-1600000-8539600-6323156-7948000-7343244+31158286-32066515+411581-433998</f>
        <v>60420232</v>
      </c>
      <c r="E115" s="775">
        <f>110613300+500000-3261000-6374092</f>
        <v>101478208</v>
      </c>
      <c r="F115" s="776"/>
      <c r="G115" s="776"/>
      <c r="H115" s="886">
        <f t="shared" si="3"/>
        <v>59650503</v>
      </c>
      <c r="I115" s="358">
        <f>65846522-6946019+750000</f>
        <v>59650503</v>
      </c>
      <c r="J115" s="326"/>
      <c r="K115" s="324"/>
    </row>
    <row r="116" spans="1:11" ht="12" customHeight="1" thickBot="1" x14ac:dyDescent="0.3">
      <c r="A116" s="298" t="s">
        <v>23</v>
      </c>
      <c r="B116" s="666" t="s">
        <v>316</v>
      </c>
      <c r="C116" s="756">
        <f>SUM(C117:C119)</f>
        <v>120343408</v>
      </c>
      <c r="D116" s="728">
        <f>D117+D119+D121</f>
        <v>734391843</v>
      </c>
      <c r="E116" s="728">
        <f>+E117+E119+E121</f>
        <v>132599368</v>
      </c>
      <c r="F116" s="727">
        <f>+F117+F119+F121</f>
        <v>1901000</v>
      </c>
      <c r="G116" s="777">
        <f>+G117+G119+G121</f>
        <v>9272287</v>
      </c>
      <c r="H116" s="669">
        <f t="shared" si="3"/>
        <v>676704985</v>
      </c>
      <c r="I116" s="329">
        <f>+I117+I119+I121</f>
        <v>650181756</v>
      </c>
      <c r="J116" s="157">
        <f>+J117+J119+J121</f>
        <v>4919980</v>
      </c>
      <c r="K116" s="300">
        <f>+K117+K119+K121</f>
        <v>21603249</v>
      </c>
    </row>
    <row r="117" spans="1:11" ht="12" customHeight="1" x14ac:dyDescent="0.25">
      <c r="A117" s="14" t="s">
        <v>104</v>
      </c>
      <c r="B117" s="715" t="s">
        <v>180</v>
      </c>
      <c r="C117" s="778">
        <v>64203415</v>
      </c>
      <c r="D117" s="753">
        <f>SUM(E117:G117)+15239176+979170-265000+63976+93988736+220065714+8904148-1752617</f>
        <v>340602433</v>
      </c>
      <c r="E117" s="731">
        <f>6621000+2963001+787402+10624171+3081125+300001+529000+1654000+447000+2237000+90200+6604000+301000+204000-18155486-25581571</f>
        <v>-7294157</v>
      </c>
      <c r="F117" s="732">
        <v>1901000</v>
      </c>
      <c r="G117" s="732">
        <v>8772287</v>
      </c>
      <c r="H117" s="564">
        <f t="shared" si="3"/>
        <v>342014754</v>
      </c>
      <c r="I117" s="335">
        <f>359410+2345001+219008101+12873483+381000+1500000+3139585+33894811+377190+2338070+4950460-60000+275000+20930495+3000+1187993+457200+1422400+3150920+850748+6716258</f>
        <v>316101125</v>
      </c>
      <c r="J117" s="279">
        <v>4919980</v>
      </c>
      <c r="K117" s="325">
        <f>20394512+599137</f>
        <v>20993649</v>
      </c>
    </row>
    <row r="118" spans="1:11" x14ac:dyDescent="0.25">
      <c r="A118" s="14" t="s">
        <v>105</v>
      </c>
      <c r="B118" s="716" t="s">
        <v>320</v>
      </c>
      <c r="C118" s="779">
        <v>45795826</v>
      </c>
      <c r="D118" s="734">
        <f>SUM(E118:G118)-1000000+87765636+214128350+2959448</f>
        <v>304218048</v>
      </c>
      <c r="E118" s="731">
        <f>14492698-14128084</f>
        <v>364614</v>
      </c>
      <c r="F118" s="732"/>
      <c r="G118" s="732"/>
      <c r="H118" s="564">
        <f t="shared" si="3"/>
        <v>295275384</v>
      </c>
      <c r="I118" s="664">
        <f>12873483+33259811+218246101+22118488+6704583</f>
        <v>293202466</v>
      </c>
      <c r="J118" s="279"/>
      <c r="K118" s="325">
        <v>2072918</v>
      </c>
    </row>
    <row r="119" spans="1:11" ht="12" customHeight="1" x14ac:dyDescent="0.25">
      <c r="A119" s="14" t="s">
        <v>106</v>
      </c>
      <c r="B119" s="716" t="s">
        <v>164</v>
      </c>
      <c r="C119" s="773">
        <v>10344167</v>
      </c>
      <c r="D119" s="734">
        <f>SUM(E119:G119)-134607+7509510+735000+1000000+839841+49594413+188498728</f>
        <v>345284910</v>
      </c>
      <c r="E119" s="735">
        <f>53340000+21000000+1513000+2996000+809000+9333667+7750358</f>
        <v>96742025</v>
      </c>
      <c r="F119" s="736"/>
      <c r="G119" s="736">
        <v>500000</v>
      </c>
      <c r="H119" s="564">
        <f t="shared" si="3"/>
        <v>268879510</v>
      </c>
      <c r="I119" s="308">
        <f>180701362+1500000+37902555+48165993</f>
        <v>268269910</v>
      </c>
      <c r="J119" s="161"/>
      <c r="K119" s="310">
        <v>609600</v>
      </c>
    </row>
    <row r="120" spans="1:11" ht="12" customHeight="1" x14ac:dyDescent="0.25">
      <c r="A120" s="14" t="s">
        <v>107</v>
      </c>
      <c r="B120" s="716" t="s">
        <v>321</v>
      </c>
      <c r="C120" s="780"/>
      <c r="D120" s="734">
        <f>SUM(E120:G120)+1000000+3795044+189429682-203244</f>
        <v>247361482</v>
      </c>
      <c r="E120" s="735">
        <v>53340000</v>
      </c>
      <c r="F120" s="781"/>
      <c r="G120" s="735"/>
      <c r="H120" s="564">
        <f t="shared" si="3"/>
        <v>230773273</v>
      </c>
      <c r="I120" s="663">
        <f>146098020+36509260+48165993</f>
        <v>230773273</v>
      </c>
      <c r="J120" s="320"/>
      <c r="K120" s="308"/>
    </row>
    <row r="121" spans="1:11" ht="12" customHeight="1" x14ac:dyDescent="0.25">
      <c r="A121" s="14" t="s">
        <v>108</v>
      </c>
      <c r="B121" s="708" t="s">
        <v>182</v>
      </c>
      <c r="C121" s="782"/>
      <c r="D121" s="734">
        <f>SUM(D122:D129)</f>
        <v>48504500</v>
      </c>
      <c r="E121" s="735">
        <f>SUM(E122:E129)</f>
        <v>43151500</v>
      </c>
      <c r="F121" s="735"/>
      <c r="G121" s="735"/>
      <c r="H121" s="564">
        <f>SUM(I121:K121)</f>
        <v>65810721</v>
      </c>
      <c r="I121" s="308">
        <f>65710721+100000</f>
        <v>65810721</v>
      </c>
      <c r="J121" s="308"/>
      <c r="K121" s="308"/>
    </row>
    <row r="122" spans="1:11" ht="12" customHeight="1" x14ac:dyDescent="0.25">
      <c r="A122" s="14" t="s">
        <v>117</v>
      </c>
      <c r="B122" s="707" t="s">
        <v>383</v>
      </c>
      <c r="C122" s="783"/>
      <c r="D122" s="734">
        <f t="shared" ref="D122:D128" si="4">SUM(E122:G122)</f>
        <v>0</v>
      </c>
      <c r="E122" s="739"/>
      <c r="F122" s="739"/>
      <c r="G122" s="735"/>
      <c r="H122" s="564">
        <f t="shared" si="3"/>
        <v>0</v>
      </c>
      <c r="I122" s="145"/>
      <c r="J122" s="145"/>
      <c r="K122" s="308"/>
    </row>
    <row r="123" spans="1:11" ht="12" customHeight="1" x14ac:dyDescent="0.25">
      <c r="A123" s="14" t="s">
        <v>119</v>
      </c>
      <c r="B123" s="722" t="s">
        <v>326</v>
      </c>
      <c r="C123" s="784"/>
      <c r="D123" s="734">
        <f t="shared" si="4"/>
        <v>0</v>
      </c>
      <c r="E123" s="739"/>
      <c r="F123" s="739"/>
      <c r="G123" s="735"/>
      <c r="H123" s="564">
        <f t="shared" si="3"/>
        <v>0</v>
      </c>
      <c r="I123" s="145"/>
      <c r="J123" s="145"/>
      <c r="K123" s="308"/>
    </row>
    <row r="124" spans="1:11" ht="12" customHeight="1" x14ac:dyDescent="0.25">
      <c r="A124" s="14" t="s">
        <v>165</v>
      </c>
      <c r="B124" s="723" t="s">
        <v>309</v>
      </c>
      <c r="C124" s="807"/>
      <c r="D124" s="734">
        <f t="shared" si="4"/>
        <v>0</v>
      </c>
      <c r="E124" s="739"/>
      <c r="F124" s="739"/>
      <c r="G124" s="735"/>
      <c r="H124" s="564">
        <f t="shared" si="3"/>
        <v>0</v>
      </c>
      <c r="I124" s="145"/>
      <c r="J124" s="145"/>
      <c r="K124" s="308"/>
    </row>
    <row r="125" spans="1:11" ht="12" customHeight="1" x14ac:dyDescent="0.25">
      <c r="A125" s="14" t="s">
        <v>166</v>
      </c>
      <c r="B125" s="723" t="s">
        <v>325</v>
      </c>
      <c r="C125" s="807"/>
      <c r="D125" s="734">
        <f t="shared" si="4"/>
        <v>0</v>
      </c>
      <c r="E125" s="739"/>
      <c r="F125" s="739"/>
      <c r="G125" s="735"/>
      <c r="H125" s="564">
        <f t="shared" si="3"/>
        <v>0</v>
      </c>
      <c r="I125" s="145"/>
      <c r="J125" s="145"/>
      <c r="K125" s="308"/>
    </row>
    <row r="126" spans="1:11" ht="12" customHeight="1" x14ac:dyDescent="0.25">
      <c r="A126" s="14" t="s">
        <v>167</v>
      </c>
      <c r="B126" s="723" t="s">
        <v>324</v>
      </c>
      <c r="C126" s="807"/>
      <c r="D126" s="734">
        <f t="shared" si="4"/>
        <v>0</v>
      </c>
      <c r="E126" s="739"/>
      <c r="F126" s="739"/>
      <c r="G126" s="735"/>
      <c r="H126" s="564">
        <f t="shared" si="3"/>
        <v>0</v>
      </c>
      <c r="I126" s="145"/>
      <c r="J126" s="145"/>
      <c r="K126" s="308"/>
    </row>
    <row r="127" spans="1:11" ht="12" customHeight="1" x14ac:dyDescent="0.25">
      <c r="A127" s="14" t="s">
        <v>317</v>
      </c>
      <c r="B127" s="723" t="s">
        <v>312</v>
      </c>
      <c r="C127" s="807"/>
      <c r="D127" s="734">
        <f>SUM(E127:G127)+5000</f>
        <v>5000</v>
      </c>
      <c r="E127" s="739"/>
      <c r="F127" s="739"/>
      <c r="G127" s="735"/>
      <c r="H127" s="564">
        <f t="shared" si="3"/>
        <v>0</v>
      </c>
      <c r="I127" s="145"/>
      <c r="J127" s="145"/>
      <c r="K127" s="308"/>
    </row>
    <row r="128" spans="1:11" ht="12" customHeight="1" x14ac:dyDescent="0.25">
      <c r="A128" s="14" t="s">
        <v>318</v>
      </c>
      <c r="B128" s="723" t="s">
        <v>323</v>
      </c>
      <c r="C128" s="807"/>
      <c r="D128" s="734">
        <f t="shared" si="4"/>
        <v>0</v>
      </c>
      <c r="E128" s="739"/>
      <c r="F128" s="739"/>
      <c r="G128" s="735"/>
      <c r="H128" s="564">
        <f t="shared" si="3"/>
        <v>0</v>
      </c>
      <c r="I128" s="145"/>
      <c r="J128" s="145"/>
      <c r="K128" s="308"/>
    </row>
    <row r="129" spans="1:11" ht="12" customHeight="1" thickBot="1" x14ac:dyDescent="0.3">
      <c r="A129" s="12" t="s">
        <v>319</v>
      </c>
      <c r="B129" s="723" t="s">
        <v>322</v>
      </c>
      <c r="C129" s="773">
        <v>10344167</v>
      </c>
      <c r="D129" s="738">
        <f>SUM(E129:G129)+2400000+1348000+600000+1000000</f>
        <v>48499500</v>
      </c>
      <c r="E129" s="745">
        <f>42072000+1079500</f>
        <v>43151500</v>
      </c>
      <c r="F129" s="745"/>
      <c r="G129" s="745"/>
      <c r="H129" s="886">
        <f t="shared" si="3"/>
        <v>65810721</v>
      </c>
      <c r="I129" s="312">
        <f>65710721+100000</f>
        <v>65810721</v>
      </c>
      <c r="J129" s="312"/>
      <c r="K129" s="312"/>
    </row>
    <row r="130" spans="1:11" ht="12" customHeight="1" thickBot="1" x14ac:dyDescent="0.3">
      <c r="A130" s="19" t="s">
        <v>24</v>
      </c>
      <c r="B130" s="667" t="s">
        <v>493</v>
      </c>
      <c r="C130" s="756">
        <f>C116+C95</f>
        <v>2630343984</v>
      </c>
      <c r="D130" s="728">
        <f>D116+D95</f>
        <v>3271893962</v>
      </c>
      <c r="E130" s="728">
        <f>+E95+E116</f>
        <v>469288333</v>
      </c>
      <c r="F130" s="727">
        <f>+F95+F116</f>
        <v>225723850</v>
      </c>
      <c r="G130" s="727">
        <f>+G95+G116</f>
        <v>1397286981</v>
      </c>
      <c r="H130" s="669">
        <f t="shared" si="3"/>
        <v>3148459174</v>
      </c>
      <c r="I130" s="329">
        <f>+I95+I116</f>
        <v>1374496981</v>
      </c>
      <c r="J130" s="157">
        <f>+J95+J116</f>
        <v>244350438</v>
      </c>
      <c r="K130" s="157">
        <f>+K95+K116</f>
        <v>1529611755</v>
      </c>
    </row>
    <row r="131" spans="1:11" ht="12" customHeight="1" thickBot="1" x14ac:dyDescent="0.3">
      <c r="A131" s="19" t="s">
        <v>25</v>
      </c>
      <c r="B131" s="667" t="s">
        <v>494</v>
      </c>
      <c r="C131" s="756">
        <f>SUM(C132:C134)</f>
        <v>3044789</v>
      </c>
      <c r="D131" s="728">
        <f>SUM(D132:D134)</f>
        <v>103161000</v>
      </c>
      <c r="E131" s="728">
        <f>+E132+E133+E134</f>
        <v>103161000</v>
      </c>
      <c r="F131" s="727">
        <f>+F132+F133+F134</f>
        <v>0</v>
      </c>
      <c r="G131" s="727">
        <f>+G132+G133+G134</f>
        <v>0</v>
      </c>
      <c r="H131" s="669">
        <f t="shared" si="3"/>
        <v>108486704</v>
      </c>
      <c r="I131" s="329">
        <f>+I132+I133+I134</f>
        <v>108486704</v>
      </c>
      <c r="J131" s="157">
        <f>+J132+J133+J134</f>
        <v>0</v>
      </c>
      <c r="K131" s="157">
        <f>+K132+K133+K134</f>
        <v>0</v>
      </c>
    </row>
    <row r="132" spans="1:11" ht="12" customHeight="1" x14ac:dyDescent="0.25">
      <c r="A132" s="14" t="s">
        <v>217</v>
      </c>
      <c r="B132" s="716" t="s">
        <v>495</v>
      </c>
      <c r="C132" s="773">
        <v>3044789</v>
      </c>
      <c r="D132" s="730">
        <f>SUM(E132:G132)</f>
        <v>3161000</v>
      </c>
      <c r="E132" s="735">
        <v>3161000</v>
      </c>
      <c r="F132" s="735"/>
      <c r="G132" s="735"/>
      <c r="H132" s="662">
        <f t="shared" si="3"/>
        <v>8486704</v>
      </c>
      <c r="I132" s="308">
        <f>4042704+4444000</f>
        <v>8486704</v>
      </c>
      <c r="J132" s="308"/>
      <c r="K132" s="308"/>
    </row>
    <row r="133" spans="1:11" ht="12" customHeight="1" x14ac:dyDescent="0.25">
      <c r="A133" s="14" t="s">
        <v>220</v>
      </c>
      <c r="B133" s="716" t="s">
        <v>496</v>
      </c>
      <c r="C133" s="780"/>
      <c r="D133" s="744">
        <f>SUM(E133:G133)</f>
        <v>100000000</v>
      </c>
      <c r="E133" s="739">
        <v>100000000</v>
      </c>
      <c r="F133" s="739"/>
      <c r="G133" s="739"/>
      <c r="H133" s="662">
        <f t="shared" si="3"/>
        <v>100000000</v>
      </c>
      <c r="I133" s="145">
        <v>100000000</v>
      </c>
      <c r="J133" s="145"/>
      <c r="K133" s="145"/>
    </row>
    <row r="134" spans="1:11" ht="12" customHeight="1" thickBot="1" x14ac:dyDescent="0.3">
      <c r="A134" s="12" t="s">
        <v>221</v>
      </c>
      <c r="B134" s="716" t="s">
        <v>497</v>
      </c>
      <c r="C134" s="780"/>
      <c r="D134" s="749">
        <f>SUM(E134:G134)</f>
        <v>0</v>
      </c>
      <c r="E134" s="739"/>
      <c r="F134" s="739"/>
      <c r="G134" s="739"/>
      <c r="H134" s="668">
        <f t="shared" si="3"/>
        <v>0</v>
      </c>
      <c r="I134" s="145"/>
      <c r="J134" s="145"/>
      <c r="K134" s="145"/>
    </row>
    <row r="135" spans="1:11" ht="12" customHeight="1" thickBot="1" x14ac:dyDescent="0.3">
      <c r="A135" s="19" t="s">
        <v>26</v>
      </c>
      <c r="B135" s="667" t="s">
        <v>498</v>
      </c>
      <c r="C135" s="809">
        <f>SUM(C136:C141)</f>
        <v>0</v>
      </c>
      <c r="D135" s="758">
        <f>SUM(D136:D141)</f>
        <v>0</v>
      </c>
      <c r="E135" s="728">
        <f>+E136+E137+E138+E139+E140+E141</f>
        <v>0</v>
      </c>
      <c r="F135" s="727">
        <f>+F136+F137+F138+F139+F140+F141</f>
        <v>0</v>
      </c>
      <c r="G135" s="727">
        <f>SUM(G136:G141)</f>
        <v>0</v>
      </c>
      <c r="H135" s="669">
        <f t="shared" si="3"/>
        <v>0</v>
      </c>
      <c r="I135" s="329">
        <f>+I136+I137+I138+I139+I140+I141</f>
        <v>0</v>
      </c>
      <c r="J135" s="157">
        <f>+J136+J137+J138+J139+J140+J141</f>
        <v>0</v>
      </c>
      <c r="K135" s="157">
        <f>SUM(K136:K141)</f>
        <v>0</v>
      </c>
    </row>
    <row r="136" spans="1:11" ht="12" customHeight="1" x14ac:dyDescent="0.25">
      <c r="A136" s="14" t="s">
        <v>91</v>
      </c>
      <c r="B136" s="720" t="s">
        <v>499</v>
      </c>
      <c r="C136" s="784"/>
      <c r="D136" s="730">
        <f t="shared" ref="D136:D141" si="5">SUM(E136:G136)</f>
        <v>0</v>
      </c>
      <c r="E136" s="739"/>
      <c r="F136" s="739"/>
      <c r="G136" s="739"/>
      <c r="H136" s="665">
        <f t="shared" si="3"/>
        <v>0</v>
      </c>
      <c r="I136" s="145"/>
      <c r="J136" s="145"/>
      <c r="K136" s="145"/>
    </row>
    <row r="137" spans="1:11" ht="12" customHeight="1" x14ac:dyDescent="0.25">
      <c r="A137" s="14" t="s">
        <v>92</v>
      </c>
      <c r="B137" s="720" t="s">
        <v>500</v>
      </c>
      <c r="C137" s="784"/>
      <c r="D137" s="744">
        <f t="shared" si="5"/>
        <v>0</v>
      </c>
      <c r="E137" s="739"/>
      <c r="F137" s="739"/>
      <c r="G137" s="739"/>
      <c r="H137" s="665">
        <f t="shared" si="3"/>
        <v>0</v>
      </c>
      <c r="I137" s="145"/>
      <c r="J137" s="145"/>
      <c r="K137" s="145"/>
    </row>
    <row r="138" spans="1:11" ht="12" customHeight="1" x14ac:dyDescent="0.25">
      <c r="A138" s="14" t="s">
        <v>93</v>
      </c>
      <c r="B138" s="720" t="s">
        <v>501</v>
      </c>
      <c r="C138" s="784"/>
      <c r="D138" s="744">
        <f t="shared" si="5"/>
        <v>0</v>
      </c>
      <c r="E138" s="739"/>
      <c r="F138" s="739"/>
      <c r="G138" s="739"/>
      <c r="H138" s="665">
        <f t="shared" si="3"/>
        <v>0</v>
      </c>
      <c r="I138" s="145"/>
      <c r="J138" s="145"/>
      <c r="K138" s="145"/>
    </row>
    <row r="139" spans="1:11" ht="12" customHeight="1" x14ac:dyDescent="0.25">
      <c r="A139" s="14" t="s">
        <v>152</v>
      </c>
      <c r="B139" s="720" t="s">
        <v>502</v>
      </c>
      <c r="C139" s="784"/>
      <c r="D139" s="744">
        <f t="shared" si="5"/>
        <v>0</v>
      </c>
      <c r="E139" s="739"/>
      <c r="F139" s="739"/>
      <c r="G139" s="739"/>
      <c r="H139" s="665">
        <f t="shared" si="3"/>
        <v>0</v>
      </c>
      <c r="I139" s="145"/>
      <c r="J139" s="145"/>
      <c r="K139" s="145"/>
    </row>
    <row r="140" spans="1:11" ht="12" customHeight="1" x14ac:dyDescent="0.25">
      <c r="A140" s="14" t="s">
        <v>153</v>
      </c>
      <c r="B140" s="720" t="s">
        <v>503</v>
      </c>
      <c r="C140" s="784"/>
      <c r="D140" s="744">
        <f t="shared" si="5"/>
        <v>0</v>
      </c>
      <c r="E140" s="739"/>
      <c r="F140" s="739"/>
      <c r="G140" s="739"/>
      <c r="H140" s="665">
        <f t="shared" si="3"/>
        <v>0</v>
      </c>
      <c r="I140" s="145"/>
      <c r="J140" s="145"/>
      <c r="K140" s="145"/>
    </row>
    <row r="141" spans="1:11" ht="12" customHeight="1" thickBot="1" x14ac:dyDescent="0.3">
      <c r="A141" s="12" t="s">
        <v>154</v>
      </c>
      <c r="B141" s="720" t="s">
        <v>504</v>
      </c>
      <c r="C141" s="784"/>
      <c r="D141" s="749">
        <f t="shared" si="5"/>
        <v>0</v>
      </c>
      <c r="E141" s="739"/>
      <c r="F141" s="739"/>
      <c r="G141" s="739"/>
      <c r="H141" s="668">
        <f t="shared" si="3"/>
        <v>0</v>
      </c>
      <c r="I141" s="145"/>
      <c r="J141" s="145"/>
      <c r="K141" s="145"/>
    </row>
    <row r="142" spans="1:11" ht="12" customHeight="1" thickBot="1" x14ac:dyDescent="0.3">
      <c r="A142" s="19" t="s">
        <v>27</v>
      </c>
      <c r="B142" s="667" t="s">
        <v>505</v>
      </c>
      <c r="C142" s="756">
        <f>SUM(C143:C146)</f>
        <v>33301994</v>
      </c>
      <c r="D142" s="728">
        <f>SUM(D143:D146)</f>
        <v>35164932</v>
      </c>
      <c r="E142" s="750">
        <f>+E143+E144+E145+E146</f>
        <v>35164932</v>
      </c>
      <c r="F142" s="751">
        <f>+F143+F144+F145+F146</f>
        <v>0</v>
      </c>
      <c r="G142" s="751">
        <f>+G143+G144+G145+G146</f>
        <v>0</v>
      </c>
      <c r="H142" s="669">
        <f t="shared" si="3"/>
        <v>38167591</v>
      </c>
      <c r="I142" s="332">
        <f>+I143+I144+I145+I146</f>
        <v>38167591</v>
      </c>
      <c r="J142" s="162">
        <f>+J143+J144+J145+J146</f>
        <v>0</v>
      </c>
      <c r="K142" s="162">
        <f>+K143+K144+K145+K146</f>
        <v>0</v>
      </c>
    </row>
    <row r="143" spans="1:11" ht="12" customHeight="1" x14ac:dyDescent="0.25">
      <c r="A143" s="14" t="s">
        <v>94</v>
      </c>
      <c r="B143" s="720" t="s">
        <v>327</v>
      </c>
      <c r="C143" s="784"/>
      <c r="D143" s="730">
        <f>SUM(E143:G143)</f>
        <v>0</v>
      </c>
      <c r="E143" s="739"/>
      <c r="F143" s="739"/>
      <c r="G143" s="739"/>
      <c r="H143" s="665">
        <f t="shared" si="3"/>
        <v>0</v>
      </c>
      <c r="I143" s="145"/>
      <c r="J143" s="145"/>
      <c r="K143" s="145"/>
    </row>
    <row r="144" spans="1:11" ht="12" customHeight="1" x14ac:dyDescent="0.25">
      <c r="A144" s="14" t="s">
        <v>95</v>
      </c>
      <c r="B144" s="720" t="s">
        <v>328</v>
      </c>
      <c r="C144" s="778">
        <v>33301994</v>
      </c>
      <c r="D144" s="744">
        <f>SUM(E144:G144)</f>
        <v>35164932</v>
      </c>
      <c r="E144" s="739">
        <f>35164932</f>
        <v>35164932</v>
      </c>
      <c r="F144" s="739"/>
      <c r="G144" s="739"/>
      <c r="H144" s="662">
        <f t="shared" si="3"/>
        <v>38167591</v>
      </c>
      <c r="I144" s="145">
        <v>38167591</v>
      </c>
      <c r="J144" s="145"/>
      <c r="K144" s="145"/>
    </row>
    <row r="145" spans="1:11" ht="12" customHeight="1" x14ac:dyDescent="0.25">
      <c r="A145" s="14" t="s">
        <v>241</v>
      </c>
      <c r="B145" s="720" t="s">
        <v>506</v>
      </c>
      <c r="C145" s="784"/>
      <c r="D145" s="744">
        <f>SUM(E145:G145)</f>
        <v>0</v>
      </c>
      <c r="E145" s="739"/>
      <c r="F145" s="739"/>
      <c r="G145" s="739"/>
      <c r="H145" s="665">
        <f t="shared" si="3"/>
        <v>0</v>
      </c>
      <c r="I145" s="145"/>
      <c r="J145" s="145"/>
      <c r="K145" s="145"/>
    </row>
    <row r="146" spans="1:11" ht="12" customHeight="1" thickBot="1" x14ac:dyDescent="0.3">
      <c r="A146" s="12" t="s">
        <v>242</v>
      </c>
      <c r="B146" s="721" t="s">
        <v>346</v>
      </c>
      <c r="C146" s="785"/>
      <c r="D146" s="749">
        <f>SUM(E146:G146)</f>
        <v>0</v>
      </c>
      <c r="E146" s="739"/>
      <c r="F146" s="739"/>
      <c r="G146" s="739"/>
      <c r="H146" s="668">
        <f t="shared" si="3"/>
        <v>0</v>
      </c>
      <c r="I146" s="145"/>
      <c r="J146" s="145"/>
      <c r="K146" s="145"/>
    </row>
    <row r="147" spans="1:11" ht="12" customHeight="1" thickBot="1" x14ac:dyDescent="0.3">
      <c r="A147" s="19" t="s">
        <v>28</v>
      </c>
      <c r="B147" s="667" t="s">
        <v>507</v>
      </c>
      <c r="C147" s="759">
        <f>SUM(C148:C152)</f>
        <v>0</v>
      </c>
      <c r="D147" s="758">
        <f>SUM(D148:D152)</f>
        <v>0</v>
      </c>
      <c r="E147" s="786">
        <f>+E148+E149+E150+E151+E152</f>
        <v>0</v>
      </c>
      <c r="F147" s="787">
        <f>+F148+F149+F150+F151+F152</f>
        <v>0</v>
      </c>
      <c r="G147" s="787">
        <f>SUM(G148:G152)</f>
        <v>0</v>
      </c>
      <c r="H147" s="669">
        <f t="shared" si="3"/>
        <v>0</v>
      </c>
      <c r="I147" s="341">
        <f>+I148+I149+I150+I151+I152</f>
        <v>0</v>
      </c>
      <c r="J147" s="165">
        <f>+J148+J149+J150+J151+J152</f>
        <v>0</v>
      </c>
      <c r="K147" s="165">
        <f>SUM(K148:K152)</f>
        <v>0</v>
      </c>
    </row>
    <row r="148" spans="1:11" ht="12" customHeight="1" x14ac:dyDescent="0.25">
      <c r="A148" s="14" t="s">
        <v>96</v>
      </c>
      <c r="B148" s="720" t="s">
        <v>508</v>
      </c>
      <c r="C148" s="784"/>
      <c r="D148" s="730">
        <f t="shared" ref="D148:D154" si="6">SUM(E148:G148)</f>
        <v>0</v>
      </c>
      <c r="E148" s="739"/>
      <c r="F148" s="739"/>
      <c r="G148" s="739"/>
      <c r="H148" s="665">
        <f t="shared" si="3"/>
        <v>0</v>
      </c>
      <c r="I148" s="145"/>
      <c r="J148" s="145"/>
      <c r="K148" s="145"/>
    </row>
    <row r="149" spans="1:11" ht="12" customHeight="1" x14ac:dyDescent="0.25">
      <c r="A149" s="14" t="s">
        <v>97</v>
      </c>
      <c r="B149" s="720" t="s">
        <v>509</v>
      </c>
      <c r="C149" s="778"/>
      <c r="D149" s="744">
        <f t="shared" si="6"/>
        <v>0</v>
      </c>
      <c r="E149" s="739"/>
      <c r="F149" s="739"/>
      <c r="G149" s="739"/>
      <c r="H149" s="665">
        <f t="shared" si="3"/>
        <v>0</v>
      </c>
      <c r="I149" s="145"/>
      <c r="J149" s="145"/>
      <c r="K149" s="145"/>
    </row>
    <row r="150" spans="1:11" ht="12" customHeight="1" x14ac:dyDescent="0.25">
      <c r="A150" s="14" t="s">
        <v>253</v>
      </c>
      <c r="B150" s="720" t="s">
        <v>510</v>
      </c>
      <c r="C150" s="784"/>
      <c r="D150" s="744">
        <f t="shared" si="6"/>
        <v>0</v>
      </c>
      <c r="E150" s="739"/>
      <c r="F150" s="739"/>
      <c r="G150" s="739"/>
      <c r="H150" s="665">
        <f t="shared" si="3"/>
        <v>0</v>
      </c>
      <c r="I150" s="145"/>
      <c r="J150" s="145"/>
      <c r="K150" s="145"/>
    </row>
    <row r="151" spans="1:11" ht="12" customHeight="1" x14ac:dyDescent="0.25">
      <c r="A151" s="14" t="s">
        <v>254</v>
      </c>
      <c r="B151" s="720" t="s">
        <v>511</v>
      </c>
      <c r="C151" s="784"/>
      <c r="D151" s="744">
        <f t="shared" si="6"/>
        <v>0</v>
      </c>
      <c r="E151" s="739"/>
      <c r="F151" s="739"/>
      <c r="G151" s="739"/>
      <c r="H151" s="665">
        <f t="shared" si="3"/>
        <v>0</v>
      </c>
      <c r="I151" s="145"/>
      <c r="J151" s="145"/>
      <c r="K151" s="145"/>
    </row>
    <row r="152" spans="1:11" ht="12" customHeight="1" thickBot="1" x14ac:dyDescent="0.3">
      <c r="A152" s="14" t="s">
        <v>512</v>
      </c>
      <c r="B152" s="720" t="s">
        <v>513</v>
      </c>
      <c r="C152" s="784"/>
      <c r="D152" s="749">
        <f t="shared" si="6"/>
        <v>0</v>
      </c>
      <c r="E152" s="754"/>
      <c r="F152" s="754"/>
      <c r="G152" s="739"/>
      <c r="H152" s="668">
        <f t="shared" si="3"/>
        <v>0</v>
      </c>
      <c r="I152" s="146"/>
      <c r="J152" s="146"/>
      <c r="K152" s="145"/>
    </row>
    <row r="153" spans="1:11" ht="12" customHeight="1" thickBot="1" x14ac:dyDescent="0.3">
      <c r="A153" s="19" t="s">
        <v>29</v>
      </c>
      <c r="B153" s="667" t="s">
        <v>514</v>
      </c>
      <c r="C153" s="759"/>
      <c r="D153" s="758">
        <f t="shared" si="6"/>
        <v>0</v>
      </c>
      <c r="E153" s="786"/>
      <c r="F153" s="787"/>
      <c r="G153" s="788"/>
      <c r="H153" s="669">
        <f t="shared" si="3"/>
        <v>0</v>
      </c>
      <c r="I153" s="341"/>
      <c r="J153" s="165"/>
      <c r="K153" s="301"/>
    </row>
    <row r="154" spans="1:11" ht="12" customHeight="1" thickBot="1" x14ac:dyDescent="0.3">
      <c r="A154" s="19" t="s">
        <v>30</v>
      </c>
      <c r="B154" s="667" t="s">
        <v>515</v>
      </c>
      <c r="C154" s="759"/>
      <c r="D154" s="758">
        <f t="shared" si="6"/>
        <v>0</v>
      </c>
      <c r="E154" s="786"/>
      <c r="F154" s="787"/>
      <c r="G154" s="788"/>
      <c r="H154" s="669">
        <f t="shared" si="3"/>
        <v>0</v>
      </c>
      <c r="I154" s="341"/>
      <c r="J154" s="165"/>
      <c r="K154" s="301"/>
    </row>
    <row r="155" spans="1:11" ht="15" customHeight="1" thickBot="1" x14ac:dyDescent="0.3">
      <c r="A155" s="19" t="s">
        <v>31</v>
      </c>
      <c r="B155" s="667" t="s">
        <v>516</v>
      </c>
      <c r="C155" s="756">
        <f>C154+C153+C147+C142+C135+C131</f>
        <v>36346783</v>
      </c>
      <c r="D155" s="728">
        <f>D154+D153+D147+D142+D135+D131</f>
        <v>138325932</v>
      </c>
      <c r="E155" s="789">
        <f>+E131+E135+E142+E147+E153+E154</f>
        <v>138325932</v>
      </c>
      <c r="F155" s="790">
        <f>+F131+F135+F142+F147+F153+F154</f>
        <v>0</v>
      </c>
      <c r="G155" s="790">
        <f>+G131+G135+G142+G147+G153+G154</f>
        <v>0</v>
      </c>
      <c r="H155" s="669">
        <f t="shared" si="3"/>
        <v>146654295</v>
      </c>
      <c r="I155" s="342">
        <f>+I131+I135+I142+I147+I153+I154</f>
        <v>146654295</v>
      </c>
      <c r="J155" s="251">
        <f>+J131+J135+J142+J147+J153+J154</f>
        <v>0</v>
      </c>
      <c r="K155" s="251">
        <f>+K131+K135+K142+K147+K153+K154</f>
        <v>0</v>
      </c>
    </row>
    <row r="156" spans="1:11" s="330" customFormat="1" ht="12.95" customHeight="1" thickBot="1" x14ac:dyDescent="0.25">
      <c r="A156" s="155" t="s">
        <v>32</v>
      </c>
      <c r="B156" s="670" t="s">
        <v>517</v>
      </c>
      <c r="C156" s="756">
        <f>C155+C130</f>
        <v>2666690767</v>
      </c>
      <c r="D156" s="728">
        <f>D155+D130</f>
        <v>3410219894</v>
      </c>
      <c r="E156" s="789">
        <f>+E130+E155</f>
        <v>607614265</v>
      </c>
      <c r="F156" s="790">
        <f>+F130+F155</f>
        <v>225723850</v>
      </c>
      <c r="G156" s="790">
        <f>+G130+G155</f>
        <v>1397286981</v>
      </c>
      <c r="H156" s="669">
        <f t="shared" si="3"/>
        <v>3295113469</v>
      </c>
      <c r="I156" s="342">
        <f>+I130+I155</f>
        <v>1521151276</v>
      </c>
      <c r="J156" s="251">
        <f>+J130+J155</f>
        <v>244350438</v>
      </c>
      <c r="K156" s="251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5" right="0.75" top="1" bottom="1" header="0.5" footer="0.5"/>
  <pageSetup paperSize="9" scale="70" orientation="portrait" r:id="rId1"/>
  <headerFooter alignWithMargins="0">
    <oddHeader>&amp;R28. melléklet a 11/2018.(V.31.) önkormányzati rendelethez
TÁJÉKOZTATÓ TÁBLA</oddHeader>
  </headerFooter>
  <rowBreaks count="1" manualBreakCount="1">
    <brk id="76" max="7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82"/>
  <sheetViews>
    <sheetView view="pageLayout" topLeftCell="C1" zoomScale="85" zoomScaleNormal="85" zoomScalePageLayoutView="85" workbookViewId="0">
      <selection activeCell="D3" sqref="D3"/>
    </sheetView>
  </sheetViews>
  <sheetFormatPr defaultRowHeight="15.75" x14ac:dyDescent="0.25"/>
  <cols>
    <col min="1" max="1" width="4.83203125" style="67" customWidth="1"/>
    <col min="2" max="2" width="31.1640625" style="79" customWidth="1"/>
    <col min="3" max="6" width="11.1640625" style="79" bestFit="1" customWidth="1"/>
    <col min="7" max="7" width="11.83203125" style="79" bestFit="1" customWidth="1"/>
    <col min="8" max="8" width="11.1640625" style="79" bestFit="1" customWidth="1"/>
    <col min="9" max="9" width="12.6640625" style="79" bestFit="1" customWidth="1"/>
    <col min="10" max="10" width="11.1640625" style="79" bestFit="1" customWidth="1"/>
    <col min="11" max="11" width="12.6640625" style="79" bestFit="1" customWidth="1"/>
    <col min="12" max="12" width="11.1640625" style="79" customWidth="1"/>
    <col min="13" max="13" width="11.6640625" style="79" customWidth="1"/>
    <col min="14" max="14" width="11" style="79" customWidth="1"/>
    <col min="15" max="16" width="12.6640625" style="67" customWidth="1"/>
    <col min="17" max="17" width="5.83203125" style="630" customWidth="1"/>
    <col min="18" max="18" width="14.6640625" style="605" hidden="1" customWidth="1"/>
    <col min="19" max="19" width="16.6640625" style="605" hidden="1" customWidth="1"/>
    <col min="20" max="16384" width="9.33203125" style="79"/>
  </cols>
  <sheetData>
    <row r="1" spans="1:19" ht="31.5" customHeight="1" x14ac:dyDescent="0.25">
      <c r="A1" s="1043" t="s">
        <v>628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851"/>
      <c r="Q1" s="604"/>
    </row>
    <row r="2" spans="1:19" ht="16.5" thickBot="1" x14ac:dyDescent="0.3">
      <c r="O2" s="3" t="s">
        <v>590</v>
      </c>
      <c r="P2" s="3"/>
      <c r="Q2" s="606"/>
    </row>
    <row r="3" spans="1:19" ht="35.25" customHeight="1" thickBot="1" x14ac:dyDescent="0.3">
      <c r="A3" s="500" t="s">
        <v>20</v>
      </c>
      <c r="B3" s="501" t="s">
        <v>66</v>
      </c>
      <c r="C3" s="501" t="s">
        <v>74</v>
      </c>
      <c r="D3" s="501" t="s">
        <v>75</v>
      </c>
      <c r="E3" s="501" t="s">
        <v>76</v>
      </c>
      <c r="F3" s="501" t="s">
        <v>77</v>
      </c>
      <c r="G3" s="501" t="s">
        <v>78</v>
      </c>
      <c r="H3" s="501" t="s">
        <v>79</v>
      </c>
      <c r="I3" s="501" t="s">
        <v>80</v>
      </c>
      <c r="J3" s="501" t="s">
        <v>81</v>
      </c>
      <c r="K3" s="501" t="s">
        <v>82</v>
      </c>
      <c r="L3" s="501" t="s">
        <v>83</v>
      </c>
      <c r="M3" s="501" t="s">
        <v>84</v>
      </c>
      <c r="N3" s="501" t="s">
        <v>85</v>
      </c>
      <c r="O3" s="502" t="s">
        <v>56</v>
      </c>
      <c r="P3" s="607"/>
      <c r="Q3" s="607"/>
    </row>
    <row r="4" spans="1:19" s="69" customFormat="1" ht="15" customHeight="1" thickBot="1" x14ac:dyDescent="0.25">
      <c r="A4" s="68" t="s">
        <v>22</v>
      </c>
      <c r="B4" s="1045" t="s">
        <v>60</v>
      </c>
      <c r="C4" s="1046"/>
      <c r="D4" s="1046"/>
      <c r="E4" s="1046"/>
      <c r="F4" s="1046"/>
      <c r="G4" s="1046"/>
      <c r="H4" s="1046"/>
      <c r="I4" s="1046"/>
      <c r="J4" s="1046"/>
      <c r="K4" s="1046"/>
      <c r="L4" s="1046"/>
      <c r="M4" s="1046"/>
      <c r="N4" s="1046"/>
      <c r="O4" s="1047"/>
      <c r="P4" s="608"/>
      <c r="Q4" s="608"/>
      <c r="R4" s="609"/>
      <c r="S4" s="609"/>
    </row>
    <row r="5" spans="1:19" s="69" customFormat="1" ht="22.5" x14ac:dyDescent="0.2">
      <c r="A5" s="70" t="s">
        <v>23</v>
      </c>
      <c r="B5" s="281" t="s">
        <v>330</v>
      </c>
      <c r="C5" s="311">
        <v>70000000</v>
      </c>
      <c r="D5" s="311">
        <v>105000000</v>
      </c>
      <c r="E5" s="311">
        <f>110000000+1309600</f>
        <v>111309600</v>
      </c>
      <c r="F5" s="311">
        <v>110000000</v>
      </c>
      <c r="G5" s="311">
        <v>110000000</v>
      </c>
      <c r="H5" s="311">
        <v>115083108</v>
      </c>
      <c r="I5" s="311">
        <v>125600000</v>
      </c>
      <c r="J5" s="311">
        <v>125100000</v>
      </c>
      <c r="K5" s="311">
        <v>117270000</v>
      </c>
      <c r="L5" s="311">
        <v>110120000</v>
      </c>
      <c r="M5" s="311">
        <v>110170000</v>
      </c>
      <c r="N5" s="311">
        <f>110081468+170000</f>
        <v>110251468</v>
      </c>
      <c r="O5" s="880">
        <f t="shared" ref="O5:O14" si="0">SUM(C5:N5)</f>
        <v>1319904176</v>
      </c>
      <c r="P5" s="616"/>
      <c r="Q5" s="610"/>
      <c r="R5" s="611">
        <v>1319904176</v>
      </c>
      <c r="S5" s="612">
        <f t="shared" ref="S5:S8" si="1">O5-R5</f>
        <v>0</v>
      </c>
    </row>
    <row r="6" spans="1:19" s="73" customFormat="1" ht="22.5" x14ac:dyDescent="0.2">
      <c r="A6" s="71" t="s">
        <v>24</v>
      </c>
      <c r="B6" s="150" t="s">
        <v>374</v>
      </c>
      <c r="C6" s="290"/>
      <c r="D6" s="290">
        <v>40000000</v>
      </c>
      <c r="E6" s="290"/>
      <c r="F6" s="290">
        <f>40000000-344442</f>
        <v>39655558</v>
      </c>
      <c r="G6" s="290">
        <v>20620</v>
      </c>
      <c r="H6" s="290">
        <f>10965882+9894420-4353475</f>
        <v>16506827</v>
      </c>
      <c r="I6" s="290">
        <v>40000000</v>
      </c>
      <c r="J6" s="290">
        <v>10000000</v>
      </c>
      <c r="K6" s="290"/>
      <c r="L6" s="290">
        <v>40000000</v>
      </c>
      <c r="M6" s="290"/>
      <c r="N6" s="290">
        <v>75636836</v>
      </c>
      <c r="O6" s="881">
        <f t="shared" si="0"/>
        <v>261819841</v>
      </c>
      <c r="P6" s="616"/>
      <c r="Q6" s="610"/>
      <c r="R6" s="614">
        <v>261819841</v>
      </c>
      <c r="S6" s="615">
        <f t="shared" si="1"/>
        <v>0</v>
      </c>
    </row>
    <row r="7" spans="1:19" s="73" customFormat="1" ht="22.5" x14ac:dyDescent="0.2">
      <c r="A7" s="71" t="s">
        <v>25</v>
      </c>
      <c r="B7" s="149" t="s">
        <v>375</v>
      </c>
      <c r="C7" s="291"/>
      <c r="D7" s="291"/>
      <c r="E7" s="291"/>
      <c r="F7" s="291"/>
      <c r="G7" s="291">
        <v>3796748</v>
      </c>
      <c r="H7" s="291">
        <f>6704587+4353475+449996</f>
        <v>11508058</v>
      </c>
      <c r="I7" s="291"/>
      <c r="J7" s="291"/>
      <c r="K7" s="291"/>
      <c r="L7" s="291"/>
      <c r="M7" s="291">
        <f>5866130+48350993</f>
        <v>54217123</v>
      </c>
      <c r="N7" s="291">
        <v>3779393</v>
      </c>
      <c r="O7" s="613">
        <f t="shared" si="0"/>
        <v>73301322</v>
      </c>
      <c r="P7" s="616"/>
      <c r="Q7" s="616"/>
      <c r="R7" s="614">
        <v>73301322</v>
      </c>
      <c r="S7" s="615">
        <f t="shared" si="1"/>
        <v>0</v>
      </c>
    </row>
    <row r="8" spans="1:19" s="73" customFormat="1" ht="14.1" customHeight="1" x14ac:dyDescent="0.2">
      <c r="A8" s="71" t="s">
        <v>26</v>
      </c>
      <c r="B8" s="148" t="s">
        <v>151</v>
      </c>
      <c r="C8" s="290">
        <v>3000000</v>
      </c>
      <c r="D8" s="290">
        <v>3000000</v>
      </c>
      <c r="E8" s="290">
        <v>120000000</v>
      </c>
      <c r="F8" s="290">
        <v>15000000</v>
      </c>
      <c r="G8" s="290">
        <v>7000000</v>
      </c>
      <c r="H8" s="290">
        <v>9000000</v>
      </c>
      <c r="I8" s="290">
        <v>5000000</v>
      </c>
      <c r="J8" s="290">
        <v>20000000</v>
      </c>
      <c r="K8" s="290">
        <v>120000000</v>
      </c>
      <c r="L8" s="290">
        <v>5000000</v>
      </c>
      <c r="M8" s="290">
        <v>5000000</v>
      </c>
      <c r="N8" s="290">
        <v>40658000</v>
      </c>
      <c r="O8" s="613">
        <f t="shared" si="0"/>
        <v>352658000</v>
      </c>
      <c r="P8" s="610"/>
      <c r="Q8" s="617"/>
      <c r="R8" s="614">
        <v>352658000</v>
      </c>
      <c r="S8" s="615">
        <f t="shared" si="1"/>
        <v>0</v>
      </c>
    </row>
    <row r="9" spans="1:19" s="73" customFormat="1" ht="14.1" customHeight="1" x14ac:dyDescent="0.2">
      <c r="A9" s="71" t="s">
        <v>27</v>
      </c>
      <c r="B9" s="148" t="s">
        <v>376</v>
      </c>
      <c r="C9" s="290">
        <v>36200000</v>
      </c>
      <c r="D9" s="290">
        <v>35450000</v>
      </c>
      <c r="E9" s="290">
        <v>36250000</v>
      </c>
      <c r="F9" s="290">
        <v>35326294</v>
      </c>
      <c r="G9" s="290">
        <f>38260000+1577143</f>
        <v>39837143</v>
      </c>
      <c r="H9" s="290">
        <v>35300000</v>
      </c>
      <c r="I9" s="290">
        <v>33291164</v>
      </c>
      <c r="J9" s="290">
        <v>33290000</v>
      </c>
      <c r="K9" s="290">
        <v>39421250</v>
      </c>
      <c r="L9" s="290">
        <f>38290000+1595250</f>
        <v>39885250</v>
      </c>
      <c r="M9" s="290">
        <v>38390000</v>
      </c>
      <c r="N9" s="290">
        <v>35514867</v>
      </c>
      <c r="O9" s="881">
        <f t="shared" si="0"/>
        <v>438155968</v>
      </c>
      <c r="P9" s="610"/>
      <c r="Q9" s="616"/>
      <c r="R9" s="614">
        <v>438155968</v>
      </c>
      <c r="S9" s="615">
        <f>O9-R9</f>
        <v>0</v>
      </c>
    </row>
    <row r="10" spans="1:19" s="73" customFormat="1" ht="14.1" customHeight="1" x14ac:dyDescent="0.2">
      <c r="A10" s="71" t="s">
        <v>28</v>
      </c>
      <c r="B10" s="148" t="s">
        <v>14</v>
      </c>
      <c r="C10" s="290"/>
      <c r="D10" s="290"/>
      <c r="E10" s="290">
        <v>2625000</v>
      </c>
      <c r="F10" s="290"/>
      <c r="G10" s="290">
        <v>1920000</v>
      </c>
      <c r="H10" s="290"/>
      <c r="I10" s="290">
        <v>3000000</v>
      </c>
      <c r="J10" s="290"/>
      <c r="K10" s="290">
        <v>7787500</v>
      </c>
      <c r="L10" s="290"/>
      <c r="M10" s="290">
        <v>15000000</v>
      </c>
      <c r="N10" s="290"/>
      <c r="O10" s="613">
        <f t="shared" si="0"/>
        <v>30332500</v>
      </c>
      <c r="P10" s="617"/>
      <c r="Q10" s="617"/>
      <c r="R10" s="614">
        <v>30332500</v>
      </c>
      <c r="S10" s="615">
        <f t="shared" ref="S10:S26" si="2">O10-R10</f>
        <v>0</v>
      </c>
    </row>
    <row r="11" spans="1:19" s="73" customFormat="1" ht="14.1" customHeight="1" x14ac:dyDescent="0.2">
      <c r="A11" s="71" t="s">
        <v>29</v>
      </c>
      <c r="B11" s="148" t="s">
        <v>332</v>
      </c>
      <c r="C11" s="290">
        <v>1566000</v>
      </c>
      <c r="D11" s="290">
        <v>250000</v>
      </c>
      <c r="E11" s="290">
        <v>300000</v>
      </c>
      <c r="F11" s="290">
        <v>350000</v>
      </c>
      <c r="G11" s="290">
        <v>250000</v>
      </c>
      <c r="H11" s="290">
        <f>200000+20000</f>
        <v>220000</v>
      </c>
      <c r="I11" s="290">
        <v>350000</v>
      </c>
      <c r="J11" s="290">
        <v>250000</v>
      </c>
      <c r="K11" s="290">
        <v>400000</v>
      </c>
      <c r="L11" s="290">
        <v>300000</v>
      </c>
      <c r="M11" s="290">
        <v>300000</v>
      </c>
      <c r="N11" s="290">
        <v>250000</v>
      </c>
      <c r="O11" s="613">
        <f t="shared" si="0"/>
        <v>4786000</v>
      </c>
      <c r="P11" s="616"/>
      <c r="Q11" s="616"/>
      <c r="R11" s="614">
        <v>4786000</v>
      </c>
      <c r="S11" s="615">
        <f t="shared" si="2"/>
        <v>0</v>
      </c>
    </row>
    <row r="12" spans="1:19" s="73" customFormat="1" ht="22.5" x14ac:dyDescent="0.2">
      <c r="A12" s="71" t="s">
        <v>30</v>
      </c>
      <c r="B12" s="150" t="s">
        <v>362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613">
        <f t="shared" si="0"/>
        <v>0</v>
      </c>
      <c r="P12" s="617"/>
      <c r="Q12" s="617"/>
      <c r="R12" s="614">
        <v>0</v>
      </c>
      <c r="S12" s="615">
        <f t="shared" si="2"/>
        <v>0</v>
      </c>
    </row>
    <row r="13" spans="1:19" s="73" customFormat="1" ht="14.1" customHeight="1" thickBot="1" x14ac:dyDescent="0.25">
      <c r="A13" s="71" t="s">
        <v>31</v>
      </c>
      <c r="B13" s="148" t="s">
        <v>15</v>
      </c>
      <c r="C13" s="72">
        <f>595229853-28</f>
        <v>595229825</v>
      </c>
      <c r="D13" s="72">
        <v>40000000</v>
      </c>
      <c r="E13" s="72"/>
      <c r="F13" s="72">
        <v>60447375</v>
      </c>
      <c r="G13" s="72"/>
      <c r="H13" s="72">
        <v>25000000</v>
      </c>
      <c r="I13" s="72">
        <v>20000000</v>
      </c>
      <c r="J13" s="72">
        <v>20000000</v>
      </c>
      <c r="K13" s="290">
        <v>33478462</v>
      </c>
      <c r="L13" s="290">
        <v>10000000</v>
      </c>
      <c r="M13" s="290">
        <v>10000000</v>
      </c>
      <c r="N13" s="290"/>
      <c r="O13" s="881">
        <f t="shared" si="0"/>
        <v>814155662</v>
      </c>
      <c r="P13" s="617"/>
      <c r="Q13" s="617"/>
      <c r="R13" s="618">
        <v>814155662</v>
      </c>
      <c r="S13" s="619">
        <f t="shared" si="2"/>
        <v>0</v>
      </c>
    </row>
    <row r="14" spans="1:19" s="69" customFormat="1" ht="15.95" customHeight="1" thickBot="1" x14ac:dyDescent="0.25">
      <c r="A14" s="68" t="s">
        <v>32</v>
      </c>
      <c r="B14" s="34" t="s">
        <v>109</v>
      </c>
      <c r="C14" s="74">
        <f t="shared" ref="C14:N14" si="3">SUM(C5:C13)</f>
        <v>705995825</v>
      </c>
      <c r="D14" s="74">
        <f t="shared" si="3"/>
        <v>223700000</v>
      </c>
      <c r="E14" s="74">
        <f t="shared" si="3"/>
        <v>270484600</v>
      </c>
      <c r="F14" s="74">
        <f t="shared" si="3"/>
        <v>260779227</v>
      </c>
      <c r="G14" s="74">
        <f t="shared" si="3"/>
        <v>162824511</v>
      </c>
      <c r="H14" s="74">
        <f t="shared" si="3"/>
        <v>212617993</v>
      </c>
      <c r="I14" s="74">
        <f t="shared" si="3"/>
        <v>227241164</v>
      </c>
      <c r="J14" s="74">
        <f t="shared" si="3"/>
        <v>208640000</v>
      </c>
      <c r="K14" s="74">
        <f t="shared" si="3"/>
        <v>318357212</v>
      </c>
      <c r="L14" s="74">
        <f t="shared" si="3"/>
        <v>205305250</v>
      </c>
      <c r="M14" s="74">
        <f t="shared" si="3"/>
        <v>233077123</v>
      </c>
      <c r="N14" s="74">
        <f t="shared" si="3"/>
        <v>266090564</v>
      </c>
      <c r="O14" s="75">
        <f t="shared" si="0"/>
        <v>3295113469</v>
      </c>
      <c r="P14" s="620"/>
      <c r="Q14" s="620"/>
      <c r="R14" s="621">
        <f>SUM(R5:R13)</f>
        <v>3295113469</v>
      </c>
      <c r="S14" s="622">
        <f t="shared" si="2"/>
        <v>0</v>
      </c>
    </row>
    <row r="15" spans="1:19" s="69" customFormat="1" ht="15" customHeight="1" thickBot="1" x14ac:dyDescent="0.25">
      <c r="A15" s="68" t="s">
        <v>33</v>
      </c>
      <c r="B15" s="1045" t="s">
        <v>61</v>
      </c>
      <c r="C15" s="1046"/>
      <c r="D15" s="1046"/>
      <c r="E15" s="1046"/>
      <c r="F15" s="1046"/>
      <c r="G15" s="1046"/>
      <c r="H15" s="1046"/>
      <c r="I15" s="1046"/>
      <c r="J15" s="1046"/>
      <c r="K15" s="1046"/>
      <c r="L15" s="1046"/>
      <c r="M15" s="1046"/>
      <c r="N15" s="1046"/>
      <c r="O15" s="1047"/>
      <c r="P15" s="608"/>
      <c r="Q15" s="608"/>
      <c r="R15" s="609"/>
      <c r="S15" s="623">
        <f t="shared" si="2"/>
        <v>0</v>
      </c>
    </row>
    <row r="16" spans="1:19" s="73" customFormat="1" ht="14.1" customHeight="1" x14ac:dyDescent="0.2">
      <c r="A16" s="624" t="s">
        <v>34</v>
      </c>
      <c r="B16" s="625" t="s">
        <v>67</v>
      </c>
      <c r="C16" s="626">
        <v>80000000</v>
      </c>
      <c r="D16" s="626">
        <f>81000000-569836</f>
        <v>80430164</v>
      </c>
      <c r="E16" s="626">
        <f>83100000</f>
        <v>83100000</v>
      </c>
      <c r="F16" s="626">
        <f>81000000+666000+1095900-175365</f>
        <v>82586535</v>
      </c>
      <c r="G16" s="626">
        <v>81000000</v>
      </c>
      <c r="H16" s="626">
        <v>83000000</v>
      </c>
      <c r="I16" s="626">
        <f>81000000+1281377</f>
        <v>82281377</v>
      </c>
      <c r="J16" s="626">
        <f>82000000+1281377</f>
        <v>83281377</v>
      </c>
      <c r="K16" s="626">
        <f>84100000+1281377</f>
        <v>85381377</v>
      </c>
      <c r="L16" s="626">
        <f>81000000+1281377</f>
        <v>82281377</v>
      </c>
      <c r="M16" s="626">
        <f>81000000+1281377</f>
        <v>82281377</v>
      </c>
      <c r="N16" s="626">
        <f>81820251+1281376</f>
        <v>83101627</v>
      </c>
      <c r="O16" s="882">
        <f t="shared" ref="O16:O26" si="4">SUM(C16:N16)</f>
        <v>988725211</v>
      </c>
      <c r="P16" s="616"/>
      <c r="Q16" s="616"/>
      <c r="R16" s="627">
        <v>988725211</v>
      </c>
      <c r="S16" s="612">
        <f t="shared" si="2"/>
        <v>0</v>
      </c>
    </row>
    <row r="17" spans="1:19" s="73" customFormat="1" ht="27" customHeight="1" x14ac:dyDescent="0.2">
      <c r="A17" s="71" t="s">
        <v>35</v>
      </c>
      <c r="B17" s="150" t="s">
        <v>160</v>
      </c>
      <c r="C17" s="290">
        <v>16500000</v>
      </c>
      <c r="D17" s="290">
        <f>17000000-416745</f>
        <v>16583255</v>
      </c>
      <c r="E17" s="290">
        <v>18500000</v>
      </c>
      <c r="F17" s="290">
        <f>17000000+213701-18991+3298+121914</f>
        <v>17319922</v>
      </c>
      <c r="G17" s="290">
        <v>16720000</v>
      </c>
      <c r="H17" s="290">
        <v>18220000</v>
      </c>
      <c r="I17" s="290">
        <f>16720000+271380</f>
        <v>16991380</v>
      </c>
      <c r="J17" s="290">
        <f>17220000+271380</f>
        <v>17491380</v>
      </c>
      <c r="K17" s="290">
        <f>18720000+271380</f>
        <v>18991380</v>
      </c>
      <c r="L17" s="290">
        <f>16720000+271380</f>
        <v>16991380</v>
      </c>
      <c r="M17" s="290">
        <f>16720000+271380</f>
        <v>16991380</v>
      </c>
      <c r="N17" s="290">
        <f>16603347+240061+149150+271372</f>
        <v>17263930</v>
      </c>
      <c r="O17" s="881">
        <f t="shared" si="4"/>
        <v>208564007</v>
      </c>
      <c r="P17" s="616"/>
      <c r="Q17" s="616"/>
      <c r="R17" s="614">
        <v>208564007</v>
      </c>
      <c r="S17" s="615">
        <f t="shared" si="2"/>
        <v>0</v>
      </c>
    </row>
    <row r="18" spans="1:19" s="73" customFormat="1" ht="14.1" customHeight="1" x14ac:dyDescent="0.2">
      <c r="A18" s="71" t="s">
        <v>36</v>
      </c>
      <c r="B18" s="148" t="s">
        <v>130</v>
      </c>
      <c r="C18" s="290">
        <v>80000000</v>
      </c>
      <c r="D18" s="290">
        <v>75000000</v>
      </c>
      <c r="E18" s="290">
        <v>77400000</v>
      </c>
      <c r="F18" s="290">
        <f>83000000+44100-83792-8245+60000+302293</f>
        <v>83314356</v>
      </c>
      <c r="G18" s="290">
        <f>71000000-36509260</f>
        <v>34490740</v>
      </c>
      <c r="H18" s="290">
        <v>74000000</v>
      </c>
      <c r="I18" s="290">
        <f>77500000+1585967</f>
        <v>79085967</v>
      </c>
      <c r="J18" s="290">
        <f>76000000+1585967</f>
        <v>77585967</v>
      </c>
      <c r="K18" s="290">
        <f>80500000+1585967</f>
        <v>82085967</v>
      </c>
      <c r="L18" s="290">
        <f>76071448+1585967</f>
        <v>77657415</v>
      </c>
      <c r="M18" s="290">
        <f>75300000+1585967</f>
        <v>76885967</v>
      </c>
      <c r="N18" s="290">
        <f>70149605+1585964</f>
        <v>71735569</v>
      </c>
      <c r="O18" s="881">
        <f t="shared" si="4"/>
        <v>889241948</v>
      </c>
      <c r="P18" s="616"/>
      <c r="Q18" s="616"/>
      <c r="R18" s="614">
        <v>889241948</v>
      </c>
      <c r="S18" s="615">
        <f t="shared" si="2"/>
        <v>0</v>
      </c>
    </row>
    <row r="19" spans="1:19" s="73" customFormat="1" ht="14.1" customHeight="1" x14ac:dyDescent="0.2">
      <c r="A19" s="71" t="s">
        <v>37</v>
      </c>
      <c r="B19" s="148" t="s">
        <v>161</v>
      </c>
      <c r="C19" s="290">
        <v>5100000</v>
      </c>
      <c r="D19" s="290">
        <v>5200000</v>
      </c>
      <c r="E19" s="290">
        <v>5400000</v>
      </c>
      <c r="F19" s="290">
        <v>5300000</v>
      </c>
      <c r="G19" s="290">
        <v>5150000</v>
      </c>
      <c r="H19" s="290">
        <v>5000000</v>
      </c>
      <c r="I19" s="290">
        <v>5000000</v>
      </c>
      <c r="J19" s="290">
        <v>15000000</v>
      </c>
      <c r="K19" s="290">
        <v>5000000</v>
      </c>
      <c r="L19" s="290">
        <v>5100000</v>
      </c>
      <c r="M19" s="290">
        <f>15000000+1805000</f>
        <v>16805000</v>
      </c>
      <c r="N19" s="290">
        <f>21000000+67507000</f>
        <v>88507000</v>
      </c>
      <c r="O19" s="613">
        <f t="shared" si="4"/>
        <v>166562000</v>
      </c>
      <c r="P19" s="616"/>
      <c r="Q19" s="616"/>
      <c r="R19" s="614">
        <v>166562000</v>
      </c>
      <c r="S19" s="615">
        <f t="shared" si="2"/>
        <v>0</v>
      </c>
    </row>
    <row r="20" spans="1:19" s="73" customFormat="1" ht="14.1" customHeight="1" x14ac:dyDescent="0.2">
      <c r="A20" s="71" t="s">
        <v>38</v>
      </c>
      <c r="B20" s="148" t="s">
        <v>16</v>
      </c>
      <c r="C20" s="290"/>
      <c r="D20" s="290"/>
      <c r="E20" s="290">
        <v>10000000</v>
      </c>
      <c r="F20" s="290">
        <v>12000000</v>
      </c>
      <c r="G20" s="290">
        <f>18869819+86500</f>
        <v>18956319</v>
      </c>
      <c r="H20" s="290">
        <v>20000000</v>
      </c>
      <c r="I20" s="290">
        <v>15000000</v>
      </c>
      <c r="J20" s="290">
        <v>14000000</v>
      </c>
      <c r="K20" s="290">
        <v>15000000</v>
      </c>
      <c r="L20" s="290">
        <v>20000000</v>
      </c>
      <c r="M20" s="290">
        <v>15000000</v>
      </c>
      <c r="N20" s="290">
        <v>12261084</v>
      </c>
      <c r="O20" s="881">
        <f t="shared" si="4"/>
        <v>152217403</v>
      </c>
      <c r="P20" s="616"/>
      <c r="Q20" s="616"/>
      <c r="R20" s="614">
        <v>152217403</v>
      </c>
      <c r="S20" s="615">
        <f t="shared" si="2"/>
        <v>0</v>
      </c>
    </row>
    <row r="21" spans="1:19" s="73" customFormat="1" ht="14.1" customHeight="1" x14ac:dyDescent="0.2">
      <c r="A21" s="71" t="s">
        <v>39</v>
      </c>
      <c r="B21" s="148" t="s">
        <v>180</v>
      </c>
      <c r="C21" s="290">
        <v>3000000</v>
      </c>
      <c r="D21" s="290">
        <v>3000000</v>
      </c>
      <c r="E21" s="290">
        <v>40000000</v>
      </c>
      <c r="F21" s="290">
        <f>3000000-60000</f>
        <v>2940000</v>
      </c>
      <c r="G21" s="290">
        <v>77123107</v>
      </c>
      <c r="H21" s="290">
        <v>37753786</v>
      </c>
      <c r="I21" s="290">
        <v>63000000</v>
      </c>
      <c r="J21" s="290">
        <v>8000000</v>
      </c>
      <c r="K21" s="290">
        <v>50000000</v>
      </c>
      <c r="L21" s="290">
        <v>30481603</v>
      </c>
      <c r="M21" s="290">
        <f>15000000+6716258</f>
        <v>21716258</v>
      </c>
      <c r="N21" s="290">
        <v>5000000</v>
      </c>
      <c r="O21" s="881">
        <f t="shared" si="4"/>
        <v>342014754</v>
      </c>
      <c r="P21" s="616"/>
      <c r="Q21" s="616"/>
      <c r="R21" s="628">
        <v>342014754</v>
      </c>
      <c r="S21" s="615">
        <f t="shared" si="2"/>
        <v>0</v>
      </c>
    </row>
    <row r="22" spans="1:19" s="73" customFormat="1" x14ac:dyDescent="0.2">
      <c r="A22" s="71" t="s">
        <v>40</v>
      </c>
      <c r="B22" s="150" t="s">
        <v>164</v>
      </c>
      <c r="C22" s="290">
        <v>1000000</v>
      </c>
      <c r="D22" s="290">
        <v>10000000</v>
      </c>
      <c r="E22" s="290">
        <v>5000000</v>
      </c>
      <c r="F22" s="290">
        <v>7000000</v>
      </c>
      <c r="G22" s="290">
        <v>30000000</v>
      </c>
      <c r="H22" s="290">
        <v>10000000</v>
      </c>
      <c r="I22" s="290">
        <v>50000000</v>
      </c>
      <c r="J22" s="290">
        <v>12000000</v>
      </c>
      <c r="K22" s="290">
        <v>87902555</v>
      </c>
      <c r="L22" s="290">
        <v>3000000</v>
      </c>
      <c r="M22" s="290">
        <f>2810962+48165993</f>
        <v>50976955</v>
      </c>
      <c r="N22" s="290">
        <v>2000000</v>
      </c>
      <c r="O22" s="881">
        <f t="shared" si="4"/>
        <v>268879510</v>
      </c>
      <c r="P22" s="616"/>
      <c r="Q22" s="616"/>
      <c r="R22" s="614">
        <v>268879510</v>
      </c>
      <c r="S22" s="615">
        <f t="shared" si="2"/>
        <v>0</v>
      </c>
    </row>
    <row r="23" spans="1:19" s="73" customFormat="1" ht="14.1" customHeight="1" x14ac:dyDescent="0.2">
      <c r="A23" s="71" t="s">
        <v>41</v>
      </c>
      <c r="B23" s="148" t="s">
        <v>182</v>
      </c>
      <c r="C23" s="290"/>
      <c r="D23" s="290"/>
      <c r="E23" s="290">
        <v>34286575</v>
      </c>
      <c r="F23" s="290"/>
      <c r="G23" s="290"/>
      <c r="H23" s="290">
        <f>9221949+100000</f>
        <v>9321949</v>
      </c>
      <c r="I23" s="290">
        <f>3094850+1988342</f>
        <v>5083192</v>
      </c>
      <c r="J23" s="290">
        <v>17119005</v>
      </c>
      <c r="K23" s="290"/>
      <c r="L23" s="290"/>
      <c r="M23" s="290"/>
      <c r="N23" s="290"/>
      <c r="O23" s="613">
        <f t="shared" si="4"/>
        <v>65810721</v>
      </c>
      <c r="P23" s="616"/>
      <c r="Q23" s="616"/>
      <c r="R23" s="614">
        <v>65810721</v>
      </c>
      <c r="S23" s="615">
        <f t="shared" si="2"/>
        <v>0</v>
      </c>
    </row>
    <row r="24" spans="1:19" s="73" customFormat="1" ht="14.1" customHeight="1" x14ac:dyDescent="0.2">
      <c r="A24" s="71" t="s">
        <v>42</v>
      </c>
      <c r="B24" s="148" t="s">
        <v>54</v>
      </c>
      <c r="C24" s="290"/>
      <c r="D24" s="290"/>
      <c r="E24" s="290">
        <v>3000000</v>
      </c>
      <c r="F24" s="290">
        <v>978295</v>
      </c>
      <c r="G24" s="290">
        <v>3900000</v>
      </c>
      <c r="H24" s="290">
        <f>9100000+1016142</f>
        <v>10116142</v>
      </c>
      <c r="I24" s="290">
        <v>7100000</v>
      </c>
      <c r="J24" s="290">
        <v>8100000</v>
      </c>
      <c r="K24" s="290">
        <v>3900000</v>
      </c>
      <c r="L24" s="290">
        <v>8100000</v>
      </c>
      <c r="M24" s="290">
        <v>14246522</v>
      </c>
      <c r="N24" s="290">
        <v>7002661</v>
      </c>
      <c r="O24" s="881">
        <f t="shared" si="4"/>
        <v>66443620</v>
      </c>
      <c r="P24" s="616"/>
      <c r="Q24" s="616"/>
      <c r="R24" s="614">
        <v>66443620</v>
      </c>
      <c r="S24" s="615">
        <f t="shared" si="2"/>
        <v>0</v>
      </c>
    </row>
    <row r="25" spans="1:19" s="73" customFormat="1" ht="14.1" customHeight="1" thickBot="1" x14ac:dyDescent="0.25">
      <c r="A25" s="71" t="s">
        <v>43</v>
      </c>
      <c r="B25" s="148" t="s">
        <v>17</v>
      </c>
      <c r="C25" s="72">
        <v>38167591</v>
      </c>
      <c r="D25" s="72"/>
      <c r="E25" s="72">
        <v>2121676</v>
      </c>
      <c r="F25" s="290"/>
      <c r="G25" s="72"/>
      <c r="H25" s="290">
        <v>2121676</v>
      </c>
      <c r="I25" s="290"/>
      <c r="J25" s="290"/>
      <c r="K25" s="290">
        <v>2121676</v>
      </c>
      <c r="L25" s="290">
        <v>30000000</v>
      </c>
      <c r="M25" s="290"/>
      <c r="N25" s="290">
        <v>72121676</v>
      </c>
      <c r="O25" s="503">
        <f t="shared" si="4"/>
        <v>146654295</v>
      </c>
      <c r="P25" s="617"/>
      <c r="Q25" s="617"/>
      <c r="R25" s="618">
        <v>146654295</v>
      </c>
      <c r="S25" s="619">
        <f t="shared" si="2"/>
        <v>0</v>
      </c>
    </row>
    <row r="26" spans="1:19" s="69" customFormat="1" ht="15.95" customHeight="1" thickBot="1" x14ac:dyDescent="0.25">
      <c r="A26" s="76" t="s">
        <v>44</v>
      </c>
      <c r="B26" s="34" t="s">
        <v>110</v>
      </c>
      <c r="C26" s="74">
        <f t="shared" ref="C26:N26" si="5">SUM(C16:C25)</f>
        <v>223767591</v>
      </c>
      <c r="D26" s="74">
        <f t="shared" si="5"/>
        <v>190213419</v>
      </c>
      <c r="E26" s="74">
        <f t="shared" si="5"/>
        <v>278808251</v>
      </c>
      <c r="F26" s="74">
        <f t="shared" si="5"/>
        <v>211439108</v>
      </c>
      <c r="G26" s="74">
        <f t="shared" si="5"/>
        <v>267340166</v>
      </c>
      <c r="H26" s="74">
        <f t="shared" si="5"/>
        <v>269533553</v>
      </c>
      <c r="I26" s="74">
        <f t="shared" si="5"/>
        <v>323541916</v>
      </c>
      <c r="J26" s="74">
        <f t="shared" si="5"/>
        <v>252577729</v>
      </c>
      <c r="K26" s="74">
        <f t="shared" si="5"/>
        <v>350382955</v>
      </c>
      <c r="L26" s="74">
        <f t="shared" si="5"/>
        <v>273611775</v>
      </c>
      <c r="M26" s="74">
        <f t="shared" si="5"/>
        <v>294903459</v>
      </c>
      <c r="N26" s="74">
        <f t="shared" si="5"/>
        <v>358993547</v>
      </c>
      <c r="O26" s="75">
        <f t="shared" si="4"/>
        <v>3295113469</v>
      </c>
      <c r="P26" s="620"/>
      <c r="Q26" s="620"/>
      <c r="R26" s="621">
        <f>SUM(R16:R25)</f>
        <v>3295113469</v>
      </c>
      <c r="S26" s="622">
        <f t="shared" si="2"/>
        <v>0</v>
      </c>
    </row>
    <row r="27" spans="1:19" ht="16.5" thickBot="1" x14ac:dyDescent="0.3">
      <c r="A27" s="76" t="s">
        <v>45</v>
      </c>
      <c r="B27" s="151" t="s">
        <v>111</v>
      </c>
      <c r="C27" s="77">
        <f t="shared" ref="C27:O27" si="6">C14-C26</f>
        <v>482228234</v>
      </c>
      <c r="D27" s="77">
        <f t="shared" si="6"/>
        <v>33486581</v>
      </c>
      <c r="E27" s="77">
        <f t="shared" si="6"/>
        <v>-8323651</v>
      </c>
      <c r="F27" s="77">
        <f t="shared" si="6"/>
        <v>49340119</v>
      </c>
      <c r="G27" s="77">
        <f t="shared" si="6"/>
        <v>-104515655</v>
      </c>
      <c r="H27" s="77">
        <f t="shared" si="6"/>
        <v>-56915560</v>
      </c>
      <c r="I27" s="77">
        <f t="shared" si="6"/>
        <v>-96300752</v>
      </c>
      <c r="J27" s="77">
        <f t="shared" si="6"/>
        <v>-43937729</v>
      </c>
      <c r="K27" s="77">
        <f t="shared" si="6"/>
        <v>-32025743</v>
      </c>
      <c r="L27" s="77">
        <f t="shared" si="6"/>
        <v>-68306525</v>
      </c>
      <c r="M27" s="77">
        <f t="shared" si="6"/>
        <v>-61826336</v>
      </c>
      <c r="N27" s="77">
        <f t="shared" si="6"/>
        <v>-92902983</v>
      </c>
      <c r="O27" s="78">
        <f t="shared" si="6"/>
        <v>0</v>
      </c>
      <c r="P27" s="629"/>
      <c r="Q27" s="629"/>
    </row>
    <row r="28" spans="1:19" x14ac:dyDescent="0.25">
      <c r="A28" s="80"/>
    </row>
    <row r="29" spans="1:19" x14ac:dyDescent="0.25">
      <c r="B29" s="81"/>
      <c r="C29" s="82"/>
      <c r="D29" s="82"/>
      <c r="O29" s="79"/>
      <c r="P29" s="79"/>
      <c r="Q29" s="631"/>
    </row>
    <row r="30" spans="1:19" x14ac:dyDescent="0.25">
      <c r="O30" s="79"/>
      <c r="P30" s="79"/>
      <c r="Q30" s="631"/>
    </row>
    <row r="31" spans="1:19" x14ac:dyDescent="0.25">
      <c r="O31" s="79"/>
      <c r="P31" s="79"/>
      <c r="Q31" s="631"/>
    </row>
    <row r="32" spans="1:19" x14ac:dyDescent="0.25">
      <c r="O32" s="79"/>
      <c r="P32" s="79"/>
      <c r="Q32" s="631"/>
    </row>
    <row r="33" spans="15:17" x14ac:dyDescent="0.25">
      <c r="O33" s="79"/>
      <c r="P33" s="79"/>
      <c r="Q33" s="631"/>
    </row>
    <row r="34" spans="15:17" x14ac:dyDescent="0.25">
      <c r="O34" s="79"/>
      <c r="P34" s="79"/>
      <c r="Q34" s="631"/>
    </row>
    <row r="35" spans="15:17" x14ac:dyDescent="0.25">
      <c r="O35" s="79"/>
      <c r="P35" s="79"/>
      <c r="Q35" s="631"/>
    </row>
    <row r="36" spans="15:17" x14ac:dyDescent="0.25">
      <c r="O36" s="79"/>
      <c r="P36" s="79"/>
      <c r="Q36" s="631"/>
    </row>
    <row r="37" spans="15:17" x14ac:dyDescent="0.25">
      <c r="O37" s="79"/>
      <c r="P37" s="79"/>
      <c r="Q37" s="631"/>
    </row>
    <row r="38" spans="15:17" x14ac:dyDescent="0.25">
      <c r="O38" s="79"/>
      <c r="P38" s="79"/>
      <c r="Q38" s="631"/>
    </row>
    <row r="39" spans="15:17" x14ac:dyDescent="0.25">
      <c r="O39" s="79"/>
      <c r="P39" s="79"/>
      <c r="Q39" s="631"/>
    </row>
    <row r="40" spans="15:17" x14ac:dyDescent="0.25">
      <c r="O40" s="79"/>
      <c r="P40" s="79"/>
      <c r="Q40" s="631"/>
    </row>
    <row r="41" spans="15:17" x14ac:dyDescent="0.25">
      <c r="O41" s="79"/>
      <c r="P41" s="79"/>
      <c r="Q41" s="631"/>
    </row>
    <row r="42" spans="15:17" x14ac:dyDescent="0.25">
      <c r="O42" s="79"/>
      <c r="P42" s="79"/>
      <c r="Q42" s="631"/>
    </row>
    <row r="43" spans="15:17" x14ac:dyDescent="0.25">
      <c r="O43" s="79"/>
      <c r="P43" s="79"/>
      <c r="Q43" s="631"/>
    </row>
    <row r="44" spans="15:17" x14ac:dyDescent="0.25">
      <c r="O44" s="79"/>
      <c r="P44" s="79"/>
      <c r="Q44" s="631"/>
    </row>
    <row r="45" spans="15:17" x14ac:dyDescent="0.25">
      <c r="O45" s="79"/>
      <c r="P45" s="79"/>
      <c r="Q45" s="631"/>
    </row>
    <row r="46" spans="15:17" x14ac:dyDescent="0.25">
      <c r="O46" s="79"/>
      <c r="P46" s="79"/>
      <c r="Q46" s="631"/>
    </row>
    <row r="47" spans="15:17" x14ac:dyDescent="0.25">
      <c r="O47" s="79"/>
      <c r="P47" s="79"/>
      <c r="Q47" s="631"/>
    </row>
    <row r="48" spans="15:17" x14ac:dyDescent="0.25">
      <c r="O48" s="79"/>
      <c r="P48" s="79"/>
      <c r="Q48" s="631"/>
    </row>
    <row r="49" spans="15:17" x14ac:dyDescent="0.25">
      <c r="O49" s="79"/>
      <c r="P49" s="79"/>
      <c r="Q49" s="631"/>
    </row>
    <row r="50" spans="15:17" x14ac:dyDescent="0.25">
      <c r="O50" s="79"/>
      <c r="P50" s="79"/>
      <c r="Q50" s="631"/>
    </row>
    <row r="51" spans="15:17" x14ac:dyDescent="0.25">
      <c r="O51" s="79"/>
      <c r="P51" s="79"/>
      <c r="Q51" s="631"/>
    </row>
    <row r="52" spans="15:17" x14ac:dyDescent="0.25">
      <c r="O52" s="79"/>
      <c r="P52" s="79"/>
      <c r="Q52" s="631"/>
    </row>
    <row r="53" spans="15:17" x14ac:dyDescent="0.25">
      <c r="O53" s="79"/>
      <c r="P53" s="79"/>
      <c r="Q53" s="631"/>
    </row>
    <row r="54" spans="15:17" x14ac:dyDescent="0.25">
      <c r="O54" s="79"/>
      <c r="P54" s="79"/>
      <c r="Q54" s="631"/>
    </row>
    <row r="55" spans="15:17" x14ac:dyDescent="0.25">
      <c r="O55" s="79"/>
      <c r="P55" s="79"/>
      <c r="Q55" s="631"/>
    </row>
    <row r="56" spans="15:17" x14ac:dyDescent="0.25">
      <c r="O56" s="79"/>
      <c r="P56" s="79"/>
      <c r="Q56" s="631"/>
    </row>
    <row r="57" spans="15:17" x14ac:dyDescent="0.25">
      <c r="O57" s="79"/>
      <c r="P57" s="79"/>
      <c r="Q57" s="631"/>
    </row>
    <row r="58" spans="15:17" x14ac:dyDescent="0.25">
      <c r="O58" s="79"/>
      <c r="P58" s="79"/>
      <c r="Q58" s="631"/>
    </row>
    <row r="59" spans="15:17" x14ac:dyDescent="0.25">
      <c r="O59" s="79"/>
      <c r="P59" s="79"/>
      <c r="Q59" s="631"/>
    </row>
    <row r="60" spans="15:17" x14ac:dyDescent="0.25">
      <c r="O60" s="79"/>
      <c r="P60" s="79"/>
      <c r="Q60" s="631"/>
    </row>
    <row r="61" spans="15:17" x14ac:dyDescent="0.25">
      <c r="O61" s="79"/>
      <c r="P61" s="79"/>
      <c r="Q61" s="631"/>
    </row>
    <row r="62" spans="15:17" x14ac:dyDescent="0.25">
      <c r="O62" s="79"/>
      <c r="P62" s="79"/>
      <c r="Q62" s="631"/>
    </row>
    <row r="63" spans="15:17" x14ac:dyDescent="0.25">
      <c r="O63" s="79"/>
      <c r="P63" s="79"/>
      <c r="Q63" s="631"/>
    </row>
    <row r="64" spans="15:17" x14ac:dyDescent="0.25">
      <c r="O64" s="79"/>
      <c r="P64" s="79"/>
      <c r="Q64" s="631"/>
    </row>
    <row r="65" spans="15:17" x14ac:dyDescent="0.25">
      <c r="O65" s="79"/>
      <c r="P65" s="79"/>
      <c r="Q65" s="631"/>
    </row>
    <row r="66" spans="15:17" x14ac:dyDescent="0.25">
      <c r="O66" s="79"/>
      <c r="P66" s="79"/>
      <c r="Q66" s="631"/>
    </row>
    <row r="67" spans="15:17" x14ac:dyDescent="0.25">
      <c r="O67" s="79"/>
      <c r="P67" s="79"/>
      <c r="Q67" s="631"/>
    </row>
    <row r="68" spans="15:17" x14ac:dyDescent="0.25">
      <c r="O68" s="79"/>
      <c r="P68" s="79"/>
      <c r="Q68" s="631"/>
    </row>
    <row r="69" spans="15:17" x14ac:dyDescent="0.25">
      <c r="O69" s="79"/>
      <c r="P69" s="79"/>
      <c r="Q69" s="631"/>
    </row>
    <row r="70" spans="15:17" x14ac:dyDescent="0.25">
      <c r="O70" s="79"/>
      <c r="P70" s="79"/>
      <c r="Q70" s="631"/>
    </row>
    <row r="71" spans="15:17" x14ac:dyDescent="0.25">
      <c r="O71" s="79"/>
      <c r="P71" s="79"/>
      <c r="Q71" s="631"/>
    </row>
    <row r="72" spans="15:17" x14ac:dyDescent="0.25">
      <c r="O72" s="79"/>
      <c r="P72" s="79"/>
      <c r="Q72" s="631"/>
    </row>
    <row r="73" spans="15:17" x14ac:dyDescent="0.25">
      <c r="O73" s="79"/>
      <c r="P73" s="79"/>
      <c r="Q73" s="631"/>
    </row>
    <row r="74" spans="15:17" x14ac:dyDescent="0.25">
      <c r="O74" s="79"/>
      <c r="P74" s="79"/>
      <c r="Q74" s="631"/>
    </row>
    <row r="75" spans="15:17" x14ac:dyDescent="0.25">
      <c r="O75" s="79"/>
      <c r="P75" s="79"/>
      <c r="Q75" s="631"/>
    </row>
    <row r="76" spans="15:17" x14ac:dyDescent="0.25">
      <c r="O76" s="79"/>
      <c r="P76" s="79"/>
      <c r="Q76" s="631"/>
    </row>
    <row r="77" spans="15:17" x14ac:dyDescent="0.25">
      <c r="O77" s="79"/>
      <c r="P77" s="79"/>
      <c r="Q77" s="631"/>
    </row>
    <row r="78" spans="15:17" x14ac:dyDescent="0.25">
      <c r="O78" s="79"/>
      <c r="P78" s="79"/>
      <c r="Q78" s="631"/>
    </row>
    <row r="79" spans="15:17" x14ac:dyDescent="0.25">
      <c r="O79" s="79"/>
      <c r="P79" s="79"/>
      <c r="Q79" s="631"/>
    </row>
    <row r="80" spans="15:17" x14ac:dyDescent="0.25">
      <c r="O80" s="79"/>
      <c r="P80" s="79"/>
      <c r="Q80" s="631"/>
    </row>
    <row r="81" spans="15:17" x14ac:dyDescent="0.25">
      <c r="O81" s="79"/>
      <c r="P81" s="79"/>
      <c r="Q81" s="631"/>
    </row>
    <row r="82" spans="15:17" x14ac:dyDescent="0.25">
      <c r="O82" s="79"/>
      <c r="P82" s="79"/>
      <c r="Q82" s="631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29. melléklet a 11/2018.(V.31.)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tabSelected="1"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227" customWidth="1"/>
    <col min="2" max="2" width="83.83203125" style="227" customWidth="1"/>
    <col min="3" max="3" width="21.6640625" style="228" customWidth="1"/>
    <col min="4" max="4" width="19.33203125" style="238" hidden="1" customWidth="1"/>
    <col min="5" max="5" width="15.83203125" style="238" hidden="1" customWidth="1"/>
    <col min="6" max="6" width="15.33203125" style="238" hidden="1" customWidth="1"/>
    <col min="7" max="16384" width="9.33203125" style="238"/>
  </cols>
  <sheetData>
    <row r="1" spans="1:6" ht="15.95" customHeight="1" x14ac:dyDescent="0.25">
      <c r="A1" s="993" t="s">
        <v>19</v>
      </c>
      <c r="B1" s="993"/>
      <c r="C1" s="993"/>
    </row>
    <row r="2" spans="1:6" ht="15.95" customHeight="1" thickBot="1" x14ac:dyDescent="0.3">
      <c r="A2" s="996"/>
      <c r="B2" s="996"/>
      <c r="C2" s="166" t="s">
        <v>589</v>
      </c>
    </row>
    <row r="3" spans="1:6" ht="38.1" customHeight="1" thickBot="1" x14ac:dyDescent="0.3">
      <c r="A3" s="22" t="s">
        <v>73</v>
      </c>
      <c r="B3" s="23" t="s">
        <v>21</v>
      </c>
      <c r="C3" s="35" t="s">
        <v>617</v>
      </c>
      <c r="D3" s="227" t="s">
        <v>598</v>
      </c>
      <c r="E3" s="227" t="s">
        <v>599</v>
      </c>
      <c r="F3" s="227" t="s">
        <v>600</v>
      </c>
    </row>
    <row r="4" spans="1:6" s="239" customFormat="1" ht="12" customHeight="1" thickBot="1" x14ac:dyDescent="0.25">
      <c r="A4" s="233" t="s">
        <v>466</v>
      </c>
      <c r="B4" s="234" t="s">
        <v>467</v>
      </c>
      <c r="C4" s="235" t="s">
        <v>468</v>
      </c>
    </row>
    <row r="5" spans="1:6" s="240" customFormat="1" ht="12" customHeight="1" thickBot="1" x14ac:dyDescent="0.25">
      <c r="A5" s="19" t="s">
        <v>22</v>
      </c>
      <c r="B5" s="20" t="s">
        <v>201</v>
      </c>
      <c r="C5" s="162">
        <f t="shared" ref="C5:C68" si="0">SUM(D5:F5)</f>
        <v>196543899</v>
      </c>
      <c r="D5" s="329">
        <f>+D6+D7+D8+D9+D10+D11</f>
        <v>196543899</v>
      </c>
      <c r="E5" s="157">
        <f>+E6+E7+E8+E9+E10+E11</f>
        <v>0</v>
      </c>
      <c r="F5" s="157">
        <f>+F6+F7+F8+F9+F10+F11</f>
        <v>0</v>
      </c>
    </row>
    <row r="6" spans="1:6" s="240" customFormat="1" ht="12" customHeight="1" x14ac:dyDescent="0.2">
      <c r="A6" s="14" t="s">
        <v>98</v>
      </c>
      <c r="B6" s="241" t="s">
        <v>202</v>
      </c>
      <c r="C6" s="366">
        <f t="shared" si="0"/>
        <v>0</v>
      </c>
      <c r="D6" s="331"/>
      <c r="E6" s="279"/>
      <c r="F6" s="159"/>
    </row>
    <row r="7" spans="1:6" s="240" customFormat="1" ht="12" customHeight="1" x14ac:dyDescent="0.2">
      <c r="A7" s="13" t="s">
        <v>99</v>
      </c>
      <c r="B7" s="242" t="s">
        <v>203</v>
      </c>
      <c r="C7" s="367">
        <f t="shared" si="0"/>
        <v>0</v>
      </c>
      <c r="D7" s="145"/>
      <c r="E7" s="161"/>
      <c r="F7" s="158"/>
    </row>
    <row r="8" spans="1:6" s="240" customFormat="1" ht="12" customHeight="1" x14ac:dyDescent="0.2">
      <c r="A8" s="13" t="s">
        <v>100</v>
      </c>
      <c r="B8" s="242" t="s">
        <v>579</v>
      </c>
      <c r="C8" s="367">
        <f t="shared" si="0"/>
        <v>119410000</v>
      </c>
      <c r="D8" s="145">
        <v>119410000</v>
      </c>
      <c r="E8" s="161"/>
      <c r="F8" s="158"/>
    </row>
    <row r="9" spans="1:6" s="240" customFormat="1" ht="12" customHeight="1" x14ac:dyDescent="0.2">
      <c r="A9" s="13" t="s">
        <v>101</v>
      </c>
      <c r="B9" s="242" t="s">
        <v>205</v>
      </c>
      <c r="C9" s="367">
        <f t="shared" si="0"/>
        <v>12622000</v>
      </c>
      <c r="D9" s="145">
        <v>12622000</v>
      </c>
      <c r="E9" s="161"/>
      <c r="F9" s="158"/>
    </row>
    <row r="10" spans="1:6" s="240" customFormat="1" ht="12" customHeight="1" x14ac:dyDescent="0.2">
      <c r="A10" s="13" t="s">
        <v>137</v>
      </c>
      <c r="B10" s="153" t="s">
        <v>469</v>
      </c>
      <c r="C10" s="367">
        <f t="shared" si="0"/>
        <v>64511899</v>
      </c>
      <c r="D10" s="308">
        <f>63796813+715086</f>
        <v>64511899</v>
      </c>
      <c r="E10" s="161"/>
      <c r="F10" s="161"/>
    </row>
    <row r="11" spans="1:6" s="240" customFormat="1" ht="12" customHeight="1" thickBot="1" x14ac:dyDescent="0.25">
      <c r="A11" s="15" t="s">
        <v>102</v>
      </c>
      <c r="B11" s="154" t="s">
        <v>470</v>
      </c>
      <c r="C11" s="368">
        <f t="shared" si="0"/>
        <v>0</v>
      </c>
      <c r="D11" s="145"/>
      <c r="E11" s="158"/>
      <c r="F11" s="158"/>
    </row>
    <row r="12" spans="1:6" s="240" customFormat="1" ht="12" customHeight="1" thickBot="1" x14ac:dyDescent="0.25">
      <c r="A12" s="19" t="s">
        <v>23</v>
      </c>
      <c r="B12" s="152" t="s">
        <v>206</v>
      </c>
      <c r="C12" s="162">
        <f t="shared" si="0"/>
        <v>144946170</v>
      </c>
      <c r="D12" s="329">
        <f>+D13+D14+D15+D16+D17</f>
        <v>125433635</v>
      </c>
      <c r="E12" s="157">
        <f>+E13+E14+E15+E16+E17</f>
        <v>0</v>
      </c>
      <c r="F12" s="157">
        <f>+F13+F14+F15+F16+F17</f>
        <v>19512535</v>
      </c>
    </row>
    <row r="13" spans="1:6" s="240" customFormat="1" ht="12" customHeight="1" x14ac:dyDescent="0.2">
      <c r="A13" s="14" t="s">
        <v>104</v>
      </c>
      <c r="B13" s="241" t="s">
        <v>207</v>
      </c>
      <c r="C13" s="366">
        <f t="shared" si="0"/>
        <v>0</v>
      </c>
      <c r="D13" s="331"/>
      <c r="E13" s="159"/>
      <c r="F13" s="159"/>
    </row>
    <row r="14" spans="1:6" s="240" customFormat="1" ht="12" customHeight="1" x14ac:dyDescent="0.2">
      <c r="A14" s="13" t="s">
        <v>105</v>
      </c>
      <c r="B14" s="242" t="s">
        <v>208</v>
      </c>
      <c r="C14" s="367">
        <f t="shared" si="0"/>
        <v>0</v>
      </c>
      <c r="D14" s="145"/>
      <c r="E14" s="158"/>
      <c r="F14" s="158"/>
    </row>
    <row r="15" spans="1:6" s="240" customFormat="1" ht="12" customHeight="1" x14ac:dyDescent="0.2">
      <c r="A15" s="13" t="s">
        <v>106</v>
      </c>
      <c r="B15" s="242" t="s">
        <v>377</v>
      </c>
      <c r="C15" s="367">
        <f t="shared" si="0"/>
        <v>0</v>
      </c>
      <c r="D15" s="145"/>
      <c r="E15" s="158"/>
      <c r="F15" s="158"/>
    </row>
    <row r="16" spans="1:6" s="240" customFormat="1" ht="12" customHeight="1" x14ac:dyDescent="0.2">
      <c r="A16" s="13" t="s">
        <v>107</v>
      </c>
      <c r="B16" s="242" t="s">
        <v>378</v>
      </c>
      <c r="C16" s="367">
        <f t="shared" si="0"/>
        <v>0</v>
      </c>
      <c r="D16" s="145"/>
      <c r="E16" s="158"/>
      <c r="F16" s="158"/>
    </row>
    <row r="17" spans="1:6" s="240" customFormat="1" ht="12" customHeight="1" x14ac:dyDescent="0.2">
      <c r="A17" s="13" t="s">
        <v>108</v>
      </c>
      <c r="B17" s="242" t="s">
        <v>209</v>
      </c>
      <c r="C17" s="510">
        <f t="shared" si="0"/>
        <v>144946170</v>
      </c>
      <c r="D17" s="308">
        <f>3900000+125887110-4353475</f>
        <v>125433635</v>
      </c>
      <c r="E17" s="310"/>
      <c r="F17" s="161">
        <v>19512535</v>
      </c>
    </row>
    <row r="18" spans="1:6" s="240" customFormat="1" ht="12" customHeight="1" thickBot="1" x14ac:dyDescent="0.25">
      <c r="A18" s="15" t="s">
        <v>117</v>
      </c>
      <c r="B18" s="154" t="s">
        <v>210</v>
      </c>
      <c r="C18" s="368">
        <f t="shared" si="0"/>
        <v>399535</v>
      </c>
      <c r="D18" s="312"/>
      <c r="E18" s="230"/>
      <c r="F18" s="230">
        <v>399535</v>
      </c>
    </row>
    <row r="19" spans="1:6" s="240" customFormat="1" ht="12" customHeight="1" thickBot="1" x14ac:dyDescent="0.25">
      <c r="A19" s="19" t="s">
        <v>24</v>
      </c>
      <c r="B19" s="20" t="s">
        <v>211</v>
      </c>
      <c r="C19" s="888">
        <f t="shared" si="0"/>
        <v>4353475</v>
      </c>
      <c r="D19" s="329">
        <f>+D20+D21+D22+D23+D24</f>
        <v>4353475</v>
      </c>
      <c r="E19" s="157">
        <f>+E20+E21+E22+E23+E24</f>
        <v>0</v>
      </c>
      <c r="F19" s="157">
        <f>+F20+F21+F22+F23+F24</f>
        <v>0</v>
      </c>
    </row>
    <row r="20" spans="1:6" s="240" customFormat="1" ht="12" customHeight="1" x14ac:dyDescent="0.2">
      <c r="A20" s="14" t="s">
        <v>87</v>
      </c>
      <c r="B20" s="241" t="s">
        <v>212</v>
      </c>
      <c r="C20" s="366">
        <f t="shared" si="0"/>
        <v>0</v>
      </c>
      <c r="D20" s="331"/>
      <c r="E20" s="307"/>
      <c r="F20" s="159"/>
    </row>
    <row r="21" spans="1:6" s="240" customFormat="1" ht="12" customHeight="1" x14ac:dyDescent="0.2">
      <c r="A21" s="13" t="s">
        <v>88</v>
      </c>
      <c r="B21" s="242" t="s">
        <v>213</v>
      </c>
      <c r="C21" s="367">
        <f t="shared" si="0"/>
        <v>0</v>
      </c>
      <c r="D21" s="145"/>
      <c r="E21" s="161"/>
      <c r="F21" s="158"/>
    </row>
    <row r="22" spans="1:6" s="240" customFormat="1" ht="12" customHeight="1" x14ac:dyDescent="0.2">
      <c r="A22" s="13" t="s">
        <v>89</v>
      </c>
      <c r="B22" s="242" t="s">
        <v>379</v>
      </c>
      <c r="C22" s="367">
        <f t="shared" si="0"/>
        <v>0</v>
      </c>
      <c r="D22" s="145"/>
      <c r="E22" s="161"/>
      <c r="F22" s="158"/>
    </row>
    <row r="23" spans="1:6" s="240" customFormat="1" ht="12" customHeight="1" x14ac:dyDescent="0.2">
      <c r="A23" s="13" t="s">
        <v>90</v>
      </c>
      <c r="B23" s="242" t="s">
        <v>380</v>
      </c>
      <c r="C23" s="367">
        <f t="shared" si="0"/>
        <v>0</v>
      </c>
      <c r="D23" s="145"/>
      <c r="E23" s="161"/>
      <c r="F23" s="158"/>
    </row>
    <row r="24" spans="1:6" s="240" customFormat="1" ht="12" customHeight="1" x14ac:dyDescent="0.2">
      <c r="A24" s="13" t="s">
        <v>148</v>
      </c>
      <c r="B24" s="242" t="s">
        <v>214</v>
      </c>
      <c r="C24" s="510">
        <f t="shared" si="0"/>
        <v>4353475</v>
      </c>
      <c r="D24" s="308">
        <v>4353475</v>
      </c>
      <c r="E24" s="161"/>
      <c r="F24" s="161"/>
    </row>
    <row r="25" spans="1:6" s="240" customFormat="1" ht="12" customHeight="1" thickBot="1" x14ac:dyDescent="0.25">
      <c r="A25" s="15" t="s">
        <v>149</v>
      </c>
      <c r="B25" s="243" t="s">
        <v>215</v>
      </c>
      <c r="C25" s="368">
        <f t="shared" si="0"/>
        <v>0</v>
      </c>
      <c r="D25" s="312"/>
      <c r="E25" s="230"/>
      <c r="F25" s="230"/>
    </row>
    <row r="26" spans="1:6" s="240" customFormat="1" ht="12" customHeight="1" thickBot="1" x14ac:dyDescent="0.25">
      <c r="A26" s="19" t="s">
        <v>150</v>
      </c>
      <c r="B26" s="20" t="s">
        <v>216</v>
      </c>
      <c r="C26" s="309">
        <f t="shared" si="0"/>
        <v>0</v>
      </c>
      <c r="D26" s="332">
        <f>+D27+D31+D32+D33</f>
        <v>0</v>
      </c>
      <c r="E26" s="162">
        <f>+E27+E31+E32+E33</f>
        <v>0</v>
      </c>
      <c r="F26" s="162">
        <f>+F27+F31+F32+F33</f>
        <v>0</v>
      </c>
    </row>
    <row r="27" spans="1:6" s="240" customFormat="1" ht="12" customHeight="1" x14ac:dyDescent="0.2">
      <c r="A27" s="14" t="s">
        <v>217</v>
      </c>
      <c r="B27" s="241" t="s">
        <v>471</v>
      </c>
      <c r="C27" s="366">
        <f t="shared" si="0"/>
        <v>0</v>
      </c>
      <c r="D27" s="356">
        <f>+D28+D29+D30</f>
        <v>0</v>
      </c>
      <c r="E27" s="236"/>
      <c r="F27" s="236">
        <f>+F28+F29+F30</f>
        <v>0</v>
      </c>
    </row>
    <row r="28" spans="1:6" s="240" customFormat="1" ht="12" customHeight="1" x14ac:dyDescent="0.2">
      <c r="A28" s="13" t="s">
        <v>218</v>
      </c>
      <c r="B28" s="242" t="s">
        <v>223</v>
      </c>
      <c r="C28" s="367">
        <f t="shared" si="0"/>
        <v>0</v>
      </c>
      <c r="D28" s="145"/>
      <c r="E28" s="158"/>
      <c r="F28" s="158"/>
    </row>
    <row r="29" spans="1:6" s="240" customFormat="1" ht="12" customHeight="1" x14ac:dyDescent="0.2">
      <c r="A29" s="13" t="s">
        <v>219</v>
      </c>
      <c r="B29" s="242" t="s">
        <v>224</v>
      </c>
      <c r="C29" s="367">
        <f t="shared" si="0"/>
        <v>0</v>
      </c>
      <c r="D29" s="145"/>
      <c r="E29" s="158"/>
      <c r="F29" s="158"/>
    </row>
    <row r="30" spans="1:6" s="240" customFormat="1" ht="12" customHeight="1" x14ac:dyDescent="0.2">
      <c r="A30" s="13" t="s">
        <v>472</v>
      </c>
      <c r="B30" s="292" t="s">
        <v>473</v>
      </c>
      <c r="C30" s="367">
        <f t="shared" si="0"/>
        <v>0</v>
      </c>
      <c r="D30" s="145"/>
      <c r="E30" s="161"/>
      <c r="F30" s="158"/>
    </row>
    <row r="31" spans="1:6" s="240" customFormat="1" ht="12" customHeight="1" x14ac:dyDescent="0.2">
      <c r="A31" s="13" t="s">
        <v>220</v>
      </c>
      <c r="B31" s="242" t="s">
        <v>225</v>
      </c>
      <c r="C31" s="367">
        <f t="shared" si="0"/>
        <v>0</v>
      </c>
      <c r="D31" s="145"/>
      <c r="E31" s="158"/>
      <c r="F31" s="158"/>
    </row>
    <row r="32" spans="1:6" s="240" customFormat="1" ht="12" customHeight="1" x14ac:dyDescent="0.2">
      <c r="A32" s="13" t="s">
        <v>221</v>
      </c>
      <c r="B32" s="242" t="s">
        <v>226</v>
      </c>
      <c r="C32" s="367">
        <f t="shared" si="0"/>
        <v>0</v>
      </c>
      <c r="D32" s="145"/>
      <c r="E32" s="158"/>
      <c r="F32" s="158"/>
    </row>
    <row r="33" spans="1:6" s="240" customFormat="1" ht="12" customHeight="1" thickBot="1" x14ac:dyDescent="0.25">
      <c r="A33" s="15" t="s">
        <v>222</v>
      </c>
      <c r="B33" s="243" t="s">
        <v>227</v>
      </c>
      <c r="C33" s="368">
        <f t="shared" si="0"/>
        <v>0</v>
      </c>
      <c r="D33" s="146"/>
      <c r="E33" s="230"/>
      <c r="F33" s="160"/>
    </row>
    <row r="34" spans="1:6" s="240" customFormat="1" ht="12" customHeight="1" thickBot="1" x14ac:dyDescent="0.25">
      <c r="A34" s="19" t="s">
        <v>26</v>
      </c>
      <c r="B34" s="20" t="s">
        <v>474</v>
      </c>
      <c r="C34" s="162">
        <f t="shared" si="0"/>
        <v>199747886</v>
      </c>
      <c r="D34" s="329">
        <f>SUM(D35:D45)</f>
        <v>17177250</v>
      </c>
      <c r="E34" s="157">
        <f>SUM(E35:E45)</f>
        <v>3646250</v>
      </c>
      <c r="F34" s="157">
        <f>SUM(F35:F45)</f>
        <v>178924386</v>
      </c>
    </row>
    <row r="35" spans="1:6" s="240" customFormat="1" ht="12" customHeight="1" x14ac:dyDescent="0.2">
      <c r="A35" s="14" t="s">
        <v>91</v>
      </c>
      <c r="B35" s="241" t="s">
        <v>230</v>
      </c>
      <c r="C35" s="366">
        <f t="shared" si="0"/>
        <v>12159000</v>
      </c>
      <c r="D35" s="331">
        <v>12159000</v>
      </c>
      <c r="E35" s="279"/>
      <c r="F35" s="159"/>
    </row>
    <row r="36" spans="1:6" s="240" customFormat="1" ht="12" customHeight="1" x14ac:dyDescent="0.2">
      <c r="A36" s="13" t="s">
        <v>92</v>
      </c>
      <c r="B36" s="242" t="s">
        <v>231</v>
      </c>
      <c r="C36" s="367">
        <f t="shared" si="0"/>
        <v>8730783</v>
      </c>
      <c r="D36" s="308">
        <v>62992</v>
      </c>
      <c r="E36" s="161">
        <f>500000+2371063</f>
        <v>2871063</v>
      </c>
      <c r="F36" s="159">
        <v>5796728</v>
      </c>
    </row>
    <row r="37" spans="1:6" s="240" customFormat="1" ht="12" customHeight="1" x14ac:dyDescent="0.2">
      <c r="A37" s="13" t="s">
        <v>93</v>
      </c>
      <c r="B37" s="242" t="s">
        <v>232</v>
      </c>
      <c r="C37" s="367">
        <f t="shared" si="0"/>
        <v>12700000</v>
      </c>
      <c r="D37" s="308"/>
      <c r="E37" s="161"/>
      <c r="F37" s="159">
        <v>12700000</v>
      </c>
    </row>
    <row r="38" spans="1:6" s="240" customFormat="1" ht="12" customHeight="1" x14ac:dyDescent="0.2">
      <c r="A38" s="13" t="s">
        <v>152</v>
      </c>
      <c r="B38" s="242" t="s">
        <v>233</v>
      </c>
      <c r="C38" s="367">
        <f t="shared" si="0"/>
        <v>0</v>
      </c>
      <c r="D38" s="145"/>
      <c r="E38" s="161"/>
      <c r="F38" s="159"/>
    </row>
    <row r="39" spans="1:6" s="240" customFormat="1" ht="12" customHeight="1" x14ac:dyDescent="0.2">
      <c r="A39" s="13" t="s">
        <v>153</v>
      </c>
      <c r="B39" s="242" t="s">
        <v>234</v>
      </c>
      <c r="C39" s="367">
        <f t="shared" si="0"/>
        <v>157919035</v>
      </c>
      <c r="D39" s="145"/>
      <c r="E39" s="161"/>
      <c r="F39" s="159">
        <v>157919035</v>
      </c>
    </row>
    <row r="40" spans="1:6" s="240" customFormat="1" ht="12" customHeight="1" x14ac:dyDescent="0.2">
      <c r="A40" s="13" t="s">
        <v>154</v>
      </c>
      <c r="B40" s="242" t="s">
        <v>235</v>
      </c>
      <c r="C40" s="367">
        <f t="shared" si="0"/>
        <v>6583818</v>
      </c>
      <c r="D40" s="145">
        <f>3283000+17008</f>
        <v>3300008</v>
      </c>
      <c r="E40" s="161">
        <f>135000+640187</f>
        <v>775187</v>
      </c>
      <c r="F40" s="159">
        <v>2508623</v>
      </c>
    </row>
    <row r="41" spans="1:6" s="240" customFormat="1" ht="12" customHeight="1" x14ac:dyDescent="0.2">
      <c r="A41" s="13" t="s">
        <v>155</v>
      </c>
      <c r="B41" s="242" t="s">
        <v>236</v>
      </c>
      <c r="C41" s="367">
        <f t="shared" si="0"/>
        <v>0</v>
      </c>
      <c r="D41" s="145"/>
      <c r="E41" s="161"/>
      <c r="F41" s="159"/>
    </row>
    <row r="42" spans="1:6" s="240" customFormat="1" ht="12" customHeight="1" x14ac:dyDescent="0.2">
      <c r="A42" s="13" t="s">
        <v>156</v>
      </c>
      <c r="B42" s="242" t="s">
        <v>576</v>
      </c>
      <c r="C42" s="367">
        <f t="shared" si="0"/>
        <v>0</v>
      </c>
      <c r="D42" s="145"/>
      <c r="E42" s="161"/>
      <c r="F42" s="161"/>
    </row>
    <row r="43" spans="1:6" s="240" customFormat="1" ht="12" customHeight="1" x14ac:dyDescent="0.2">
      <c r="A43" s="13" t="s">
        <v>228</v>
      </c>
      <c r="B43" s="242" t="s">
        <v>238</v>
      </c>
      <c r="C43" s="367">
        <f t="shared" si="0"/>
        <v>0</v>
      </c>
      <c r="D43" s="308"/>
      <c r="E43" s="161"/>
      <c r="F43" s="161"/>
    </row>
    <row r="44" spans="1:6" s="240" customFormat="1" ht="12" customHeight="1" x14ac:dyDescent="0.2">
      <c r="A44" s="15" t="s">
        <v>229</v>
      </c>
      <c r="B44" s="243" t="s">
        <v>475</v>
      </c>
      <c r="C44" s="367">
        <f t="shared" si="0"/>
        <v>0</v>
      </c>
      <c r="D44" s="312"/>
      <c r="E44" s="230"/>
      <c r="F44" s="230"/>
    </row>
    <row r="45" spans="1:6" s="240" customFormat="1" ht="12" customHeight="1" thickBot="1" x14ac:dyDescent="0.25">
      <c r="A45" s="15" t="s">
        <v>476</v>
      </c>
      <c r="B45" s="154" t="s">
        <v>239</v>
      </c>
      <c r="C45" s="852">
        <f t="shared" si="0"/>
        <v>1655250</v>
      </c>
      <c r="D45" s="312">
        <f>60000+1595250</f>
        <v>1655250</v>
      </c>
      <c r="E45" s="230"/>
      <c r="F45" s="230"/>
    </row>
    <row r="46" spans="1:6" s="240" customFormat="1" ht="12" customHeight="1" thickBot="1" x14ac:dyDescent="0.25">
      <c r="A46" s="19" t="s">
        <v>27</v>
      </c>
      <c r="B46" s="20" t="s">
        <v>240</v>
      </c>
      <c r="C46" s="162">
        <f t="shared" si="0"/>
        <v>0</v>
      </c>
      <c r="D46" s="329">
        <f>SUM(D47:D51)</f>
        <v>0</v>
      </c>
      <c r="E46" s="157">
        <f>SUM(E47:E51)</f>
        <v>0</v>
      </c>
      <c r="F46" s="157">
        <f>SUM(F47:F51)</f>
        <v>0</v>
      </c>
    </row>
    <row r="47" spans="1:6" s="240" customFormat="1" ht="12" customHeight="1" x14ac:dyDescent="0.2">
      <c r="A47" s="14" t="s">
        <v>94</v>
      </c>
      <c r="B47" s="241" t="s">
        <v>244</v>
      </c>
      <c r="C47" s="366">
        <f t="shared" si="0"/>
        <v>0</v>
      </c>
      <c r="D47" s="335"/>
      <c r="E47" s="279"/>
      <c r="F47" s="279"/>
    </row>
    <row r="48" spans="1:6" s="240" customFormat="1" ht="12" customHeight="1" x14ac:dyDescent="0.2">
      <c r="A48" s="13" t="s">
        <v>95</v>
      </c>
      <c r="B48" s="242" t="s">
        <v>245</v>
      </c>
      <c r="C48" s="367">
        <f t="shared" si="0"/>
        <v>0</v>
      </c>
      <c r="D48" s="308"/>
      <c r="E48" s="161"/>
      <c r="F48" s="161"/>
    </row>
    <row r="49" spans="1:6" s="240" customFormat="1" ht="12" customHeight="1" x14ac:dyDescent="0.2">
      <c r="A49" s="13" t="s">
        <v>241</v>
      </c>
      <c r="B49" s="242" t="s">
        <v>246</v>
      </c>
      <c r="C49" s="367">
        <f t="shared" si="0"/>
        <v>0</v>
      </c>
      <c r="D49" s="308"/>
      <c r="E49" s="161"/>
      <c r="F49" s="161"/>
    </row>
    <row r="50" spans="1:6" s="240" customFormat="1" ht="12" customHeight="1" x14ac:dyDescent="0.2">
      <c r="A50" s="13" t="s">
        <v>242</v>
      </c>
      <c r="B50" s="242" t="s">
        <v>247</v>
      </c>
      <c r="C50" s="367">
        <f t="shared" si="0"/>
        <v>0</v>
      </c>
      <c r="D50" s="308"/>
      <c r="E50" s="161"/>
      <c r="F50" s="161"/>
    </row>
    <row r="51" spans="1:6" s="240" customFormat="1" ht="12" customHeight="1" thickBot="1" x14ac:dyDescent="0.25">
      <c r="A51" s="15" t="s">
        <v>243</v>
      </c>
      <c r="B51" s="154" t="s">
        <v>248</v>
      </c>
      <c r="C51" s="368">
        <f t="shared" si="0"/>
        <v>0</v>
      </c>
      <c r="D51" s="312"/>
      <c r="E51" s="230"/>
      <c r="F51" s="230"/>
    </row>
    <row r="52" spans="1:6" s="240" customFormat="1" ht="12" customHeight="1" thickBot="1" x14ac:dyDescent="0.25">
      <c r="A52" s="19" t="s">
        <v>157</v>
      </c>
      <c r="B52" s="20" t="s">
        <v>249</v>
      </c>
      <c r="C52" s="162">
        <f t="shared" si="0"/>
        <v>1866000</v>
      </c>
      <c r="D52" s="329">
        <f>SUM(D53:D55)</f>
        <v>1866000</v>
      </c>
      <c r="E52" s="157">
        <f>SUM(E53:E55)</f>
        <v>0</v>
      </c>
      <c r="F52" s="157">
        <f>SUM(F53:F55)</f>
        <v>0</v>
      </c>
    </row>
    <row r="53" spans="1:6" s="240" customFormat="1" ht="12" customHeight="1" x14ac:dyDescent="0.2">
      <c r="A53" s="14" t="s">
        <v>96</v>
      </c>
      <c r="B53" s="241" t="s">
        <v>250</v>
      </c>
      <c r="C53" s="366">
        <f t="shared" si="0"/>
        <v>0</v>
      </c>
      <c r="D53" s="331"/>
      <c r="E53" s="159"/>
      <c r="F53" s="159"/>
    </row>
    <row r="54" spans="1:6" s="240" customFormat="1" ht="12" customHeight="1" x14ac:dyDescent="0.2">
      <c r="A54" s="13" t="s">
        <v>97</v>
      </c>
      <c r="B54" s="242" t="s">
        <v>381</v>
      </c>
      <c r="C54" s="367">
        <f t="shared" si="0"/>
        <v>1866000</v>
      </c>
      <c r="D54" s="308">
        <f>300000+1566000</f>
        <v>1866000</v>
      </c>
      <c r="E54" s="161"/>
      <c r="F54" s="161"/>
    </row>
    <row r="55" spans="1:6" s="240" customFormat="1" ht="12" customHeight="1" x14ac:dyDescent="0.2">
      <c r="A55" s="13" t="s">
        <v>253</v>
      </c>
      <c r="B55" s="242" t="s">
        <v>251</v>
      </c>
      <c r="C55" s="367">
        <f t="shared" si="0"/>
        <v>0</v>
      </c>
      <c r="D55" s="308"/>
      <c r="E55" s="161"/>
      <c r="F55" s="161"/>
    </row>
    <row r="56" spans="1:6" s="240" customFormat="1" ht="12" customHeight="1" thickBot="1" x14ac:dyDescent="0.25">
      <c r="A56" s="15" t="s">
        <v>254</v>
      </c>
      <c r="B56" s="154" t="s">
        <v>252</v>
      </c>
      <c r="C56" s="368">
        <f t="shared" si="0"/>
        <v>0</v>
      </c>
      <c r="D56" s="146"/>
      <c r="E56" s="160"/>
      <c r="F56" s="160"/>
    </row>
    <row r="57" spans="1:6" s="240" customFormat="1" ht="12" customHeight="1" thickBot="1" x14ac:dyDescent="0.25">
      <c r="A57" s="19" t="s">
        <v>29</v>
      </c>
      <c r="B57" s="152" t="s">
        <v>255</v>
      </c>
      <c r="C57" s="162">
        <f t="shared" si="0"/>
        <v>0</v>
      </c>
      <c r="D57" s="329">
        <f>SUM(D58:D60)</f>
        <v>0</v>
      </c>
      <c r="E57" s="157">
        <f>SUM(E58:E60)</f>
        <v>0</v>
      </c>
      <c r="F57" s="157">
        <f>SUM(F58:F60)</f>
        <v>0</v>
      </c>
    </row>
    <row r="58" spans="1:6" s="240" customFormat="1" ht="12" customHeight="1" x14ac:dyDescent="0.2">
      <c r="A58" s="14" t="s">
        <v>158</v>
      </c>
      <c r="B58" s="241" t="s">
        <v>257</v>
      </c>
      <c r="C58" s="366">
        <f t="shared" si="0"/>
        <v>0</v>
      </c>
      <c r="D58" s="308"/>
      <c r="E58" s="161"/>
      <c r="F58" s="161"/>
    </row>
    <row r="59" spans="1:6" s="240" customFormat="1" ht="12" customHeight="1" x14ac:dyDescent="0.2">
      <c r="A59" s="13" t="s">
        <v>159</v>
      </c>
      <c r="B59" s="242" t="s">
        <v>382</v>
      </c>
      <c r="C59" s="367">
        <f t="shared" si="0"/>
        <v>0</v>
      </c>
      <c r="D59" s="308"/>
      <c r="E59" s="161"/>
      <c r="F59" s="161"/>
    </row>
    <row r="60" spans="1:6" s="240" customFormat="1" ht="12" customHeight="1" x14ac:dyDescent="0.2">
      <c r="A60" s="13" t="s">
        <v>181</v>
      </c>
      <c r="B60" s="242" t="s">
        <v>258</v>
      </c>
      <c r="C60" s="367">
        <f t="shared" si="0"/>
        <v>0</v>
      </c>
      <c r="D60" s="308"/>
      <c r="E60" s="161"/>
      <c r="F60" s="161"/>
    </row>
    <row r="61" spans="1:6" s="240" customFormat="1" ht="12" customHeight="1" thickBot="1" x14ac:dyDescent="0.25">
      <c r="A61" s="15" t="s">
        <v>256</v>
      </c>
      <c r="B61" s="154" t="s">
        <v>259</v>
      </c>
      <c r="C61" s="368">
        <f t="shared" si="0"/>
        <v>0</v>
      </c>
      <c r="D61" s="308"/>
      <c r="E61" s="161"/>
      <c r="F61" s="161"/>
    </row>
    <row r="62" spans="1:6" s="240" customFormat="1" ht="12" customHeight="1" thickBot="1" x14ac:dyDescent="0.25">
      <c r="A62" s="293" t="s">
        <v>477</v>
      </c>
      <c r="B62" s="20" t="s">
        <v>260</v>
      </c>
      <c r="C62" s="162">
        <f t="shared" si="0"/>
        <v>547457430</v>
      </c>
      <c r="D62" s="332">
        <f>+D5+D12+D19+D26+D34+D46+D52+D57</f>
        <v>345374259</v>
      </c>
      <c r="E62" s="162">
        <f>+E5+E12+E19+E26+E34+E46+E52+E57</f>
        <v>3646250</v>
      </c>
      <c r="F62" s="162">
        <f>+F5+F12+F19+F26+F34+F46+F52+F57</f>
        <v>198436921</v>
      </c>
    </row>
    <row r="63" spans="1:6" s="240" customFormat="1" ht="12" customHeight="1" thickBot="1" x14ac:dyDescent="0.25">
      <c r="A63" s="294" t="s">
        <v>261</v>
      </c>
      <c r="B63" s="152" t="s">
        <v>262</v>
      </c>
      <c r="C63" s="162">
        <f t="shared" si="0"/>
        <v>0</v>
      </c>
      <c r="D63" s="329">
        <f>SUM(D64:D66)</f>
        <v>0</v>
      </c>
      <c r="E63" s="157">
        <f>SUM(E64:E66)</f>
        <v>0</v>
      </c>
      <c r="F63" s="309">
        <f>SUM(F64:F66)</f>
        <v>0</v>
      </c>
    </row>
    <row r="64" spans="1:6" s="240" customFormat="1" ht="12" customHeight="1" x14ac:dyDescent="0.2">
      <c r="A64" s="14" t="s">
        <v>293</v>
      </c>
      <c r="B64" s="241" t="s">
        <v>263</v>
      </c>
      <c r="C64" s="366">
        <f t="shared" si="0"/>
        <v>0</v>
      </c>
      <c r="D64" s="313"/>
      <c r="E64" s="161"/>
      <c r="F64" s="161">
        <v>0</v>
      </c>
    </row>
    <row r="65" spans="1:6" s="240" customFormat="1" ht="12" customHeight="1" x14ac:dyDescent="0.2">
      <c r="A65" s="13" t="s">
        <v>302</v>
      </c>
      <c r="B65" s="242" t="s">
        <v>264</v>
      </c>
      <c r="C65" s="367">
        <f t="shared" si="0"/>
        <v>0</v>
      </c>
      <c r="D65" s="308"/>
      <c r="E65" s="161"/>
      <c r="F65" s="161"/>
    </row>
    <row r="66" spans="1:6" s="240" customFormat="1" ht="12" customHeight="1" thickBot="1" x14ac:dyDescent="0.25">
      <c r="A66" s="15" t="s">
        <v>303</v>
      </c>
      <c r="B66" s="295" t="s">
        <v>478</v>
      </c>
      <c r="C66" s="368">
        <f t="shared" si="0"/>
        <v>0</v>
      </c>
      <c r="D66" s="308"/>
      <c r="E66" s="161"/>
      <c r="F66" s="161"/>
    </row>
    <row r="67" spans="1:6" s="240" customFormat="1" ht="12" customHeight="1" thickBot="1" x14ac:dyDescent="0.25">
      <c r="A67" s="294" t="s">
        <v>266</v>
      </c>
      <c r="B67" s="152" t="s">
        <v>267</v>
      </c>
      <c r="C67" s="309">
        <f t="shared" si="0"/>
        <v>0</v>
      </c>
      <c r="D67" s="329">
        <f>SUM(D68:D71)</f>
        <v>0</v>
      </c>
      <c r="E67" s="157">
        <f>SUM(E68:E71)</f>
        <v>0</v>
      </c>
      <c r="F67" s="157">
        <f>SUM(F68:F71)</f>
        <v>0</v>
      </c>
    </row>
    <row r="68" spans="1:6" s="240" customFormat="1" ht="12" customHeight="1" x14ac:dyDescent="0.2">
      <c r="A68" s="14" t="s">
        <v>138</v>
      </c>
      <c r="B68" s="241" t="s">
        <v>268</v>
      </c>
      <c r="C68" s="366">
        <f t="shared" si="0"/>
        <v>0</v>
      </c>
      <c r="D68" s="308"/>
      <c r="E68" s="161"/>
      <c r="F68" s="161"/>
    </row>
    <row r="69" spans="1:6" s="240" customFormat="1" ht="12" customHeight="1" x14ac:dyDescent="0.2">
      <c r="A69" s="13" t="s">
        <v>139</v>
      </c>
      <c r="B69" s="242" t="s">
        <v>269</v>
      </c>
      <c r="C69" s="367">
        <f t="shared" ref="C69:C87" si="1">SUM(D69:F69)</f>
        <v>0</v>
      </c>
      <c r="D69" s="308"/>
      <c r="E69" s="161"/>
      <c r="F69" s="161"/>
    </row>
    <row r="70" spans="1:6" s="240" customFormat="1" ht="12" customHeight="1" x14ac:dyDescent="0.2">
      <c r="A70" s="13" t="s">
        <v>294</v>
      </c>
      <c r="B70" s="242" t="s">
        <v>270</v>
      </c>
      <c r="C70" s="367">
        <f t="shared" si="1"/>
        <v>0</v>
      </c>
      <c r="D70" s="308"/>
      <c r="E70" s="161"/>
      <c r="F70" s="161"/>
    </row>
    <row r="71" spans="1:6" s="240" customFormat="1" ht="12" customHeight="1" thickBot="1" x14ac:dyDescent="0.25">
      <c r="A71" s="15" t="s">
        <v>295</v>
      </c>
      <c r="B71" s="154" t="s">
        <v>271</v>
      </c>
      <c r="C71" s="368">
        <f t="shared" si="1"/>
        <v>0</v>
      </c>
      <c r="D71" s="308"/>
      <c r="E71" s="161"/>
      <c r="F71" s="161"/>
    </row>
    <row r="72" spans="1:6" s="240" customFormat="1" ht="12" customHeight="1" thickBot="1" x14ac:dyDescent="0.25">
      <c r="A72" s="294" t="s">
        <v>272</v>
      </c>
      <c r="B72" s="152" t="s">
        <v>273</v>
      </c>
      <c r="C72" s="162">
        <f t="shared" si="1"/>
        <v>18026960</v>
      </c>
      <c r="D72" s="329">
        <f>SUM(D73:D74)</f>
        <v>0</v>
      </c>
      <c r="E72" s="157">
        <f>SUM(E73:E74)</f>
        <v>0</v>
      </c>
      <c r="F72" s="157">
        <f>SUM(F73:F74)</f>
        <v>18026960</v>
      </c>
    </row>
    <row r="73" spans="1:6" s="240" customFormat="1" ht="12" customHeight="1" x14ac:dyDescent="0.2">
      <c r="A73" s="14" t="s">
        <v>296</v>
      </c>
      <c r="B73" s="241" t="s">
        <v>274</v>
      </c>
      <c r="C73" s="366">
        <f t="shared" si="1"/>
        <v>18026960</v>
      </c>
      <c r="D73" s="308"/>
      <c r="E73" s="161"/>
      <c r="F73" s="161">
        <v>18026960</v>
      </c>
    </row>
    <row r="74" spans="1:6" s="240" customFormat="1" ht="12" customHeight="1" thickBot="1" x14ac:dyDescent="0.25">
      <c r="A74" s="15" t="s">
        <v>297</v>
      </c>
      <c r="B74" s="154" t="s">
        <v>275</v>
      </c>
      <c r="C74" s="368">
        <f t="shared" si="1"/>
        <v>0</v>
      </c>
      <c r="D74" s="308"/>
      <c r="E74" s="161"/>
      <c r="F74" s="161"/>
    </row>
    <row r="75" spans="1:6" s="240" customFormat="1" ht="12" customHeight="1" thickBot="1" x14ac:dyDescent="0.25">
      <c r="A75" s="294" t="s">
        <v>276</v>
      </c>
      <c r="B75" s="152" t="s">
        <v>277</v>
      </c>
      <c r="C75" s="162">
        <f t="shared" si="1"/>
        <v>0</v>
      </c>
      <c r="D75" s="329">
        <f>SUM(D76:D78)</f>
        <v>0</v>
      </c>
      <c r="E75" s="157">
        <f>SUM(E76:E78)</f>
        <v>0</v>
      </c>
      <c r="F75" s="157">
        <f>SUM(F76:F78)</f>
        <v>0</v>
      </c>
    </row>
    <row r="76" spans="1:6" s="240" customFormat="1" ht="12" customHeight="1" x14ac:dyDescent="0.2">
      <c r="A76" s="14" t="s">
        <v>298</v>
      </c>
      <c r="B76" s="241" t="s">
        <v>278</v>
      </c>
      <c r="C76" s="366">
        <f t="shared" si="1"/>
        <v>0</v>
      </c>
      <c r="D76" s="308"/>
      <c r="E76" s="161"/>
      <c r="F76" s="161"/>
    </row>
    <row r="77" spans="1:6" s="240" customFormat="1" ht="12" customHeight="1" x14ac:dyDescent="0.2">
      <c r="A77" s="13" t="s">
        <v>299</v>
      </c>
      <c r="B77" s="242" t="s">
        <v>279</v>
      </c>
      <c r="C77" s="367">
        <f t="shared" si="1"/>
        <v>0</v>
      </c>
      <c r="D77" s="308"/>
      <c r="E77" s="161"/>
      <c r="F77" s="161"/>
    </row>
    <row r="78" spans="1:6" s="240" customFormat="1" ht="12" customHeight="1" thickBot="1" x14ac:dyDescent="0.25">
      <c r="A78" s="15" t="s">
        <v>300</v>
      </c>
      <c r="B78" s="154" t="s">
        <v>280</v>
      </c>
      <c r="C78" s="368">
        <f t="shared" si="1"/>
        <v>0</v>
      </c>
      <c r="D78" s="308"/>
      <c r="E78" s="161"/>
      <c r="F78" s="161"/>
    </row>
    <row r="79" spans="1:6" s="240" customFormat="1" ht="12" customHeight="1" thickBot="1" x14ac:dyDescent="0.25">
      <c r="A79" s="294" t="s">
        <v>281</v>
      </c>
      <c r="B79" s="152" t="s">
        <v>301</v>
      </c>
      <c r="C79" s="162">
        <f t="shared" si="1"/>
        <v>0</v>
      </c>
      <c r="D79" s="329">
        <f>SUM(D80:D83)</f>
        <v>0</v>
      </c>
      <c r="E79" s="157">
        <f>SUM(E80:E83)</f>
        <v>0</v>
      </c>
      <c r="F79" s="157">
        <f>SUM(F80:F83)</f>
        <v>0</v>
      </c>
    </row>
    <row r="80" spans="1:6" s="240" customFormat="1" ht="12" customHeight="1" x14ac:dyDescent="0.2">
      <c r="A80" s="245" t="s">
        <v>282</v>
      </c>
      <c r="B80" s="241" t="s">
        <v>283</v>
      </c>
      <c r="C80" s="366">
        <f t="shared" si="1"/>
        <v>0</v>
      </c>
      <c r="D80" s="308"/>
      <c r="E80" s="161"/>
      <c r="F80" s="161"/>
    </row>
    <row r="81" spans="1:6" s="240" customFormat="1" ht="12" customHeight="1" x14ac:dyDescent="0.2">
      <c r="A81" s="246" t="s">
        <v>284</v>
      </c>
      <c r="B81" s="242" t="s">
        <v>285</v>
      </c>
      <c r="C81" s="367">
        <f t="shared" si="1"/>
        <v>0</v>
      </c>
      <c r="D81" s="308"/>
      <c r="E81" s="161"/>
      <c r="F81" s="161"/>
    </row>
    <row r="82" spans="1:6" s="240" customFormat="1" ht="12" customHeight="1" x14ac:dyDescent="0.2">
      <c r="A82" s="246" t="s">
        <v>286</v>
      </c>
      <c r="B82" s="242" t="s">
        <v>287</v>
      </c>
      <c r="C82" s="367">
        <f t="shared" si="1"/>
        <v>0</v>
      </c>
      <c r="D82" s="308"/>
      <c r="E82" s="161"/>
      <c r="F82" s="161"/>
    </row>
    <row r="83" spans="1:6" s="240" customFormat="1" ht="12" customHeight="1" thickBot="1" x14ac:dyDescent="0.25">
      <c r="A83" s="247" t="s">
        <v>288</v>
      </c>
      <c r="B83" s="154" t="s">
        <v>289</v>
      </c>
      <c r="C83" s="368">
        <f t="shared" si="1"/>
        <v>0</v>
      </c>
      <c r="D83" s="308"/>
      <c r="E83" s="161"/>
      <c r="F83" s="161"/>
    </row>
    <row r="84" spans="1:6" s="240" customFormat="1" ht="12" customHeight="1" thickBot="1" x14ac:dyDescent="0.25">
      <c r="A84" s="294" t="s">
        <v>290</v>
      </c>
      <c r="B84" s="152" t="s">
        <v>479</v>
      </c>
      <c r="C84" s="157">
        <f t="shared" si="1"/>
        <v>0</v>
      </c>
      <c r="D84" s="336"/>
      <c r="E84" s="280"/>
      <c r="F84" s="280"/>
    </row>
    <row r="85" spans="1:6" s="240" customFormat="1" ht="13.5" customHeight="1" thickBot="1" x14ac:dyDescent="0.25">
      <c r="A85" s="294" t="s">
        <v>292</v>
      </c>
      <c r="B85" s="152" t="s">
        <v>291</v>
      </c>
      <c r="C85" s="157">
        <f t="shared" si="1"/>
        <v>0</v>
      </c>
      <c r="D85" s="336"/>
      <c r="E85" s="280"/>
      <c r="F85" s="280"/>
    </row>
    <row r="86" spans="1:6" s="240" customFormat="1" ht="15.75" customHeight="1" thickBot="1" x14ac:dyDescent="0.25">
      <c r="A86" s="294" t="s">
        <v>304</v>
      </c>
      <c r="B86" s="248" t="s">
        <v>480</v>
      </c>
      <c r="C86" s="157">
        <f t="shared" si="1"/>
        <v>18026960</v>
      </c>
      <c r="D86" s="332">
        <f>+D63+D67+D72+D75+D79+D85+D84</f>
        <v>0</v>
      </c>
      <c r="E86" s="162">
        <f>+E63+E67+E72+E75+E79+E85+E84</f>
        <v>0</v>
      </c>
      <c r="F86" s="162">
        <f>+F63+F67+F72+F75+F79+F85+F84</f>
        <v>18026960</v>
      </c>
    </row>
    <row r="87" spans="1:6" s="240" customFormat="1" ht="16.5" customHeight="1" thickBot="1" x14ac:dyDescent="0.25">
      <c r="A87" s="296" t="s">
        <v>481</v>
      </c>
      <c r="B87" s="249" t="s">
        <v>482</v>
      </c>
      <c r="C87" s="157">
        <f t="shared" si="1"/>
        <v>565484390</v>
      </c>
      <c r="D87" s="332">
        <f>+D62+D86</f>
        <v>345374259</v>
      </c>
      <c r="E87" s="162">
        <f>+E62+E86</f>
        <v>3646250</v>
      </c>
      <c r="F87" s="162">
        <f>+F62+F86</f>
        <v>216463881</v>
      </c>
    </row>
    <row r="88" spans="1:6" s="240" customFormat="1" ht="83.25" customHeight="1" x14ac:dyDescent="0.2">
      <c r="A88" s="4"/>
      <c r="B88" s="5"/>
      <c r="C88" s="163"/>
    </row>
    <row r="89" spans="1:6" ht="16.5" customHeight="1" x14ac:dyDescent="0.25">
      <c r="A89" s="993" t="s">
        <v>51</v>
      </c>
      <c r="B89" s="993"/>
      <c r="C89" s="993"/>
    </row>
    <row r="90" spans="1:6" s="250" customFormat="1" ht="16.5" customHeight="1" thickBot="1" x14ac:dyDescent="0.3">
      <c r="A90" s="994" t="s">
        <v>141</v>
      </c>
      <c r="B90" s="994"/>
      <c r="C90" s="87" t="s">
        <v>589</v>
      </c>
    </row>
    <row r="91" spans="1:6" ht="38.1" customHeight="1" thickBot="1" x14ac:dyDescent="0.3">
      <c r="A91" s="22" t="s">
        <v>73</v>
      </c>
      <c r="B91" s="23" t="s">
        <v>52</v>
      </c>
      <c r="C91" s="35" t="str">
        <f>+C3</f>
        <v>2018. évi előirányzat</v>
      </c>
    </row>
    <row r="92" spans="1:6" s="239" customFormat="1" ht="12" customHeight="1" thickBot="1" x14ac:dyDescent="0.25">
      <c r="A92" s="31" t="s">
        <v>466</v>
      </c>
      <c r="B92" s="32" t="s">
        <v>467</v>
      </c>
      <c r="C92" s="33" t="s">
        <v>468</v>
      </c>
    </row>
    <row r="93" spans="1:6" ht="12" customHeight="1" thickBot="1" x14ac:dyDescent="0.3">
      <c r="A93" s="21" t="s">
        <v>22</v>
      </c>
      <c r="B93" s="25" t="s">
        <v>520</v>
      </c>
      <c r="C93" s="157">
        <f t="shared" ref="C93:C154" si="2">SUM(D93:F93)</f>
        <v>683494736</v>
      </c>
      <c r="D93" s="339">
        <f>+D94+D95+D96+D97+D98+D111</f>
        <v>97258012</v>
      </c>
      <c r="E93" s="156">
        <f>+E94+E95+E96+E97+E98+E111</f>
        <v>7067754</v>
      </c>
      <c r="F93" s="157">
        <f>F94+F95+F96+F97+F98+F111</f>
        <v>579168970</v>
      </c>
    </row>
    <row r="94" spans="1:6" ht="12" customHeight="1" x14ac:dyDescent="0.25">
      <c r="A94" s="16" t="s">
        <v>98</v>
      </c>
      <c r="B94" s="9" t="s">
        <v>53</v>
      </c>
      <c r="C94" s="889">
        <f t="shared" si="2"/>
        <v>347269994</v>
      </c>
      <c r="D94" s="357">
        <f>75000+4401892+2491000+258000+550000</f>
        <v>7775892</v>
      </c>
      <c r="E94" s="317">
        <v>2528076</v>
      </c>
      <c r="F94" s="317">
        <f>330210986+1473383+4907657+374000</f>
        <v>336966026</v>
      </c>
    </row>
    <row r="95" spans="1:6" ht="12" customHeight="1" x14ac:dyDescent="0.25">
      <c r="A95" s="13" t="s">
        <v>99</v>
      </c>
      <c r="B95" s="7" t="s">
        <v>160</v>
      </c>
      <c r="C95" s="510">
        <f t="shared" si="2"/>
        <v>72691463</v>
      </c>
      <c r="D95" s="308">
        <f>13275+17258+773000+1015000+281135+50310+96525</f>
        <v>2246503</v>
      </c>
      <c r="E95" s="161">
        <v>443678</v>
      </c>
      <c r="F95" s="161">
        <f>68706522+272442+949388+72930</f>
        <v>70001282</v>
      </c>
    </row>
    <row r="96" spans="1:6" ht="12" customHeight="1" x14ac:dyDescent="0.25">
      <c r="A96" s="13" t="s">
        <v>100</v>
      </c>
      <c r="B96" s="7" t="s">
        <v>130</v>
      </c>
      <c r="C96" s="510">
        <f t="shared" si="2"/>
        <v>237490279</v>
      </c>
      <c r="D96" s="312">
        <f>16099000+3082677+397000+194467+34200000+156511+2681000+3300000+44100-8245+192293+77000-179000+955814</f>
        <v>61192617</v>
      </c>
      <c r="E96" s="230">
        <v>4096000</v>
      </c>
      <c r="F96" s="161">
        <f>170312254+1606688+282720</f>
        <v>172201662</v>
      </c>
    </row>
    <row r="97" spans="1:6" ht="12" customHeight="1" x14ac:dyDescent="0.25">
      <c r="A97" s="13" t="s">
        <v>101</v>
      </c>
      <c r="B97" s="7" t="s">
        <v>161</v>
      </c>
      <c r="C97" s="367">
        <f t="shared" si="2"/>
        <v>0</v>
      </c>
      <c r="D97" s="312"/>
      <c r="E97" s="230"/>
      <c r="F97" s="161"/>
    </row>
    <row r="98" spans="1:6" ht="12" customHeight="1" x14ac:dyDescent="0.25">
      <c r="A98" s="13" t="s">
        <v>112</v>
      </c>
      <c r="B98" s="6" t="s">
        <v>162</v>
      </c>
      <c r="C98" s="367">
        <f t="shared" si="2"/>
        <v>26043000</v>
      </c>
      <c r="D98" s="312">
        <f>5950000+16000000+4093000</f>
        <v>26043000</v>
      </c>
      <c r="E98" s="230"/>
      <c r="F98" s="230"/>
    </row>
    <row r="99" spans="1:6" ht="12" customHeight="1" x14ac:dyDescent="0.25">
      <c r="A99" s="13" t="s">
        <v>102</v>
      </c>
      <c r="B99" s="7" t="s">
        <v>483</v>
      </c>
      <c r="C99" s="367">
        <f t="shared" si="2"/>
        <v>0</v>
      </c>
      <c r="D99" s="312"/>
      <c r="E99" s="230"/>
      <c r="F99" s="230"/>
    </row>
    <row r="100" spans="1:6" ht="12" customHeight="1" x14ac:dyDescent="0.25">
      <c r="A100" s="13" t="s">
        <v>103</v>
      </c>
      <c r="B100" s="91" t="s">
        <v>484</v>
      </c>
      <c r="C100" s="367">
        <f t="shared" si="2"/>
        <v>0</v>
      </c>
      <c r="D100" s="312"/>
      <c r="E100" s="230"/>
      <c r="F100" s="230"/>
    </row>
    <row r="101" spans="1:6" ht="12" customHeight="1" x14ac:dyDescent="0.25">
      <c r="A101" s="13" t="s">
        <v>113</v>
      </c>
      <c r="B101" s="91" t="s">
        <v>485</v>
      </c>
      <c r="C101" s="367">
        <f t="shared" si="2"/>
        <v>0</v>
      </c>
      <c r="D101" s="312"/>
      <c r="E101" s="230"/>
      <c r="F101" s="230"/>
    </row>
    <row r="102" spans="1:6" ht="12" customHeight="1" x14ac:dyDescent="0.25">
      <c r="A102" s="13" t="s">
        <v>114</v>
      </c>
      <c r="B102" s="89" t="s">
        <v>307</v>
      </c>
      <c r="C102" s="367">
        <f t="shared" si="2"/>
        <v>0</v>
      </c>
      <c r="D102" s="312"/>
      <c r="E102" s="230"/>
      <c r="F102" s="230"/>
    </row>
    <row r="103" spans="1:6" ht="12" customHeight="1" x14ac:dyDescent="0.25">
      <c r="A103" s="13" t="s">
        <v>115</v>
      </c>
      <c r="B103" s="90" t="s">
        <v>308</v>
      </c>
      <c r="C103" s="367">
        <f t="shared" si="2"/>
        <v>0</v>
      </c>
      <c r="D103" s="312"/>
      <c r="E103" s="230"/>
      <c r="F103" s="230"/>
    </row>
    <row r="104" spans="1:6" ht="12" customHeight="1" x14ac:dyDescent="0.25">
      <c r="A104" s="13" t="s">
        <v>116</v>
      </c>
      <c r="B104" s="90" t="s">
        <v>309</v>
      </c>
      <c r="C104" s="367">
        <f t="shared" si="2"/>
        <v>0</v>
      </c>
      <c r="D104" s="312"/>
      <c r="E104" s="230"/>
      <c r="F104" s="230"/>
    </row>
    <row r="105" spans="1:6" ht="12" customHeight="1" x14ac:dyDescent="0.25">
      <c r="A105" s="13" t="s">
        <v>118</v>
      </c>
      <c r="B105" s="89" t="s">
        <v>310</v>
      </c>
      <c r="C105" s="367">
        <f t="shared" si="2"/>
        <v>0</v>
      </c>
      <c r="D105" s="312"/>
      <c r="E105" s="230"/>
      <c r="F105" s="230"/>
    </row>
    <row r="106" spans="1:6" ht="12" customHeight="1" x14ac:dyDescent="0.25">
      <c r="A106" s="13" t="s">
        <v>163</v>
      </c>
      <c r="B106" s="89" t="s">
        <v>311</v>
      </c>
      <c r="C106" s="367">
        <f t="shared" si="2"/>
        <v>0</v>
      </c>
      <c r="D106" s="312"/>
      <c r="E106" s="230"/>
      <c r="F106" s="230"/>
    </row>
    <row r="107" spans="1:6" ht="12" customHeight="1" x14ac:dyDescent="0.25">
      <c r="A107" s="13" t="s">
        <v>305</v>
      </c>
      <c r="B107" s="90" t="s">
        <v>312</v>
      </c>
      <c r="C107" s="367">
        <f t="shared" si="2"/>
        <v>0</v>
      </c>
      <c r="D107" s="312"/>
      <c r="E107" s="230"/>
      <c r="F107" s="230"/>
    </row>
    <row r="108" spans="1:6" ht="12" customHeight="1" x14ac:dyDescent="0.25">
      <c r="A108" s="12" t="s">
        <v>306</v>
      </c>
      <c r="B108" s="91" t="s">
        <v>313</v>
      </c>
      <c r="C108" s="367">
        <f t="shared" si="2"/>
        <v>0</v>
      </c>
      <c r="D108" s="312"/>
      <c r="E108" s="230"/>
      <c r="F108" s="230"/>
    </row>
    <row r="109" spans="1:6" ht="12" customHeight="1" x14ac:dyDescent="0.25">
      <c r="A109" s="13" t="s">
        <v>486</v>
      </c>
      <c r="B109" s="91" t="s">
        <v>314</v>
      </c>
      <c r="C109" s="367">
        <f t="shared" si="2"/>
        <v>0</v>
      </c>
      <c r="D109" s="312"/>
      <c r="E109" s="230"/>
      <c r="F109" s="230"/>
    </row>
    <row r="110" spans="1:6" ht="12" customHeight="1" x14ac:dyDescent="0.25">
      <c r="A110" s="15" t="s">
        <v>487</v>
      </c>
      <c r="B110" s="91" t="s">
        <v>315</v>
      </c>
      <c r="C110" s="367">
        <f t="shared" si="2"/>
        <v>26043000</v>
      </c>
      <c r="D110" s="308">
        <f>5950000+16000000+4093000</f>
        <v>26043000</v>
      </c>
      <c r="E110" s="161"/>
      <c r="F110" s="321"/>
    </row>
    <row r="111" spans="1:6" ht="12" customHeight="1" x14ac:dyDescent="0.25">
      <c r="A111" s="13" t="s">
        <v>488</v>
      </c>
      <c r="B111" s="7" t="s">
        <v>54</v>
      </c>
      <c r="C111" s="367">
        <f t="shared" si="2"/>
        <v>0</v>
      </c>
      <c r="D111" s="145"/>
      <c r="E111" s="161"/>
      <c r="F111" s="158"/>
    </row>
    <row r="112" spans="1:6" ht="12" customHeight="1" x14ac:dyDescent="0.25">
      <c r="A112" s="13" t="s">
        <v>489</v>
      </c>
      <c r="B112" s="7" t="s">
        <v>490</v>
      </c>
      <c r="C112" s="367">
        <f t="shared" si="2"/>
        <v>0</v>
      </c>
      <c r="D112" s="146"/>
      <c r="E112" s="230"/>
      <c r="F112" s="158"/>
    </row>
    <row r="113" spans="1:6" ht="12" customHeight="1" thickBot="1" x14ac:dyDescent="0.3">
      <c r="A113" s="17" t="s">
        <v>491</v>
      </c>
      <c r="B113" s="297" t="s">
        <v>492</v>
      </c>
      <c r="C113" s="368">
        <f t="shared" si="2"/>
        <v>0</v>
      </c>
      <c r="D113" s="340"/>
      <c r="E113" s="326"/>
      <c r="F113" s="164"/>
    </row>
    <row r="114" spans="1:6" ht="12" customHeight="1" thickBot="1" x14ac:dyDescent="0.3">
      <c r="A114" s="298" t="s">
        <v>23</v>
      </c>
      <c r="B114" s="299" t="s">
        <v>316</v>
      </c>
      <c r="C114" s="162">
        <f t="shared" si="2"/>
        <v>26560917</v>
      </c>
      <c r="D114" s="329">
        <f>+D115+D117+D119</f>
        <v>14208548</v>
      </c>
      <c r="E114" s="157">
        <f>+E115+E117+E119</f>
        <v>0</v>
      </c>
      <c r="F114" s="300">
        <f>+F115+F117+F119</f>
        <v>12352369</v>
      </c>
    </row>
    <row r="115" spans="1:6" ht="12" customHeight="1" x14ac:dyDescent="0.25">
      <c r="A115" s="14" t="s">
        <v>104</v>
      </c>
      <c r="B115" s="7" t="s">
        <v>180</v>
      </c>
      <c r="C115" s="366">
        <f t="shared" si="2"/>
        <v>26560917</v>
      </c>
      <c r="D115" s="335">
        <f>12873483+377190+3000+1422400-467525</f>
        <v>14208548</v>
      </c>
      <c r="E115" s="279"/>
      <c r="F115" s="279">
        <f>11730618+621751</f>
        <v>12352369</v>
      </c>
    </row>
    <row r="116" spans="1:6" ht="12" customHeight="1" x14ac:dyDescent="0.25">
      <c r="A116" s="14" t="s">
        <v>105</v>
      </c>
      <c r="B116" s="11" t="s">
        <v>320</v>
      </c>
      <c r="C116" s="367">
        <f t="shared" si="2"/>
        <v>14946401</v>
      </c>
      <c r="D116" s="335">
        <v>12873483</v>
      </c>
      <c r="E116" s="279"/>
      <c r="F116" s="279">
        <v>2072918</v>
      </c>
    </row>
    <row r="117" spans="1:6" ht="12" customHeight="1" x14ac:dyDescent="0.25">
      <c r="A117" s="14" t="s">
        <v>106</v>
      </c>
      <c r="B117" s="11" t="s">
        <v>164</v>
      </c>
      <c r="C117" s="367">
        <f t="shared" si="2"/>
        <v>0</v>
      </c>
      <c r="D117" s="145"/>
      <c r="E117" s="161"/>
      <c r="F117" s="161"/>
    </row>
    <row r="118" spans="1:6" ht="12" customHeight="1" x14ac:dyDescent="0.25">
      <c r="A118" s="14" t="s">
        <v>107</v>
      </c>
      <c r="B118" s="11" t="s">
        <v>321</v>
      </c>
      <c r="C118" s="367">
        <f t="shared" si="2"/>
        <v>0</v>
      </c>
      <c r="D118" s="145"/>
      <c r="E118" s="320"/>
      <c r="F118" s="308"/>
    </row>
    <row r="119" spans="1:6" ht="12" customHeight="1" x14ac:dyDescent="0.25">
      <c r="A119" s="14" t="s">
        <v>108</v>
      </c>
      <c r="B119" s="154" t="s">
        <v>182</v>
      </c>
      <c r="C119" s="367">
        <f t="shared" si="2"/>
        <v>0</v>
      </c>
      <c r="D119" s="313"/>
      <c r="E119" s="308"/>
      <c r="F119" s="308"/>
    </row>
    <row r="120" spans="1:6" ht="12" customHeight="1" x14ac:dyDescent="0.25">
      <c r="A120" s="14" t="s">
        <v>117</v>
      </c>
      <c r="B120" s="153" t="s">
        <v>383</v>
      </c>
      <c r="C120" s="367">
        <f t="shared" si="2"/>
        <v>0</v>
      </c>
      <c r="D120" s="313"/>
      <c r="E120" s="145"/>
      <c r="F120" s="145"/>
    </row>
    <row r="121" spans="1:6" ht="12" customHeight="1" x14ac:dyDescent="0.25">
      <c r="A121" s="14" t="s">
        <v>119</v>
      </c>
      <c r="B121" s="237" t="s">
        <v>326</v>
      </c>
      <c r="C121" s="367">
        <f t="shared" si="2"/>
        <v>0</v>
      </c>
      <c r="D121" s="313"/>
      <c r="E121" s="145"/>
      <c r="F121" s="145"/>
    </row>
    <row r="122" spans="1:6" x14ac:dyDescent="0.25">
      <c r="A122" s="14" t="s">
        <v>165</v>
      </c>
      <c r="B122" s="90" t="s">
        <v>309</v>
      </c>
      <c r="C122" s="367">
        <f t="shared" si="2"/>
        <v>0</v>
      </c>
      <c r="D122" s="313"/>
      <c r="E122" s="145"/>
      <c r="F122" s="145"/>
    </row>
    <row r="123" spans="1:6" ht="12" customHeight="1" x14ac:dyDescent="0.25">
      <c r="A123" s="14" t="s">
        <v>166</v>
      </c>
      <c r="B123" s="90" t="s">
        <v>325</v>
      </c>
      <c r="C123" s="367">
        <f t="shared" si="2"/>
        <v>0</v>
      </c>
      <c r="D123" s="313"/>
      <c r="E123" s="145"/>
      <c r="F123" s="145"/>
    </row>
    <row r="124" spans="1:6" ht="12" customHeight="1" x14ac:dyDescent="0.25">
      <c r="A124" s="14" t="s">
        <v>167</v>
      </c>
      <c r="B124" s="90" t="s">
        <v>324</v>
      </c>
      <c r="C124" s="367">
        <f t="shared" si="2"/>
        <v>0</v>
      </c>
      <c r="D124" s="313"/>
      <c r="E124" s="145"/>
      <c r="F124" s="145"/>
    </row>
    <row r="125" spans="1:6" ht="12" customHeight="1" x14ac:dyDescent="0.25">
      <c r="A125" s="14" t="s">
        <v>317</v>
      </c>
      <c r="B125" s="90" t="s">
        <v>312</v>
      </c>
      <c r="C125" s="367">
        <f t="shared" si="2"/>
        <v>0</v>
      </c>
      <c r="D125" s="313"/>
      <c r="E125" s="145"/>
      <c r="F125" s="145"/>
    </row>
    <row r="126" spans="1:6" ht="12" customHeight="1" x14ac:dyDescent="0.25">
      <c r="A126" s="14" t="s">
        <v>318</v>
      </c>
      <c r="B126" s="90" t="s">
        <v>323</v>
      </c>
      <c r="C126" s="367">
        <f t="shared" si="2"/>
        <v>0</v>
      </c>
      <c r="D126" s="313"/>
      <c r="E126" s="145"/>
      <c r="F126" s="145"/>
    </row>
    <row r="127" spans="1:6" ht="16.5" thickBot="1" x14ac:dyDescent="0.3">
      <c r="A127" s="12" t="s">
        <v>319</v>
      </c>
      <c r="B127" s="90" t="s">
        <v>322</v>
      </c>
      <c r="C127" s="368">
        <f t="shared" si="2"/>
        <v>0</v>
      </c>
      <c r="D127" s="314"/>
      <c r="E127" s="312"/>
      <c r="F127" s="312"/>
    </row>
    <row r="128" spans="1:6" ht="12" customHeight="1" thickBot="1" x14ac:dyDescent="0.3">
      <c r="A128" s="19" t="s">
        <v>24</v>
      </c>
      <c r="B128" s="85" t="s">
        <v>493</v>
      </c>
      <c r="C128" s="162">
        <f t="shared" si="2"/>
        <v>710055653</v>
      </c>
      <c r="D128" s="329">
        <f>+D93+D114</f>
        <v>111466560</v>
      </c>
      <c r="E128" s="157">
        <f>+E93+E114</f>
        <v>7067754</v>
      </c>
      <c r="F128" s="157">
        <f>+F93+F114</f>
        <v>591521339</v>
      </c>
    </row>
    <row r="129" spans="1:6" ht="12" customHeight="1" thickBot="1" x14ac:dyDescent="0.3">
      <c r="A129" s="19" t="s">
        <v>25</v>
      </c>
      <c r="B129" s="85" t="s">
        <v>494</v>
      </c>
      <c r="C129" s="162">
        <f t="shared" si="2"/>
        <v>4444000</v>
      </c>
      <c r="D129" s="329">
        <f>+D130+D131+D132</f>
        <v>4444000</v>
      </c>
      <c r="E129" s="157">
        <f>+E130+E131+E132</f>
        <v>0</v>
      </c>
      <c r="F129" s="157">
        <f>+F130+F131+F132</f>
        <v>0</v>
      </c>
    </row>
    <row r="130" spans="1:6" ht="12" customHeight="1" x14ac:dyDescent="0.25">
      <c r="A130" s="14" t="s">
        <v>217</v>
      </c>
      <c r="B130" s="11" t="s">
        <v>495</v>
      </c>
      <c r="C130" s="366">
        <f t="shared" si="2"/>
        <v>4444000</v>
      </c>
      <c r="D130" s="308">
        <v>4444000</v>
      </c>
      <c r="E130" s="308"/>
      <c r="F130" s="308"/>
    </row>
    <row r="131" spans="1:6" ht="12" customHeight="1" x14ac:dyDescent="0.25">
      <c r="A131" s="14" t="s">
        <v>220</v>
      </c>
      <c r="B131" s="11" t="s">
        <v>496</v>
      </c>
      <c r="C131" s="367">
        <f t="shared" si="2"/>
        <v>0</v>
      </c>
      <c r="D131" s="145"/>
      <c r="E131" s="145"/>
      <c r="F131" s="145"/>
    </row>
    <row r="132" spans="1:6" ht="12" customHeight="1" thickBot="1" x14ac:dyDescent="0.3">
      <c r="A132" s="12" t="s">
        <v>221</v>
      </c>
      <c r="B132" s="11" t="s">
        <v>497</v>
      </c>
      <c r="C132" s="368">
        <f t="shared" si="2"/>
        <v>0</v>
      </c>
      <c r="D132" s="145"/>
      <c r="E132" s="145"/>
      <c r="F132" s="145"/>
    </row>
    <row r="133" spans="1:6" ht="12" customHeight="1" thickBot="1" x14ac:dyDescent="0.3">
      <c r="A133" s="19" t="s">
        <v>26</v>
      </c>
      <c r="B133" s="85" t="s">
        <v>498</v>
      </c>
      <c r="C133" s="309">
        <f t="shared" si="2"/>
        <v>0</v>
      </c>
      <c r="D133" s="329">
        <f>+D134+D135+D136+D137+D138+D139</f>
        <v>0</v>
      </c>
      <c r="E133" s="157">
        <f>+E134+E135+E136+E137+E138+E139</f>
        <v>0</v>
      </c>
      <c r="F133" s="157">
        <f>SUM(F134:F139)</f>
        <v>0</v>
      </c>
    </row>
    <row r="134" spans="1:6" ht="12" customHeight="1" x14ac:dyDescent="0.25">
      <c r="A134" s="14" t="s">
        <v>91</v>
      </c>
      <c r="B134" s="8" t="s">
        <v>499</v>
      </c>
      <c r="C134" s="366">
        <f t="shared" si="2"/>
        <v>0</v>
      </c>
      <c r="D134" s="145"/>
      <c r="E134" s="145"/>
      <c r="F134" s="145"/>
    </row>
    <row r="135" spans="1:6" ht="12" customHeight="1" x14ac:dyDescent="0.25">
      <c r="A135" s="14" t="s">
        <v>92</v>
      </c>
      <c r="B135" s="8" t="s">
        <v>500</v>
      </c>
      <c r="C135" s="367">
        <f t="shared" si="2"/>
        <v>0</v>
      </c>
      <c r="D135" s="145"/>
      <c r="E135" s="145"/>
      <c r="F135" s="145"/>
    </row>
    <row r="136" spans="1:6" ht="12" customHeight="1" x14ac:dyDescent="0.25">
      <c r="A136" s="14" t="s">
        <v>93</v>
      </c>
      <c r="B136" s="8" t="s">
        <v>501</v>
      </c>
      <c r="C136" s="367">
        <f t="shared" si="2"/>
        <v>0</v>
      </c>
      <c r="D136" s="145"/>
      <c r="E136" s="145"/>
      <c r="F136" s="145"/>
    </row>
    <row r="137" spans="1:6" ht="12" customHeight="1" x14ac:dyDescent="0.25">
      <c r="A137" s="14" t="s">
        <v>152</v>
      </c>
      <c r="B137" s="8" t="s">
        <v>502</v>
      </c>
      <c r="C137" s="367">
        <f t="shared" si="2"/>
        <v>0</v>
      </c>
      <c r="D137" s="145"/>
      <c r="E137" s="145"/>
      <c r="F137" s="145"/>
    </row>
    <row r="138" spans="1:6" ht="12" customHeight="1" x14ac:dyDescent="0.25">
      <c r="A138" s="14" t="s">
        <v>153</v>
      </c>
      <c r="B138" s="8" t="s">
        <v>503</v>
      </c>
      <c r="C138" s="367">
        <f t="shared" si="2"/>
        <v>0</v>
      </c>
      <c r="D138" s="145"/>
      <c r="E138" s="145"/>
      <c r="F138" s="145"/>
    </row>
    <row r="139" spans="1:6" ht="12" customHeight="1" thickBot="1" x14ac:dyDescent="0.3">
      <c r="A139" s="12" t="s">
        <v>154</v>
      </c>
      <c r="B139" s="8" t="s">
        <v>504</v>
      </c>
      <c r="C139" s="368">
        <f t="shared" si="2"/>
        <v>0</v>
      </c>
      <c r="D139" s="145"/>
      <c r="E139" s="145"/>
      <c r="F139" s="145"/>
    </row>
    <row r="140" spans="1:6" ht="12" customHeight="1" thickBot="1" x14ac:dyDescent="0.3">
      <c r="A140" s="19" t="s">
        <v>27</v>
      </c>
      <c r="B140" s="85" t="s">
        <v>505</v>
      </c>
      <c r="C140" s="162">
        <f t="shared" si="2"/>
        <v>0</v>
      </c>
      <c r="D140" s="332">
        <f>+D141+D142+D143+D144</f>
        <v>0</v>
      </c>
      <c r="E140" s="162">
        <f>+E141+E142+E143+E144</f>
        <v>0</v>
      </c>
      <c r="F140" s="162">
        <f>+F141+F142+F143+F144</f>
        <v>0</v>
      </c>
    </row>
    <row r="141" spans="1:6" ht="12" customHeight="1" x14ac:dyDescent="0.25">
      <c r="A141" s="14" t="s">
        <v>94</v>
      </c>
      <c r="B141" s="8" t="s">
        <v>327</v>
      </c>
      <c r="C141" s="366">
        <f t="shared" si="2"/>
        <v>0</v>
      </c>
      <c r="D141" s="145"/>
      <c r="E141" s="145"/>
      <c r="F141" s="145"/>
    </row>
    <row r="142" spans="1:6" ht="12" customHeight="1" x14ac:dyDescent="0.25">
      <c r="A142" s="14" t="s">
        <v>95</v>
      </c>
      <c r="B142" s="8" t="s">
        <v>328</v>
      </c>
      <c r="C142" s="367">
        <f t="shared" si="2"/>
        <v>0</v>
      </c>
      <c r="D142" s="145"/>
      <c r="E142" s="145"/>
      <c r="F142" s="145"/>
    </row>
    <row r="143" spans="1:6" ht="12" customHeight="1" x14ac:dyDescent="0.25">
      <c r="A143" s="14" t="s">
        <v>241</v>
      </c>
      <c r="B143" s="8" t="s">
        <v>506</v>
      </c>
      <c r="C143" s="367">
        <f t="shared" si="2"/>
        <v>0</v>
      </c>
      <c r="D143" s="145"/>
      <c r="E143" s="145"/>
      <c r="F143" s="145"/>
    </row>
    <row r="144" spans="1:6" ht="12" customHeight="1" thickBot="1" x14ac:dyDescent="0.3">
      <c r="A144" s="12" t="s">
        <v>242</v>
      </c>
      <c r="B144" s="6" t="s">
        <v>346</v>
      </c>
      <c r="C144" s="368">
        <f t="shared" si="2"/>
        <v>0</v>
      </c>
      <c r="D144" s="145"/>
      <c r="E144" s="145"/>
      <c r="F144" s="145"/>
    </row>
    <row r="145" spans="1:9" ht="12" customHeight="1" thickBot="1" x14ac:dyDescent="0.3">
      <c r="A145" s="19" t="s">
        <v>28</v>
      </c>
      <c r="B145" s="85" t="s">
        <v>507</v>
      </c>
      <c r="C145" s="162">
        <f t="shared" si="2"/>
        <v>0</v>
      </c>
      <c r="D145" s="341">
        <f>+D146+D147+D148+D149+D150</f>
        <v>0</v>
      </c>
      <c r="E145" s="165">
        <f>+E146+E147+E148+E149+E150</f>
        <v>0</v>
      </c>
      <c r="F145" s="165">
        <f>SUM(F146:F150)</f>
        <v>0</v>
      </c>
    </row>
    <row r="146" spans="1:9" ht="12" customHeight="1" x14ac:dyDescent="0.25">
      <c r="A146" s="14" t="s">
        <v>96</v>
      </c>
      <c r="B146" s="8" t="s">
        <v>508</v>
      </c>
      <c r="C146" s="366">
        <f t="shared" si="2"/>
        <v>0</v>
      </c>
      <c r="D146" s="145"/>
      <c r="E146" s="145"/>
      <c r="F146" s="145"/>
    </row>
    <row r="147" spans="1:9" ht="12" customHeight="1" x14ac:dyDescent="0.25">
      <c r="A147" s="14" t="s">
        <v>97</v>
      </c>
      <c r="B147" s="8" t="s">
        <v>509</v>
      </c>
      <c r="C147" s="367">
        <f t="shared" si="2"/>
        <v>0</v>
      </c>
      <c r="D147" s="145"/>
      <c r="E147" s="145"/>
      <c r="F147" s="145"/>
    </row>
    <row r="148" spans="1:9" ht="12" customHeight="1" x14ac:dyDescent="0.25">
      <c r="A148" s="14" t="s">
        <v>253</v>
      </c>
      <c r="B148" s="8" t="s">
        <v>510</v>
      </c>
      <c r="C148" s="367">
        <f t="shared" si="2"/>
        <v>0</v>
      </c>
      <c r="D148" s="145"/>
      <c r="E148" s="145"/>
      <c r="F148" s="145"/>
    </row>
    <row r="149" spans="1:9" ht="12" customHeight="1" x14ac:dyDescent="0.25">
      <c r="A149" s="14" t="s">
        <v>254</v>
      </c>
      <c r="B149" s="8" t="s">
        <v>511</v>
      </c>
      <c r="C149" s="367">
        <f t="shared" si="2"/>
        <v>0</v>
      </c>
      <c r="D149" s="145"/>
      <c r="E149" s="145"/>
      <c r="F149" s="145"/>
    </row>
    <row r="150" spans="1:9" ht="12" customHeight="1" thickBot="1" x14ac:dyDescent="0.3">
      <c r="A150" s="14" t="s">
        <v>512</v>
      </c>
      <c r="B150" s="8" t="s">
        <v>513</v>
      </c>
      <c r="C150" s="368">
        <f t="shared" si="2"/>
        <v>0</v>
      </c>
      <c r="D150" s="146"/>
      <c r="E150" s="146"/>
      <c r="F150" s="145"/>
    </row>
    <row r="151" spans="1:9" ht="12" customHeight="1" thickBot="1" x14ac:dyDescent="0.3">
      <c r="A151" s="19" t="s">
        <v>29</v>
      </c>
      <c r="B151" s="85" t="s">
        <v>514</v>
      </c>
      <c r="C151" s="157">
        <f t="shared" si="2"/>
        <v>0</v>
      </c>
      <c r="D151" s="341"/>
      <c r="E151" s="165"/>
      <c r="F151" s="301"/>
    </row>
    <row r="152" spans="1:9" ht="12" customHeight="1" thickBot="1" x14ac:dyDescent="0.3">
      <c r="A152" s="19" t="s">
        <v>30</v>
      </c>
      <c r="B152" s="85" t="s">
        <v>515</v>
      </c>
      <c r="C152" s="157">
        <f t="shared" si="2"/>
        <v>0</v>
      </c>
      <c r="D152" s="341"/>
      <c r="E152" s="165"/>
      <c r="F152" s="301"/>
    </row>
    <row r="153" spans="1:9" ht="15" customHeight="1" thickBot="1" x14ac:dyDescent="0.3">
      <c r="A153" s="19" t="s">
        <v>31</v>
      </c>
      <c r="B153" s="85" t="s">
        <v>516</v>
      </c>
      <c r="C153" s="157">
        <f t="shared" si="2"/>
        <v>4444000</v>
      </c>
      <c r="D153" s="342">
        <f>+D129+D133+D140+D145+D151+D152</f>
        <v>4444000</v>
      </c>
      <c r="E153" s="251">
        <f>+E129+E133+E140+E145+E151+E152</f>
        <v>0</v>
      </c>
      <c r="F153" s="251">
        <f>+F129+F133+F140+F145+F151+F152</f>
        <v>0</v>
      </c>
      <c r="G153" s="252"/>
      <c r="H153" s="252"/>
      <c r="I153" s="252"/>
    </row>
    <row r="154" spans="1:9" s="240" customFormat="1" ht="12.95" customHeight="1" thickBot="1" x14ac:dyDescent="0.25">
      <c r="A154" s="155" t="s">
        <v>32</v>
      </c>
      <c r="B154" s="226" t="s">
        <v>517</v>
      </c>
      <c r="C154" s="157">
        <f t="shared" si="2"/>
        <v>714499653</v>
      </c>
      <c r="D154" s="342">
        <f>+D128+D153</f>
        <v>115910560</v>
      </c>
      <c r="E154" s="251">
        <f>+E128+E153</f>
        <v>7067754</v>
      </c>
      <c r="F154" s="251">
        <f>+F128+F153</f>
        <v>591521339</v>
      </c>
    </row>
    <row r="155" spans="1:9" ht="7.5" customHeight="1" x14ac:dyDescent="0.25"/>
    <row r="156" spans="1:9" x14ac:dyDescent="0.25">
      <c r="A156" s="995" t="s">
        <v>329</v>
      </c>
      <c r="B156" s="995"/>
      <c r="C156" s="995"/>
    </row>
    <row r="157" spans="1:9" ht="15" customHeight="1" thickBot="1" x14ac:dyDescent="0.3">
      <c r="A157" s="992" t="s">
        <v>142</v>
      </c>
      <c r="B157" s="992"/>
      <c r="C157" s="166" t="s">
        <v>589</v>
      </c>
    </row>
    <row r="158" spans="1:9" ht="13.5" customHeight="1" thickBot="1" x14ac:dyDescent="0.3">
      <c r="A158" s="19">
        <v>1</v>
      </c>
      <c r="B158" s="24" t="s">
        <v>518</v>
      </c>
      <c r="C158" s="157">
        <f>+C62-C128</f>
        <v>-162598223</v>
      </c>
    </row>
    <row r="159" spans="1:9" ht="27.75" customHeight="1" thickBot="1" x14ac:dyDescent="0.3">
      <c r="A159" s="19" t="s">
        <v>23</v>
      </c>
      <c r="B159" s="24" t="s">
        <v>519</v>
      </c>
      <c r="C159" s="157">
        <f>+C86-C153</f>
        <v>13582960</v>
      </c>
    </row>
    <row r="162" spans="4:4" x14ac:dyDescent="0.25">
      <c r="D162" s="25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11/2018.(V.31.)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29"/>
  <sheetViews>
    <sheetView view="pageLayout" zoomScaleNormal="85" workbookViewId="0">
      <selection activeCell="C3" sqref="C3:D3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048" t="s">
        <v>721</v>
      </c>
      <c r="B1" s="1048"/>
      <c r="C1" s="1048"/>
      <c r="D1" s="1048"/>
    </row>
    <row r="2" spans="1:6" ht="17.25" customHeight="1" x14ac:dyDescent="0.25">
      <c r="A2" s="557"/>
      <c r="B2" s="557"/>
      <c r="C2" s="557"/>
      <c r="D2" s="557"/>
    </row>
    <row r="3" spans="1:6" ht="13.5" thickBot="1" x14ac:dyDescent="0.25">
      <c r="A3" s="102"/>
      <c r="B3" s="102"/>
      <c r="C3" s="1049" t="s">
        <v>591</v>
      </c>
      <c r="D3" s="1049"/>
    </row>
    <row r="4" spans="1:6" ht="42.75" customHeight="1" thickBot="1" x14ac:dyDescent="0.25">
      <c r="A4" s="223" t="s">
        <v>73</v>
      </c>
      <c r="B4" s="224" t="s">
        <v>120</v>
      </c>
      <c r="C4" s="224" t="s">
        <v>121</v>
      </c>
      <c r="D4" s="225" t="s">
        <v>18</v>
      </c>
    </row>
    <row r="5" spans="1:6" ht="15.95" customHeight="1" x14ac:dyDescent="0.2">
      <c r="A5" s="103" t="s">
        <v>22</v>
      </c>
      <c r="B5" s="26" t="s">
        <v>414</v>
      </c>
      <c r="C5" s="283" t="s">
        <v>415</v>
      </c>
      <c r="D5" s="27">
        <v>5000000</v>
      </c>
      <c r="E5" s="40"/>
      <c r="F5" s="40"/>
    </row>
    <row r="6" spans="1:6" ht="15.95" customHeight="1" x14ac:dyDescent="0.2">
      <c r="A6" s="103" t="s">
        <v>23</v>
      </c>
      <c r="B6" s="28" t="s">
        <v>416</v>
      </c>
      <c r="C6" s="30" t="s">
        <v>415</v>
      </c>
      <c r="D6" s="29">
        <v>1500000</v>
      </c>
      <c r="E6" s="40"/>
      <c r="F6" s="40"/>
    </row>
    <row r="7" spans="1:6" ht="15.95" customHeight="1" x14ac:dyDescent="0.2">
      <c r="A7" s="103" t="s">
        <v>24</v>
      </c>
      <c r="B7" s="28" t="s">
        <v>417</v>
      </c>
      <c r="C7" s="30" t="s">
        <v>415</v>
      </c>
      <c r="D7" s="29">
        <v>500000</v>
      </c>
      <c r="E7" s="40"/>
      <c r="F7" s="40"/>
    </row>
    <row r="8" spans="1:6" ht="15.95" customHeight="1" x14ac:dyDescent="0.2">
      <c r="A8" s="103" t="s">
        <v>25</v>
      </c>
      <c r="B8" s="28" t="s">
        <v>418</v>
      </c>
      <c r="C8" s="28" t="s">
        <v>415</v>
      </c>
      <c r="D8" s="29">
        <v>4000000</v>
      </c>
      <c r="E8" s="40"/>
      <c r="F8" s="40"/>
    </row>
    <row r="9" spans="1:6" ht="15.95" customHeight="1" x14ac:dyDescent="0.2">
      <c r="A9" s="103" t="s">
        <v>26</v>
      </c>
      <c r="B9" s="28" t="s">
        <v>419</v>
      </c>
      <c r="C9" s="285" t="s">
        <v>415</v>
      </c>
      <c r="D9" s="29">
        <v>200000</v>
      </c>
      <c r="E9" s="40"/>
      <c r="F9" s="40"/>
    </row>
    <row r="10" spans="1:6" ht="15.95" customHeight="1" x14ac:dyDescent="0.2">
      <c r="A10" s="103" t="s">
        <v>27</v>
      </c>
      <c r="B10" s="28" t="s">
        <v>420</v>
      </c>
      <c r="C10" s="28" t="s">
        <v>415</v>
      </c>
      <c r="D10" s="29">
        <v>800000</v>
      </c>
      <c r="E10" s="40"/>
      <c r="F10" s="40"/>
    </row>
    <row r="11" spans="1:6" ht="15.95" customHeight="1" x14ac:dyDescent="0.2">
      <c r="A11" s="103" t="s">
        <v>28</v>
      </c>
      <c r="B11" s="28" t="s">
        <v>421</v>
      </c>
      <c r="C11" s="284" t="s">
        <v>415</v>
      </c>
      <c r="D11" s="29">
        <v>100000</v>
      </c>
      <c r="E11" s="40"/>
      <c r="F11" s="40"/>
    </row>
    <row r="12" spans="1:6" ht="15.95" customHeight="1" x14ac:dyDescent="0.2">
      <c r="A12" s="103" t="s">
        <v>29</v>
      </c>
      <c r="B12" s="28" t="s">
        <v>422</v>
      </c>
      <c r="C12" s="284" t="s">
        <v>415</v>
      </c>
      <c r="D12" s="29">
        <v>50000</v>
      </c>
      <c r="E12" s="40"/>
      <c r="F12" s="40"/>
    </row>
    <row r="13" spans="1:6" ht="15.95" customHeight="1" x14ac:dyDescent="0.2">
      <c r="A13" s="103" t="s">
        <v>30</v>
      </c>
      <c r="B13" s="28" t="s">
        <v>717</v>
      </c>
      <c r="C13" s="28" t="s">
        <v>423</v>
      </c>
      <c r="D13" s="29">
        <v>34286575</v>
      </c>
      <c r="E13" s="40"/>
      <c r="F13" s="40"/>
    </row>
    <row r="14" spans="1:6" ht="15.95" customHeight="1" x14ac:dyDescent="0.2">
      <c r="A14" s="103" t="s">
        <v>31</v>
      </c>
      <c r="B14" s="28" t="s">
        <v>718</v>
      </c>
      <c r="C14" s="28" t="s">
        <v>423</v>
      </c>
      <c r="D14" s="29">
        <v>3094850</v>
      </c>
      <c r="E14" s="40"/>
      <c r="F14" s="40"/>
    </row>
    <row r="15" spans="1:6" ht="15.95" customHeight="1" x14ac:dyDescent="0.2">
      <c r="A15" s="103"/>
      <c r="B15" s="28" t="s">
        <v>719</v>
      </c>
      <c r="C15" s="28" t="s">
        <v>423</v>
      </c>
      <c r="D15" s="29">
        <v>17119005</v>
      </c>
      <c r="E15" s="40"/>
      <c r="F15" s="40"/>
    </row>
    <row r="16" spans="1:6" ht="15.95" customHeight="1" x14ac:dyDescent="0.2">
      <c r="A16" s="103"/>
      <c r="B16" s="28" t="s">
        <v>718</v>
      </c>
      <c r="C16" s="28" t="s">
        <v>423</v>
      </c>
      <c r="D16" s="29">
        <v>1988342</v>
      </c>
      <c r="E16" s="40"/>
      <c r="F16" s="40"/>
    </row>
    <row r="17" spans="1:6" ht="15.95" customHeight="1" x14ac:dyDescent="0.2">
      <c r="A17" s="103"/>
      <c r="B17" s="28" t="s">
        <v>720</v>
      </c>
      <c r="C17" s="28" t="s">
        <v>423</v>
      </c>
      <c r="D17" s="29">
        <v>9221949</v>
      </c>
      <c r="E17" s="40"/>
      <c r="F17" s="40"/>
    </row>
    <row r="18" spans="1:6" ht="15.95" customHeight="1" x14ac:dyDescent="0.2">
      <c r="A18" s="103" t="s">
        <v>32</v>
      </c>
      <c r="B18" s="28" t="s">
        <v>464</v>
      </c>
      <c r="C18" s="28" t="s">
        <v>415</v>
      </c>
      <c r="D18" s="29">
        <v>10141218</v>
      </c>
      <c r="E18" s="40"/>
      <c r="F18" s="40"/>
    </row>
    <row r="19" spans="1:6" ht="15.95" customHeight="1" x14ac:dyDescent="0.2">
      <c r="A19" s="103" t="s">
        <v>33</v>
      </c>
      <c r="B19" s="28" t="s">
        <v>424</v>
      </c>
      <c r="C19" s="28" t="s">
        <v>415</v>
      </c>
      <c r="D19" s="29">
        <v>19982000</v>
      </c>
      <c r="E19" s="40"/>
      <c r="F19" s="306"/>
    </row>
    <row r="20" spans="1:6" ht="15.95" customHeight="1" x14ac:dyDescent="0.2">
      <c r="A20" s="103" t="s">
        <v>34</v>
      </c>
      <c r="B20" s="28" t="s">
        <v>425</v>
      </c>
      <c r="C20" s="28" t="s">
        <v>415</v>
      </c>
      <c r="D20" s="29"/>
      <c r="E20" s="40"/>
      <c r="F20" s="40"/>
    </row>
    <row r="21" spans="1:6" ht="15.95" customHeight="1" x14ac:dyDescent="0.2">
      <c r="A21" s="103" t="s">
        <v>35</v>
      </c>
      <c r="B21" s="28" t="s">
        <v>593</v>
      </c>
      <c r="C21" s="28" t="s">
        <v>415</v>
      </c>
      <c r="D21" s="29">
        <v>150000</v>
      </c>
    </row>
    <row r="22" spans="1:6" ht="15.95" customHeight="1" x14ac:dyDescent="0.2">
      <c r="A22" s="103" t="s">
        <v>36</v>
      </c>
      <c r="B22" s="28" t="s">
        <v>3</v>
      </c>
      <c r="C22" s="28" t="s">
        <v>415</v>
      </c>
      <c r="D22" s="55">
        <v>13000000</v>
      </c>
    </row>
    <row r="23" spans="1:6" ht="22.5" x14ac:dyDescent="0.2">
      <c r="A23" s="103" t="s">
        <v>40</v>
      </c>
      <c r="B23" s="632" t="s">
        <v>612</v>
      </c>
      <c r="C23" s="28" t="s">
        <v>415</v>
      </c>
      <c r="D23" s="55">
        <v>3000000</v>
      </c>
    </row>
    <row r="24" spans="1:6" ht="15.95" customHeight="1" x14ac:dyDescent="0.2">
      <c r="A24" s="103" t="s">
        <v>43</v>
      </c>
      <c r="B24" s="28" t="s">
        <v>608</v>
      </c>
      <c r="C24" s="28" t="s">
        <v>415</v>
      </c>
      <c r="D24" s="55">
        <v>4093000</v>
      </c>
    </row>
    <row r="25" spans="1:6" ht="15.95" customHeight="1" x14ac:dyDescent="0.2">
      <c r="A25" s="103" t="s">
        <v>44</v>
      </c>
      <c r="B25" s="28" t="s">
        <v>715</v>
      </c>
      <c r="C25" s="28" t="s">
        <v>415</v>
      </c>
      <c r="D25" s="55">
        <v>84924866</v>
      </c>
    </row>
    <row r="26" spans="1:6" ht="15.95" customHeight="1" x14ac:dyDescent="0.2">
      <c r="A26" s="103" t="s">
        <v>46</v>
      </c>
      <c r="B26" s="28" t="s">
        <v>613</v>
      </c>
      <c r="C26" s="28" t="s">
        <v>415</v>
      </c>
      <c r="D26" s="55">
        <v>60000</v>
      </c>
    </row>
    <row r="27" spans="1:6" ht="15.95" customHeight="1" x14ac:dyDescent="0.2">
      <c r="A27" s="103" t="s">
        <v>49</v>
      </c>
      <c r="B27" s="28" t="s">
        <v>716</v>
      </c>
      <c r="C27" s="28" t="s">
        <v>415</v>
      </c>
      <c r="D27" s="55">
        <v>660000</v>
      </c>
    </row>
    <row r="28" spans="1:6" ht="15.95" customHeight="1" thickBot="1" x14ac:dyDescent="0.25">
      <c r="A28" s="962" t="s">
        <v>50</v>
      </c>
      <c r="B28" s="963" t="s">
        <v>744</v>
      </c>
      <c r="C28" s="963" t="s">
        <v>423</v>
      </c>
      <c r="D28" s="964">
        <v>100000</v>
      </c>
    </row>
    <row r="29" spans="1:6" ht="15.95" customHeight="1" thickBot="1" x14ac:dyDescent="0.25">
      <c r="A29" s="1050" t="s">
        <v>56</v>
      </c>
      <c r="B29" s="1051"/>
      <c r="C29" s="104"/>
      <c r="D29" s="105">
        <f>SUM(D5:D28)</f>
        <v>213971805</v>
      </c>
    </row>
  </sheetData>
  <mergeCells count="3">
    <mergeCell ref="A1:D1"/>
    <mergeCell ref="C3:D3"/>
    <mergeCell ref="A29:B29"/>
  </mergeCells>
  <conditionalFormatting sqref="D2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30. melléklet a 11/2018.(V.31.)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view="pageLayout" zoomScale="85" zoomScaleNormal="100" zoomScalePageLayoutView="85" workbookViewId="0">
      <selection activeCell="D3" sqref="D3"/>
    </sheetView>
  </sheetViews>
  <sheetFormatPr defaultColWidth="10.6640625" defaultRowHeight="12.75" x14ac:dyDescent="0.2"/>
  <cols>
    <col min="1" max="1" width="42.33203125" style="404" customWidth="1"/>
    <col min="2" max="2" width="13" style="405" bestFit="1" customWidth="1"/>
    <col min="3" max="4" width="11.1640625" style="405" bestFit="1" customWidth="1"/>
    <col min="5" max="5" width="11.33203125" style="405" bestFit="1" customWidth="1"/>
    <col min="6" max="6" width="11.83203125" style="405" bestFit="1" customWidth="1"/>
    <col min="7" max="7" width="13.6640625" style="406" bestFit="1" customWidth="1"/>
    <col min="8" max="8" width="1.1640625" style="406" customWidth="1"/>
    <col min="9" max="9" width="12.6640625" style="404" bestFit="1" customWidth="1"/>
    <col min="10" max="10" width="11.1640625" style="404" bestFit="1" customWidth="1"/>
    <col min="11" max="11" width="13" style="404" bestFit="1" customWidth="1"/>
    <col min="12" max="13" width="11.1640625" style="404" bestFit="1" customWidth="1"/>
    <col min="14" max="14" width="15.1640625" style="407" bestFit="1" customWidth="1"/>
    <col min="15" max="15" width="15.1640625" style="404" bestFit="1" customWidth="1"/>
    <col min="16" max="16384" width="10.6640625" style="404"/>
  </cols>
  <sheetData>
    <row r="1" spans="1:194" x14ac:dyDescent="0.2">
      <c r="J1" s="1052"/>
      <c r="K1" s="1052"/>
      <c r="L1" s="1052"/>
      <c r="M1" s="1052"/>
    </row>
    <row r="2" spans="1:194" x14ac:dyDescent="0.2">
      <c r="A2" s="408"/>
      <c r="E2" s="409"/>
      <c r="I2" s="408"/>
      <c r="J2" s="1053"/>
      <c r="K2" s="1053"/>
      <c r="L2" s="1053"/>
      <c r="M2" s="1053"/>
      <c r="N2" s="410"/>
    </row>
    <row r="3" spans="1:194" ht="17.25" customHeight="1" x14ac:dyDescent="0.35">
      <c r="A3" s="411" t="s">
        <v>629</v>
      </c>
      <c r="B3" s="412"/>
      <c r="C3" s="412"/>
      <c r="D3" s="412"/>
      <c r="E3" s="412"/>
      <c r="F3" s="412"/>
      <c r="G3" s="413"/>
      <c r="H3" s="413"/>
      <c r="I3" s="414"/>
      <c r="J3" s="414"/>
      <c r="K3" s="414"/>
      <c r="L3" s="414"/>
      <c r="M3" s="414"/>
      <c r="N3" s="415"/>
    </row>
    <row r="4" spans="1:194" ht="19.5" x14ac:dyDescent="0.35">
      <c r="A4" s="416" t="s">
        <v>426</v>
      </c>
      <c r="B4" s="412"/>
      <c r="C4" s="412"/>
      <c r="D4" s="412"/>
      <c r="E4" s="412"/>
      <c r="F4" s="412"/>
      <c r="G4" s="413"/>
      <c r="H4" s="413"/>
      <c r="I4" s="414"/>
      <c r="J4" s="414"/>
      <c r="K4" s="414"/>
      <c r="L4" s="414"/>
      <c r="M4" s="414"/>
      <c r="N4" s="415"/>
    </row>
    <row r="5" spans="1:194" ht="0.75" customHeight="1" thickBot="1" x14ac:dyDescent="0.35">
      <c r="A5" s="417"/>
      <c r="B5" s="412"/>
      <c r="C5" s="412"/>
      <c r="D5" s="412"/>
      <c r="E5" s="412"/>
      <c r="F5" s="412"/>
      <c r="G5" s="413"/>
      <c r="H5" s="413"/>
      <c r="I5" s="414"/>
      <c r="J5" s="414"/>
      <c r="K5" s="414"/>
      <c r="L5" s="414"/>
      <c r="M5" s="414"/>
      <c r="N5" s="410" t="s">
        <v>387</v>
      </c>
    </row>
    <row r="6" spans="1:194" ht="15.75" x14ac:dyDescent="0.25">
      <c r="A6" s="418" t="s">
        <v>173</v>
      </c>
      <c r="B6" s="1054" t="s">
        <v>427</v>
      </c>
      <c r="C6" s="1055"/>
      <c r="D6" s="1055"/>
      <c r="E6" s="1055"/>
      <c r="F6" s="1055"/>
      <c r="G6" s="1056"/>
      <c r="H6" s="419"/>
      <c r="I6" s="1054" t="s">
        <v>428</v>
      </c>
      <c r="J6" s="1055"/>
      <c r="K6" s="1055"/>
      <c r="L6" s="1055"/>
      <c r="M6" s="1055"/>
      <c r="N6" s="1056"/>
    </row>
    <row r="7" spans="1:194" x14ac:dyDescent="0.2">
      <c r="A7" s="420"/>
      <c r="B7" s="421" t="s">
        <v>429</v>
      </c>
      <c r="C7" s="422" t="s">
        <v>401</v>
      </c>
      <c r="D7" s="422" t="s">
        <v>451</v>
      </c>
      <c r="E7" s="422" t="s">
        <v>430</v>
      </c>
      <c r="F7" s="422" t="s">
        <v>572</v>
      </c>
      <c r="G7" s="423" t="s">
        <v>630</v>
      </c>
      <c r="H7" s="424"/>
      <c r="I7" s="421" t="s">
        <v>429</v>
      </c>
      <c r="J7" s="422" t="s">
        <v>401</v>
      </c>
      <c r="K7" s="422" t="s">
        <v>460</v>
      </c>
      <c r="L7" s="422" t="s">
        <v>125</v>
      </c>
      <c r="M7" s="422" t="s">
        <v>452</v>
      </c>
      <c r="N7" s="423" t="s">
        <v>631</v>
      </c>
    </row>
    <row r="8" spans="1:194" ht="13.5" thickBot="1" x14ac:dyDescent="0.25">
      <c r="A8" s="425"/>
      <c r="B8" s="426" t="s">
        <v>431</v>
      </c>
      <c r="C8" s="427" t="s">
        <v>431</v>
      </c>
      <c r="D8" s="427" t="s">
        <v>431</v>
      </c>
      <c r="E8" s="427" t="s">
        <v>432</v>
      </c>
      <c r="F8" s="427"/>
      <c r="G8" s="428" t="s">
        <v>433</v>
      </c>
      <c r="H8" s="429"/>
      <c r="I8" s="504" t="s">
        <v>434</v>
      </c>
      <c r="J8" s="505" t="s">
        <v>407</v>
      </c>
      <c r="K8" s="505" t="s">
        <v>403</v>
      </c>
      <c r="L8" s="505"/>
      <c r="M8" s="505"/>
      <c r="N8" s="506" t="s">
        <v>435</v>
      </c>
    </row>
    <row r="9" spans="1:194" x14ac:dyDescent="0.2">
      <c r="A9" s="507" t="s">
        <v>453</v>
      </c>
      <c r="B9" s="430">
        <v>2900000</v>
      </c>
      <c r="C9" s="431"/>
      <c r="D9" s="432"/>
      <c r="E9" s="431"/>
      <c r="F9" s="431"/>
      <c r="G9" s="433">
        <f>SUM(B9:F9)</f>
        <v>2900000</v>
      </c>
      <c r="H9" s="434"/>
      <c r="I9" s="435"/>
      <c r="J9" s="431">
        <v>359410</v>
      </c>
      <c r="K9" s="436"/>
      <c r="L9" s="431"/>
      <c r="M9" s="431"/>
      <c r="N9" s="437">
        <f t="shared" ref="N9:N51" si="0">SUM(I9:M9)</f>
        <v>359410</v>
      </c>
      <c r="O9" s="438"/>
      <c r="P9" s="438"/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8"/>
      <c r="AX9" s="438"/>
      <c r="AY9" s="438"/>
      <c r="AZ9" s="438"/>
      <c r="BA9" s="438"/>
      <c r="BB9" s="438"/>
      <c r="BC9" s="438"/>
      <c r="BD9" s="438"/>
      <c r="BE9" s="438"/>
      <c r="BF9" s="438"/>
      <c r="BG9" s="438"/>
      <c r="BH9" s="438"/>
      <c r="BI9" s="438"/>
      <c r="BJ9" s="438"/>
      <c r="BK9" s="438"/>
      <c r="BL9" s="438"/>
      <c r="BM9" s="438"/>
      <c r="BN9" s="438"/>
      <c r="BO9" s="438"/>
      <c r="BP9" s="438"/>
      <c r="BQ9" s="438"/>
      <c r="BR9" s="438"/>
      <c r="BS9" s="438"/>
      <c r="BT9" s="438"/>
      <c r="BU9" s="438"/>
      <c r="BV9" s="438"/>
      <c r="BW9" s="438"/>
      <c r="BX9" s="438"/>
      <c r="BY9" s="438"/>
      <c r="BZ9" s="438"/>
      <c r="CA9" s="438"/>
      <c r="CB9" s="438"/>
      <c r="CC9" s="438"/>
      <c r="CD9" s="438"/>
      <c r="CE9" s="438"/>
      <c r="CF9" s="438"/>
      <c r="CG9" s="438"/>
      <c r="CH9" s="438"/>
      <c r="CI9" s="438"/>
      <c r="CJ9" s="438"/>
      <c r="CK9" s="438"/>
      <c r="CL9" s="438"/>
      <c r="CM9" s="438"/>
      <c r="CN9" s="438"/>
      <c r="CO9" s="438"/>
      <c r="CP9" s="438"/>
      <c r="CQ9" s="438"/>
      <c r="CR9" s="438"/>
      <c r="CS9" s="438"/>
      <c r="CT9" s="438"/>
      <c r="CU9" s="438"/>
      <c r="CV9" s="438"/>
      <c r="CW9" s="438"/>
      <c r="CX9" s="438"/>
      <c r="CY9" s="438"/>
      <c r="CZ9" s="438"/>
      <c r="DA9" s="438"/>
      <c r="DB9" s="438"/>
      <c r="DC9" s="438"/>
      <c r="DD9" s="438"/>
      <c r="DE9" s="438"/>
      <c r="DF9" s="438"/>
      <c r="DG9" s="438"/>
      <c r="DH9" s="438"/>
      <c r="DI9" s="438"/>
      <c r="DJ9" s="438"/>
      <c r="DK9" s="438"/>
      <c r="DL9" s="438"/>
      <c r="DM9" s="438"/>
      <c r="DN9" s="438"/>
      <c r="DO9" s="438"/>
      <c r="DP9" s="438"/>
      <c r="DQ9" s="438"/>
      <c r="DR9" s="438"/>
      <c r="DS9" s="438"/>
      <c r="DT9" s="438"/>
      <c r="DU9" s="438"/>
      <c r="DV9" s="438"/>
      <c r="DW9" s="438"/>
      <c r="DX9" s="438"/>
      <c r="DY9" s="438"/>
      <c r="DZ9" s="438"/>
      <c r="EA9" s="438"/>
      <c r="EB9" s="438"/>
      <c r="EC9" s="438"/>
      <c r="ED9" s="438"/>
      <c r="EE9" s="438"/>
      <c r="EF9" s="438"/>
      <c r="EG9" s="438"/>
      <c r="EH9" s="438"/>
      <c r="EI9" s="438"/>
      <c r="EJ9" s="438"/>
      <c r="EK9" s="438"/>
      <c r="EL9" s="438"/>
      <c r="EM9" s="438"/>
      <c r="EN9" s="438"/>
      <c r="EO9" s="438"/>
      <c r="EP9" s="438"/>
      <c r="EQ9" s="438"/>
      <c r="ER9" s="438"/>
      <c r="ES9" s="438"/>
      <c r="ET9" s="438"/>
      <c r="EU9" s="438"/>
      <c r="EV9" s="438"/>
      <c r="EW9" s="438"/>
      <c r="EX9" s="438"/>
      <c r="EY9" s="438"/>
      <c r="EZ9" s="438"/>
      <c r="FA9" s="438"/>
      <c r="FB9" s="438"/>
      <c r="FC9" s="438"/>
      <c r="FD9" s="438"/>
      <c r="FE9" s="438"/>
      <c r="FF9" s="438"/>
      <c r="FG9" s="438"/>
      <c r="FH9" s="438"/>
      <c r="FI9" s="438"/>
      <c r="FJ9" s="438"/>
      <c r="FK9" s="438"/>
      <c r="FL9" s="438"/>
      <c r="FM9" s="438"/>
      <c r="FN9" s="438"/>
      <c r="FO9" s="438"/>
      <c r="FP9" s="438"/>
      <c r="FQ9" s="438"/>
      <c r="FR9" s="438"/>
      <c r="FS9" s="438"/>
      <c r="FT9" s="438"/>
      <c r="FU9" s="438"/>
      <c r="FV9" s="438"/>
      <c r="FW9" s="438"/>
      <c r="FX9" s="438"/>
      <c r="FY9" s="438"/>
      <c r="FZ9" s="438"/>
      <c r="GA9" s="438"/>
      <c r="GB9" s="438"/>
      <c r="GC9" s="438"/>
      <c r="GD9" s="438"/>
      <c r="GE9" s="438"/>
      <c r="GF9" s="438"/>
      <c r="GG9" s="438"/>
      <c r="GH9" s="438"/>
      <c r="GI9" s="438"/>
      <c r="GJ9" s="438"/>
      <c r="GK9" s="438"/>
      <c r="GL9" s="438"/>
    </row>
    <row r="10" spans="1:194" x14ac:dyDescent="0.2">
      <c r="A10" s="445" t="s">
        <v>562</v>
      </c>
      <c r="B10" s="439"/>
      <c r="C10" s="440"/>
      <c r="D10" s="440"/>
      <c r="E10" s="440"/>
      <c r="F10" s="440"/>
      <c r="G10" s="441">
        <f>SUM(B10:F10)</f>
        <v>0</v>
      </c>
      <c r="H10" s="442"/>
      <c r="I10" s="443">
        <v>13447475</v>
      </c>
      <c r="J10" s="440"/>
      <c r="K10" s="440"/>
      <c r="L10" s="440"/>
      <c r="M10" s="440"/>
      <c r="N10" s="444">
        <f t="shared" si="0"/>
        <v>13447475</v>
      </c>
    </row>
    <row r="11" spans="1:194" x14ac:dyDescent="0.2">
      <c r="A11" s="445" t="s">
        <v>573</v>
      </c>
      <c r="B11" s="439"/>
      <c r="C11" s="440"/>
      <c r="D11" s="440"/>
      <c r="E11" s="440"/>
      <c r="F11" s="440"/>
      <c r="G11" s="441">
        <f>SUM(B11:F11)</f>
        <v>0</v>
      </c>
      <c r="H11" s="442"/>
      <c r="I11" s="443">
        <v>835000</v>
      </c>
      <c r="J11" s="440"/>
      <c r="K11" s="440"/>
      <c r="L11" s="440"/>
      <c r="M11" s="440"/>
      <c r="N11" s="444">
        <f t="shared" si="0"/>
        <v>835000</v>
      </c>
    </row>
    <row r="12" spans="1:194" x14ac:dyDescent="0.2">
      <c r="A12" s="445" t="s">
        <v>574</v>
      </c>
      <c r="B12" s="439"/>
      <c r="C12" s="440">
        <f>15690532-15690532</f>
        <v>0</v>
      </c>
      <c r="D12" s="440"/>
      <c r="E12" s="440"/>
      <c r="F12" s="440"/>
      <c r="G12" s="441">
        <f>SUM(B12:F12)</f>
        <v>0</v>
      </c>
      <c r="H12" s="446"/>
      <c r="I12" s="443">
        <v>50000</v>
      </c>
      <c r="J12" s="440">
        <v>2345001</v>
      </c>
      <c r="K12" s="440"/>
      <c r="L12" s="440"/>
      <c r="M12" s="440"/>
      <c r="N12" s="444">
        <f t="shared" si="0"/>
        <v>2395001</v>
      </c>
    </row>
    <row r="13" spans="1:194" x14ac:dyDescent="0.2">
      <c r="A13" s="445" t="s">
        <v>454</v>
      </c>
      <c r="B13" s="439"/>
      <c r="C13" s="447"/>
      <c r="D13" s="440"/>
      <c r="E13" s="440"/>
      <c r="F13" s="440"/>
      <c r="G13" s="441">
        <f t="shared" ref="G13:G19" si="1">SUM(B13:F13)</f>
        <v>0</v>
      </c>
      <c r="H13" s="448" t="e">
        <f>SUM(#REF!)</f>
        <v>#REF!</v>
      </c>
      <c r="I13" s="443"/>
      <c r="J13" s="440"/>
      <c r="K13" s="440"/>
      <c r="L13" s="440"/>
      <c r="M13" s="440"/>
      <c r="N13" s="444">
        <f t="shared" si="0"/>
        <v>0</v>
      </c>
    </row>
    <row r="14" spans="1:194" x14ac:dyDescent="0.2">
      <c r="A14" s="449" t="s">
        <v>563</v>
      </c>
      <c r="B14" s="439">
        <v>19342000</v>
      </c>
      <c r="C14" s="450"/>
      <c r="D14" s="440"/>
      <c r="E14" s="450"/>
      <c r="F14" s="450"/>
      <c r="G14" s="444">
        <f t="shared" si="1"/>
        <v>19342000</v>
      </c>
      <c r="H14" s="442"/>
      <c r="I14" s="443">
        <v>16099000</v>
      </c>
      <c r="J14" s="440"/>
      <c r="K14" s="450"/>
      <c r="L14" s="450"/>
      <c r="M14" s="450"/>
      <c r="N14" s="444">
        <f t="shared" si="0"/>
        <v>16099000</v>
      </c>
    </row>
    <row r="15" spans="1:194" x14ac:dyDescent="0.2">
      <c r="A15" s="445" t="s">
        <v>436</v>
      </c>
      <c r="B15" s="439"/>
      <c r="C15" s="440"/>
      <c r="D15" s="440"/>
      <c r="E15" s="440"/>
      <c r="F15" s="440"/>
      <c r="G15" s="441">
        <f t="shared" si="1"/>
        <v>0</v>
      </c>
      <c r="H15" s="442"/>
      <c r="I15" s="443">
        <v>12484218</v>
      </c>
      <c r="J15" s="440">
        <v>1881000</v>
      </c>
      <c r="K15" s="440"/>
      <c r="L15" s="440"/>
      <c r="M15" s="440"/>
      <c r="N15" s="444">
        <f t="shared" si="0"/>
        <v>14365218</v>
      </c>
    </row>
    <row r="16" spans="1:194" x14ac:dyDescent="0.2">
      <c r="A16" s="445" t="s">
        <v>437</v>
      </c>
      <c r="B16" s="439">
        <v>481000</v>
      </c>
      <c r="C16" s="440"/>
      <c r="D16" s="440"/>
      <c r="E16" s="440"/>
      <c r="F16" s="440"/>
      <c r="G16" s="441">
        <f t="shared" si="1"/>
        <v>481000</v>
      </c>
      <c r="H16" s="442"/>
      <c r="I16" s="443">
        <v>2456000</v>
      </c>
      <c r="J16" s="440"/>
      <c r="K16" s="440"/>
      <c r="L16" s="440"/>
      <c r="M16" s="440"/>
      <c r="N16" s="444">
        <f t="shared" si="0"/>
        <v>2456000</v>
      </c>
    </row>
    <row r="17" spans="1:14" x14ac:dyDescent="0.2">
      <c r="A17" s="445" t="s">
        <v>438</v>
      </c>
      <c r="B17" s="439"/>
      <c r="C17" s="440"/>
      <c r="D17" s="440"/>
      <c r="E17" s="440"/>
      <c r="F17" s="440"/>
      <c r="G17" s="441">
        <f t="shared" si="1"/>
        <v>0</v>
      </c>
      <c r="H17" s="442"/>
      <c r="I17" s="443"/>
      <c r="J17" s="440"/>
      <c r="K17" s="440"/>
      <c r="L17" s="440"/>
      <c r="M17" s="440"/>
      <c r="N17" s="444">
        <f t="shared" si="0"/>
        <v>0</v>
      </c>
    </row>
    <row r="18" spans="1:14" x14ac:dyDescent="0.2">
      <c r="A18" s="445" t="s">
        <v>439</v>
      </c>
      <c r="B18" s="451">
        <f>63500</f>
        <v>63500</v>
      </c>
      <c r="C18" s="450"/>
      <c r="D18" s="450"/>
      <c r="E18" s="450"/>
      <c r="F18" s="450"/>
      <c r="G18" s="444">
        <f t="shared" si="1"/>
        <v>63500</v>
      </c>
      <c r="H18" s="452"/>
      <c r="I18" s="849">
        <f>34373231+1095900+213701-198000-34749+70000+23800+4650</f>
        <v>35548533</v>
      </c>
      <c r="J18" s="440"/>
      <c r="K18" s="450"/>
      <c r="L18" s="450"/>
      <c r="M18" s="450"/>
      <c r="N18" s="444">
        <f t="shared" si="0"/>
        <v>35548533</v>
      </c>
    </row>
    <row r="19" spans="1:14" x14ac:dyDescent="0.2">
      <c r="A19" s="449" t="s">
        <v>440</v>
      </c>
      <c r="B19" s="451"/>
      <c r="C19" s="450"/>
      <c r="D19" s="450"/>
      <c r="E19" s="450"/>
      <c r="F19" s="450"/>
      <c r="G19" s="444">
        <f t="shared" si="1"/>
        <v>0</v>
      </c>
      <c r="H19" s="452"/>
      <c r="I19" s="443">
        <v>17856849</v>
      </c>
      <c r="J19" s="450"/>
      <c r="K19" s="450"/>
      <c r="L19" s="450"/>
      <c r="M19" s="450"/>
      <c r="N19" s="444">
        <f t="shared" si="0"/>
        <v>17856849</v>
      </c>
    </row>
    <row r="20" spans="1:14" x14ac:dyDescent="0.2">
      <c r="A20" s="445" t="s">
        <v>441</v>
      </c>
      <c r="B20" s="439">
        <f>SUM(B21:B23)</f>
        <v>0</v>
      </c>
      <c r="C20" s="440">
        <f>SUM(C21:C23)</f>
        <v>0</v>
      </c>
      <c r="D20" s="440">
        <f>SUM(D21:D23)</f>
        <v>345658000</v>
      </c>
      <c r="E20" s="440"/>
      <c r="F20" s="440"/>
      <c r="G20" s="444">
        <f>SUM(G21:G23)</f>
        <v>345658000</v>
      </c>
      <c r="H20" s="452"/>
      <c r="I20" s="453"/>
      <c r="J20" s="450"/>
      <c r="K20" s="450">
        <f>SUM(K21:K23)</f>
        <v>0</v>
      </c>
      <c r="L20" s="450"/>
      <c r="M20" s="450"/>
      <c r="N20" s="444">
        <f t="shared" si="0"/>
        <v>0</v>
      </c>
    </row>
    <row r="21" spans="1:14" x14ac:dyDescent="0.2">
      <c r="A21" s="454" t="s">
        <v>455</v>
      </c>
      <c r="B21" s="439"/>
      <c r="C21" s="450"/>
      <c r="D21" s="439">
        <f>308658000+3500000</f>
        <v>312158000</v>
      </c>
      <c r="E21" s="450"/>
      <c r="F21" s="450"/>
      <c r="G21" s="455">
        <f t="shared" ref="G21:G27" si="2">SUM(B21:F21)</f>
        <v>312158000</v>
      </c>
      <c r="H21" s="452"/>
      <c r="I21" s="453"/>
      <c r="J21" s="450"/>
      <c r="K21" s="450"/>
      <c r="L21" s="450"/>
      <c r="M21" s="450"/>
      <c r="N21" s="456">
        <f t="shared" si="0"/>
        <v>0</v>
      </c>
    </row>
    <row r="22" spans="1:14" x14ac:dyDescent="0.2">
      <c r="A22" s="454" t="s">
        <v>442</v>
      </c>
      <c r="B22" s="439"/>
      <c r="C22" s="450"/>
      <c r="D22" s="439">
        <v>28000000</v>
      </c>
      <c r="E22" s="450"/>
      <c r="F22" s="450"/>
      <c r="G22" s="455">
        <f t="shared" si="2"/>
        <v>28000000</v>
      </c>
      <c r="H22" s="452"/>
      <c r="I22" s="453"/>
      <c r="J22" s="450"/>
      <c r="K22" s="450"/>
      <c r="L22" s="450"/>
      <c r="M22" s="450"/>
      <c r="N22" s="456">
        <f t="shared" si="0"/>
        <v>0</v>
      </c>
    </row>
    <row r="23" spans="1:14" x14ac:dyDescent="0.2">
      <c r="A23" s="454" t="s">
        <v>564</v>
      </c>
      <c r="B23" s="439"/>
      <c r="C23" s="450"/>
      <c r="D23" s="439">
        <v>5500000</v>
      </c>
      <c r="E23" s="450"/>
      <c r="F23" s="450"/>
      <c r="G23" s="455">
        <f t="shared" si="2"/>
        <v>5500000</v>
      </c>
      <c r="H23" s="452"/>
      <c r="I23" s="453"/>
      <c r="J23" s="450"/>
      <c r="K23" s="450"/>
      <c r="L23" s="450"/>
      <c r="M23" s="450"/>
      <c r="N23" s="456">
        <f t="shared" si="0"/>
        <v>0</v>
      </c>
    </row>
    <row r="24" spans="1:14" x14ac:dyDescent="0.2">
      <c r="A24" s="633" t="s">
        <v>1</v>
      </c>
      <c r="B24" s="451"/>
      <c r="C24" s="450"/>
      <c r="D24" s="450"/>
      <c r="E24" s="450"/>
      <c r="F24" s="450"/>
      <c r="G24" s="455">
        <f t="shared" si="2"/>
        <v>0</v>
      </c>
      <c r="H24" s="452"/>
      <c r="I24" s="443">
        <v>34200000</v>
      </c>
      <c r="J24" s="440">
        <f>1120000+302400</f>
        <v>1422400</v>
      </c>
      <c r="K24" s="450"/>
      <c r="L24" s="450"/>
      <c r="M24" s="450"/>
      <c r="N24" s="444">
        <f t="shared" si="0"/>
        <v>35622400</v>
      </c>
    </row>
    <row r="25" spans="1:14" x14ac:dyDescent="0.2">
      <c r="A25" s="445" t="s">
        <v>465</v>
      </c>
      <c r="B25" s="451"/>
      <c r="C25" s="450"/>
      <c r="D25" s="450"/>
      <c r="E25" s="450"/>
      <c r="F25" s="450"/>
      <c r="G25" s="444">
        <f t="shared" si="2"/>
        <v>0</v>
      </c>
      <c r="H25" s="452"/>
      <c r="I25" s="443"/>
      <c r="J25" s="450"/>
      <c r="K25" s="450"/>
      <c r="L25" s="450"/>
      <c r="M25" s="450"/>
      <c r="N25" s="444">
        <f t="shared" si="0"/>
        <v>0</v>
      </c>
    </row>
    <row r="26" spans="1:14" x14ac:dyDescent="0.2">
      <c r="A26" s="445" t="s">
        <v>443</v>
      </c>
      <c r="B26" s="451"/>
      <c r="C26" s="450"/>
      <c r="D26" s="450"/>
      <c r="E26" s="450"/>
      <c r="F26" s="450"/>
      <c r="G26" s="444">
        <f t="shared" si="2"/>
        <v>0</v>
      </c>
      <c r="H26" s="452"/>
      <c r="I26" s="443">
        <v>34163000</v>
      </c>
      <c r="J26" s="450">
        <v>1500000</v>
      </c>
      <c r="K26" s="450"/>
      <c r="L26" s="450"/>
      <c r="M26" s="450"/>
      <c r="N26" s="444">
        <f t="shared" si="0"/>
        <v>35663000</v>
      </c>
    </row>
    <row r="27" spans="1:14" ht="13.5" customHeight="1" x14ac:dyDescent="0.2">
      <c r="A27" s="508" t="s">
        <v>444</v>
      </c>
      <c r="B27" s="457">
        <f>4320000+1400000+378000+60000+300000</f>
        <v>6458000</v>
      </c>
      <c r="C27" s="458"/>
      <c r="D27" s="458">
        <v>7000000</v>
      </c>
      <c r="E27" s="459"/>
      <c r="F27" s="458"/>
      <c r="G27" s="460">
        <f t="shared" si="2"/>
        <v>13458000</v>
      </c>
      <c r="H27" s="452"/>
      <c r="I27" s="850">
        <f>16116992+2940000+50473064+52959801+61811+78740+37949+50000+13500+45720</f>
        <v>122777577</v>
      </c>
      <c r="J27" s="458">
        <f>3139585+216535+58465+360000+97200</f>
        <v>3871785</v>
      </c>
      <c r="K27" s="458"/>
      <c r="L27" s="459"/>
      <c r="M27" s="459"/>
      <c r="N27" s="460">
        <f t="shared" si="0"/>
        <v>126649362</v>
      </c>
    </row>
    <row r="28" spans="1:14" x14ac:dyDescent="0.2">
      <c r="A28" s="445" t="s">
        <v>456</v>
      </c>
      <c r="B28" s="439">
        <f t="shared" ref="B28:G28" si="3">SUM(B29:B31)</f>
        <v>1470041286</v>
      </c>
      <c r="C28" s="439">
        <f t="shared" si="3"/>
        <v>0</v>
      </c>
      <c r="D28" s="439">
        <f t="shared" si="3"/>
        <v>0</v>
      </c>
      <c r="E28" s="439">
        <f t="shared" si="3"/>
        <v>0</v>
      </c>
      <c r="F28" s="439">
        <f t="shared" si="3"/>
        <v>0</v>
      </c>
      <c r="G28" s="444">
        <f t="shared" si="3"/>
        <v>1470041286</v>
      </c>
      <c r="H28" s="461"/>
      <c r="I28" s="453">
        <f>SUM(I29:I30)</f>
        <v>42137410</v>
      </c>
      <c r="J28" s="453">
        <f>SUM(J29:J30)</f>
        <v>0</v>
      </c>
      <c r="K28" s="453">
        <f>SUM(K29:K30)</f>
        <v>0</v>
      </c>
      <c r="L28" s="453">
        <f>SUM(L29:L30)</f>
        <v>0</v>
      </c>
      <c r="M28" s="453">
        <f>SUM(M29:M30)</f>
        <v>0</v>
      </c>
      <c r="N28" s="444">
        <f t="shared" si="0"/>
        <v>42137410</v>
      </c>
    </row>
    <row r="29" spans="1:14" x14ac:dyDescent="0.2">
      <c r="A29" s="454" t="s">
        <v>457</v>
      </c>
      <c r="B29" s="439">
        <f>227855923+224734134+126991000+65060600+119410000+192410145+62092600+16122040+12622000</f>
        <v>1047298442</v>
      </c>
      <c r="C29" s="440"/>
      <c r="D29" s="450"/>
      <c r="E29" s="450"/>
      <c r="F29" s="450"/>
      <c r="G29" s="455">
        <f t="shared" ref="G29:G51" si="4">SUM(B29:F29)</f>
        <v>1047298442</v>
      </c>
      <c r="H29" s="452"/>
      <c r="I29" s="443">
        <v>3869819</v>
      </c>
      <c r="J29" s="450"/>
      <c r="K29" s="450"/>
      <c r="L29" s="450"/>
      <c r="M29" s="450"/>
      <c r="N29" s="456">
        <f t="shared" si="0"/>
        <v>3869819</v>
      </c>
    </row>
    <row r="30" spans="1:14" x14ac:dyDescent="0.2">
      <c r="A30" s="454" t="s">
        <v>458</v>
      </c>
      <c r="B30" s="555">
        <f>16254886+63796813+190231327+125887110+24250000+1309600+1013108</f>
        <v>422742844</v>
      </c>
      <c r="C30" s="440"/>
      <c r="D30" s="440"/>
      <c r="E30" s="450"/>
      <c r="F30" s="450"/>
      <c r="G30" s="455">
        <f t="shared" si="4"/>
        <v>422742844</v>
      </c>
      <c r="H30" s="452"/>
      <c r="I30" s="443">
        <v>38267591</v>
      </c>
      <c r="J30" s="450"/>
      <c r="K30" s="450"/>
      <c r="L30" s="450"/>
      <c r="M30" s="450"/>
      <c r="N30" s="444">
        <f t="shared" si="0"/>
        <v>38267591</v>
      </c>
    </row>
    <row r="31" spans="1:14" x14ac:dyDescent="0.2">
      <c r="A31" s="454" t="s">
        <v>610</v>
      </c>
      <c r="B31" s="555"/>
      <c r="C31" s="440"/>
      <c r="D31" s="440"/>
      <c r="E31" s="450"/>
      <c r="F31" s="450"/>
      <c r="G31" s="455">
        <f t="shared" si="4"/>
        <v>0</v>
      </c>
      <c r="H31" s="452"/>
      <c r="I31" s="443"/>
      <c r="J31" s="450"/>
      <c r="K31" s="450"/>
      <c r="L31" s="450"/>
      <c r="M31" s="450"/>
      <c r="N31" s="444"/>
    </row>
    <row r="32" spans="1:14" x14ac:dyDescent="0.2">
      <c r="A32" s="445" t="s">
        <v>445</v>
      </c>
      <c r="B32" s="439">
        <v>30000</v>
      </c>
      <c r="C32" s="440"/>
      <c r="D32" s="440"/>
      <c r="E32" s="440">
        <v>193478462</v>
      </c>
      <c r="F32" s="440"/>
      <c r="G32" s="441">
        <f t="shared" si="4"/>
        <v>193508462</v>
      </c>
      <c r="H32" s="442"/>
      <c r="I32" s="443">
        <f>3285067+156511+9000000</f>
        <v>12441578</v>
      </c>
      <c r="J32" s="440"/>
      <c r="K32" s="440"/>
      <c r="L32" s="440">
        <f>104042704+4444000</f>
        <v>108486704</v>
      </c>
      <c r="M32" s="556">
        <v>66443620</v>
      </c>
      <c r="N32" s="444">
        <f t="shared" si="0"/>
        <v>187371902</v>
      </c>
    </row>
    <row r="33" spans="1:14" x14ac:dyDescent="0.2">
      <c r="A33" s="445" t="s">
        <v>459</v>
      </c>
      <c r="B33" s="451"/>
      <c r="C33" s="450"/>
      <c r="D33" s="450"/>
      <c r="E33" s="450"/>
      <c r="F33" s="440">
        <f>569119704+25384054</f>
        <v>594503758</v>
      </c>
      <c r="G33" s="444">
        <f t="shared" si="4"/>
        <v>594503758</v>
      </c>
      <c r="H33" s="452"/>
      <c r="I33" s="443"/>
      <c r="J33" s="440"/>
      <c r="K33" s="556">
        <v>1331764428</v>
      </c>
      <c r="L33" s="440"/>
      <c r="M33" s="440"/>
      <c r="N33" s="444">
        <f t="shared" si="0"/>
        <v>1331764428</v>
      </c>
    </row>
    <row r="34" spans="1:14" x14ac:dyDescent="0.2">
      <c r="A34" s="445" t="s">
        <v>446</v>
      </c>
      <c r="B34" s="439"/>
      <c r="C34" s="440"/>
      <c r="D34" s="440"/>
      <c r="E34" s="440"/>
      <c r="F34" s="440"/>
      <c r="G34" s="444">
        <f t="shared" si="4"/>
        <v>0</v>
      </c>
      <c r="H34" s="452"/>
      <c r="I34" s="443">
        <v>577000</v>
      </c>
      <c r="J34" s="440"/>
      <c r="K34" s="440"/>
      <c r="L34" s="440"/>
      <c r="M34" s="440"/>
      <c r="N34" s="444">
        <f t="shared" si="0"/>
        <v>577000</v>
      </c>
    </row>
    <row r="35" spans="1:14" x14ac:dyDescent="0.2">
      <c r="A35" s="508" t="s">
        <v>447</v>
      </c>
      <c r="B35" s="457"/>
      <c r="C35" s="458">
        <v>3779393</v>
      </c>
      <c r="D35" s="458"/>
      <c r="E35" s="458"/>
      <c r="F35" s="458"/>
      <c r="G35" s="444">
        <f t="shared" si="4"/>
        <v>3779393</v>
      </c>
      <c r="H35" s="452"/>
      <c r="I35" s="462">
        <f>1182990+207615+350000+1874803+200000+655000+14128085</f>
        <v>18598493</v>
      </c>
      <c r="J35" s="458">
        <f>33894811+20930495</f>
        <v>54825306</v>
      </c>
      <c r="K35" s="458"/>
      <c r="L35" s="458"/>
      <c r="M35" s="458"/>
      <c r="N35" s="444">
        <f t="shared" si="0"/>
        <v>73423799</v>
      </c>
    </row>
    <row r="36" spans="1:14" x14ac:dyDescent="0.2">
      <c r="A36" s="508" t="s">
        <v>595</v>
      </c>
      <c r="B36" s="457"/>
      <c r="C36" s="458"/>
      <c r="D36" s="458"/>
      <c r="E36" s="458"/>
      <c r="F36" s="458"/>
      <c r="G36" s="444">
        <f t="shared" si="4"/>
        <v>0</v>
      </c>
      <c r="H36" s="452"/>
      <c r="I36" s="462"/>
      <c r="J36" s="458"/>
      <c r="K36" s="458"/>
      <c r="L36" s="458"/>
      <c r="M36" s="458"/>
      <c r="N36" s="444">
        <f t="shared" si="0"/>
        <v>0</v>
      </c>
    </row>
    <row r="37" spans="1:14" x14ac:dyDescent="0.2">
      <c r="A37" s="508" t="s">
        <v>461</v>
      </c>
      <c r="B37" s="457"/>
      <c r="C37" s="458"/>
      <c r="D37" s="458"/>
      <c r="E37" s="458"/>
      <c r="F37" s="458"/>
      <c r="G37" s="444">
        <f t="shared" si="4"/>
        <v>0</v>
      </c>
      <c r="H37" s="452"/>
      <c r="I37" s="462">
        <f>6187000+118952+153938</f>
        <v>6459890</v>
      </c>
      <c r="J37" s="458">
        <v>377190</v>
      </c>
      <c r="K37" s="458"/>
      <c r="L37" s="458"/>
      <c r="M37" s="458"/>
      <c r="N37" s="444">
        <f t="shared" si="0"/>
        <v>6837080</v>
      </c>
    </row>
    <row r="38" spans="1:14" x14ac:dyDescent="0.2">
      <c r="A38" s="508" t="s">
        <v>462</v>
      </c>
      <c r="B38" s="457">
        <v>947000</v>
      </c>
      <c r="C38" s="458"/>
      <c r="D38" s="458"/>
      <c r="E38" s="458"/>
      <c r="F38" s="458"/>
      <c r="G38" s="444">
        <f t="shared" si="4"/>
        <v>947000</v>
      </c>
      <c r="H38" s="452"/>
      <c r="I38" s="462">
        <v>17042731</v>
      </c>
      <c r="J38" s="458">
        <v>2338070</v>
      </c>
      <c r="K38" s="458"/>
      <c r="L38" s="458"/>
      <c r="M38" s="458"/>
      <c r="N38" s="444">
        <f t="shared" si="0"/>
        <v>19380801</v>
      </c>
    </row>
    <row r="39" spans="1:14" x14ac:dyDescent="0.2">
      <c r="A39" s="508" t="s">
        <v>566</v>
      </c>
      <c r="B39" s="457">
        <v>600000</v>
      </c>
      <c r="C39" s="458"/>
      <c r="D39" s="458"/>
      <c r="E39" s="458"/>
      <c r="F39" s="458"/>
      <c r="G39" s="444">
        <f t="shared" si="4"/>
        <v>600000</v>
      </c>
      <c r="H39" s="452"/>
      <c r="I39" s="969">
        <f>73660000+660000-660000+69312000</f>
        <v>142972000</v>
      </c>
      <c r="J39" s="458"/>
      <c r="K39" s="458"/>
      <c r="L39" s="458"/>
      <c r="M39" s="458"/>
      <c r="N39" s="966">
        <f t="shared" si="0"/>
        <v>142972000</v>
      </c>
    </row>
    <row r="40" spans="1:14" s="968" customFormat="1" x14ac:dyDescent="0.2">
      <c r="A40" s="965" t="s">
        <v>745</v>
      </c>
      <c r="B40" s="884">
        <v>85531256</v>
      </c>
      <c r="C40" s="883">
        <v>55505576</v>
      </c>
      <c r="D40" s="883"/>
      <c r="E40" s="883"/>
      <c r="F40" s="883"/>
      <c r="G40" s="966">
        <f t="shared" si="4"/>
        <v>141036832</v>
      </c>
      <c r="H40" s="967"/>
      <c r="I40" s="850">
        <f>7285433+1278567+6274800+1380456</f>
        <v>16219256</v>
      </c>
      <c r="J40" s="883">
        <f>38042908+10123085+5279199+1425384</f>
        <v>54870576</v>
      </c>
      <c r="K40" s="883"/>
      <c r="L40" s="883"/>
      <c r="M40" s="883"/>
      <c r="N40" s="966">
        <f t="shared" si="0"/>
        <v>71089832</v>
      </c>
    </row>
    <row r="41" spans="1:14" x14ac:dyDescent="0.2">
      <c r="A41" s="508" t="s">
        <v>4</v>
      </c>
      <c r="B41" s="457"/>
      <c r="C41" s="458"/>
      <c r="D41" s="458"/>
      <c r="E41" s="458"/>
      <c r="F41" s="458"/>
      <c r="G41" s="444">
        <f t="shared" si="4"/>
        <v>0</v>
      </c>
      <c r="H41" s="452"/>
      <c r="I41" s="462">
        <v>3300000</v>
      </c>
      <c r="J41" s="458"/>
      <c r="K41" s="458"/>
      <c r="L41" s="458"/>
      <c r="M41" s="458"/>
      <c r="N41" s="444">
        <f t="shared" si="0"/>
        <v>3300000</v>
      </c>
    </row>
    <row r="42" spans="1:14" x14ac:dyDescent="0.2">
      <c r="A42" s="508" t="s">
        <v>611</v>
      </c>
      <c r="B42" s="457"/>
      <c r="C42" s="458"/>
      <c r="D42" s="458"/>
      <c r="E42" s="458"/>
      <c r="F42" s="458"/>
      <c r="G42" s="444">
        <f t="shared" si="4"/>
        <v>0</v>
      </c>
      <c r="H42" s="452"/>
      <c r="I42" s="462"/>
      <c r="J42" s="458"/>
      <c r="K42" s="458"/>
      <c r="L42" s="458"/>
      <c r="M42" s="458"/>
      <c r="N42" s="444">
        <f t="shared" si="0"/>
        <v>0</v>
      </c>
    </row>
    <row r="43" spans="1:14" x14ac:dyDescent="0.2">
      <c r="A43" s="445" t="s">
        <v>448</v>
      </c>
      <c r="B43" s="971">
        <f>1566000+1577143</f>
        <v>3143143</v>
      </c>
      <c r="C43" s="458"/>
      <c r="D43" s="458"/>
      <c r="E43" s="458"/>
      <c r="F43" s="458"/>
      <c r="G43" s="444">
        <f t="shared" si="4"/>
        <v>3143143</v>
      </c>
      <c r="H43" s="452"/>
      <c r="I43" s="462">
        <f>22501218+397000+44100</f>
        <v>22942318</v>
      </c>
      <c r="J43" s="883">
        <f>65710721+100000</f>
        <v>65810721</v>
      </c>
      <c r="K43" s="464"/>
      <c r="L43" s="458"/>
      <c r="M43" s="458"/>
      <c r="N43" s="444">
        <f t="shared" si="0"/>
        <v>88753039</v>
      </c>
    </row>
    <row r="44" spans="1:14" x14ac:dyDescent="0.2">
      <c r="A44" s="509" t="s">
        <v>594</v>
      </c>
      <c r="B44" s="463"/>
      <c r="C44" s="458">
        <f>5866130+3796748</f>
        <v>9662878</v>
      </c>
      <c r="D44" s="458"/>
      <c r="E44" s="458"/>
      <c r="F44" s="458"/>
      <c r="G44" s="444">
        <f t="shared" si="4"/>
        <v>9662878</v>
      </c>
      <c r="H44" s="452"/>
      <c r="I44" s="462">
        <f>2854500+500965</f>
        <v>3355465</v>
      </c>
      <c r="J44" s="458">
        <f>218246101+144021480+2376540+60000+16200+1111793+36509260+1097083+296212+3150920+850748</f>
        <v>407736337</v>
      </c>
      <c r="K44" s="464"/>
      <c r="L44" s="458"/>
      <c r="M44" s="458"/>
      <c r="N44" s="444">
        <f t="shared" si="0"/>
        <v>411091802</v>
      </c>
    </row>
    <row r="45" spans="1:14" x14ac:dyDescent="0.2">
      <c r="A45" s="445" t="s">
        <v>449</v>
      </c>
      <c r="B45" s="463">
        <f>15340169+5162000</f>
        <v>20502169</v>
      </c>
      <c r="C45" s="458">
        <v>30332500</v>
      </c>
      <c r="D45" s="458"/>
      <c r="E45" s="458"/>
      <c r="F45" s="458"/>
      <c r="G45" s="444">
        <f t="shared" si="4"/>
        <v>50834669</v>
      </c>
      <c r="H45" s="452"/>
      <c r="I45" s="462">
        <f>52909601-37621053</f>
        <v>15288548</v>
      </c>
      <c r="J45" s="458">
        <f>762000+27010505+7292837</f>
        <v>35065342</v>
      </c>
      <c r="K45" s="458"/>
      <c r="L45" s="458"/>
      <c r="M45" s="458"/>
      <c r="N45" s="444">
        <f t="shared" si="0"/>
        <v>50353890</v>
      </c>
    </row>
    <row r="46" spans="1:14" x14ac:dyDescent="0.2">
      <c r="A46" s="445" t="s">
        <v>10</v>
      </c>
      <c r="B46" s="457"/>
      <c r="C46" s="458"/>
      <c r="D46" s="458"/>
      <c r="E46" s="458"/>
      <c r="F46" s="458"/>
      <c r="G46" s="444">
        <f t="shared" si="4"/>
        <v>0</v>
      </c>
      <c r="H46" s="452"/>
      <c r="I46" s="462"/>
      <c r="J46" s="458"/>
      <c r="K46" s="458"/>
      <c r="L46" s="458"/>
      <c r="M46" s="458"/>
      <c r="N46" s="444">
        <f t="shared" si="0"/>
        <v>0</v>
      </c>
    </row>
    <row r="47" spans="1:14" x14ac:dyDescent="0.2">
      <c r="A47" s="509" t="s">
        <v>597</v>
      </c>
      <c r="B47" s="457">
        <v>381000</v>
      </c>
      <c r="C47" s="458"/>
      <c r="D47" s="458"/>
      <c r="E47" s="458"/>
      <c r="F47" s="458"/>
      <c r="G47" s="444">
        <f t="shared" si="4"/>
        <v>381000</v>
      </c>
      <c r="H47" s="452"/>
      <c r="I47" s="462">
        <f>49357310+381000</f>
        <v>49738310</v>
      </c>
      <c r="J47" s="458">
        <v>4950460</v>
      </c>
      <c r="K47" s="458"/>
      <c r="L47" s="458"/>
      <c r="M47" s="458"/>
      <c r="N47" s="444">
        <f t="shared" si="0"/>
        <v>54688770</v>
      </c>
    </row>
    <row r="48" spans="1:14" x14ac:dyDescent="0.2">
      <c r="A48" s="445" t="s">
        <v>607</v>
      </c>
      <c r="B48" s="457"/>
      <c r="C48" s="458"/>
      <c r="D48" s="458"/>
      <c r="E48" s="458"/>
      <c r="F48" s="458"/>
      <c r="G48" s="444">
        <f t="shared" si="4"/>
        <v>0</v>
      </c>
      <c r="H48" s="452"/>
      <c r="I48" s="462">
        <v>3082677</v>
      </c>
      <c r="J48" s="458">
        <v>12873483</v>
      </c>
      <c r="K48" s="458"/>
      <c r="L48" s="458"/>
      <c r="M48" s="458"/>
      <c r="N48" s="444">
        <f t="shared" si="0"/>
        <v>15956160</v>
      </c>
    </row>
    <row r="49" spans="1:15" x14ac:dyDescent="0.2">
      <c r="A49" s="508" t="s">
        <v>575</v>
      </c>
      <c r="B49" s="457"/>
      <c r="C49" s="458"/>
      <c r="D49" s="458"/>
      <c r="E49" s="458"/>
      <c r="F49" s="458"/>
      <c r="G49" s="460">
        <f t="shared" si="4"/>
        <v>0</v>
      </c>
      <c r="H49" s="452"/>
      <c r="I49" s="462">
        <v>48545760</v>
      </c>
      <c r="J49" s="458"/>
      <c r="K49" s="458"/>
      <c r="L49" s="458"/>
      <c r="M49" s="458"/>
      <c r="N49" s="444">
        <f t="shared" si="0"/>
        <v>48545760</v>
      </c>
    </row>
    <row r="50" spans="1:15" x14ac:dyDescent="0.2">
      <c r="A50" s="508" t="s">
        <v>565</v>
      </c>
      <c r="B50" s="457">
        <v>80000</v>
      </c>
      <c r="C50" s="458"/>
      <c r="D50" s="458"/>
      <c r="E50" s="458"/>
      <c r="F50" s="458"/>
      <c r="G50" s="460">
        <f t="shared" si="4"/>
        <v>80000</v>
      </c>
      <c r="H50" s="452"/>
      <c r="I50" s="462">
        <f>300000+3585+4660-6492-1753+17008+47238+12754</f>
        <v>377000</v>
      </c>
      <c r="J50" s="458">
        <v>3000</v>
      </c>
      <c r="K50" s="458"/>
      <c r="L50" s="458"/>
      <c r="M50" s="458"/>
      <c r="N50" s="460">
        <f t="shared" si="0"/>
        <v>380000</v>
      </c>
    </row>
    <row r="51" spans="1:15" ht="13.5" thickBot="1" x14ac:dyDescent="0.25">
      <c r="A51" s="445" t="s">
        <v>596</v>
      </c>
      <c r="B51" s="457"/>
      <c r="C51" s="458"/>
      <c r="D51" s="458"/>
      <c r="E51" s="458"/>
      <c r="F51" s="458"/>
      <c r="G51" s="460">
        <f t="shared" si="4"/>
        <v>0</v>
      </c>
      <c r="H51" s="452"/>
      <c r="I51" s="462">
        <v>500000</v>
      </c>
      <c r="J51" s="458"/>
      <c r="K51" s="458"/>
      <c r="L51" s="458"/>
      <c r="M51" s="458"/>
      <c r="N51" s="460">
        <f t="shared" si="0"/>
        <v>500000</v>
      </c>
    </row>
    <row r="52" spans="1:15" x14ac:dyDescent="0.2">
      <c r="A52" s="465" t="s">
        <v>56</v>
      </c>
      <c r="B52" s="466">
        <f>SUM(B9:B13,B14:B20,B25:B28,B32:B51,B24)</f>
        <v>1610500354</v>
      </c>
      <c r="C52" s="467">
        <f>SUM(C9:C13,C14:C20,C25:C28,C32:C51,C24)</f>
        <v>99280347</v>
      </c>
      <c r="D52" s="467">
        <f>SUM(D9:D13,D14:D20,D25:D28,D32:D51,D24)</f>
        <v>352658000</v>
      </c>
      <c r="E52" s="467">
        <f>SUM(E9:E13,E14:E20,E25:E28,E32:E51,E24)</f>
        <v>193478462</v>
      </c>
      <c r="F52" s="467">
        <f>SUM(F9:F13,F14:F20,F25:F28,F32:F51,F24)</f>
        <v>594503758</v>
      </c>
      <c r="G52" s="467">
        <f>SUM(G9:G13,G14:G20,G24:G28,G32:G38,G39:G51,)</f>
        <v>2850420921</v>
      </c>
      <c r="H52" s="467" t="e">
        <f>SUM(H9:H13,H15:H20,H25:H28,H32:H38,H39:H51)</f>
        <v>#REF!</v>
      </c>
      <c r="I52" s="467">
        <f t="shared" ref="I52:M52" si="5">SUM(I9:I13,I14:I20,I25:I28,I32:I51,I24)</f>
        <v>693496088</v>
      </c>
      <c r="J52" s="467">
        <f t="shared" si="5"/>
        <v>650230081</v>
      </c>
      <c r="K52" s="467">
        <f t="shared" si="5"/>
        <v>1331764428</v>
      </c>
      <c r="L52" s="467">
        <f t="shared" si="5"/>
        <v>108486704</v>
      </c>
      <c r="M52" s="467">
        <f t="shared" si="5"/>
        <v>66443620</v>
      </c>
      <c r="N52" s="468">
        <f>SUM(N9:N13,N14:N20,N25:N28,N32:N51,N24,N23)</f>
        <v>2850420921</v>
      </c>
      <c r="O52" s="469">
        <f>N52-G52</f>
        <v>0</v>
      </c>
    </row>
    <row r="53" spans="1:15" x14ac:dyDescent="0.2">
      <c r="A53" s="470" t="s">
        <v>450</v>
      </c>
      <c r="B53" s="471"/>
      <c r="C53" s="472"/>
      <c r="D53" s="472"/>
      <c r="E53" s="472"/>
      <c r="F53" s="472"/>
      <c r="G53" s="441"/>
      <c r="H53" s="446"/>
      <c r="I53" s="473"/>
      <c r="J53" s="440"/>
      <c r="K53" s="474">
        <v>1331764428</v>
      </c>
      <c r="L53" s="472"/>
      <c r="M53" s="472"/>
      <c r="N53" s="475">
        <f>SUM(I53:M53)</f>
        <v>1331764428</v>
      </c>
      <c r="O53" s="469"/>
    </row>
    <row r="54" spans="1:15" ht="13.5" thickBot="1" x14ac:dyDescent="0.25">
      <c r="A54" s="476" t="s">
        <v>68</v>
      </c>
      <c r="B54" s="477">
        <f t="shared" ref="B54:N54" si="6">B52-B53</f>
        <v>1610500354</v>
      </c>
      <c r="C54" s="478">
        <f t="shared" si="6"/>
        <v>99280347</v>
      </c>
      <c r="D54" s="478">
        <f t="shared" si="6"/>
        <v>352658000</v>
      </c>
      <c r="E54" s="478">
        <f t="shared" si="6"/>
        <v>193478462</v>
      </c>
      <c r="F54" s="478">
        <f t="shared" si="6"/>
        <v>594503758</v>
      </c>
      <c r="G54" s="478">
        <f t="shared" si="6"/>
        <v>2850420921</v>
      </c>
      <c r="H54" s="479" t="e">
        <f t="shared" si="6"/>
        <v>#REF!</v>
      </c>
      <c r="I54" s="477">
        <f t="shared" si="6"/>
        <v>693496088</v>
      </c>
      <c r="J54" s="478">
        <f t="shared" si="6"/>
        <v>650230081</v>
      </c>
      <c r="K54" s="478">
        <f t="shared" si="6"/>
        <v>0</v>
      </c>
      <c r="L54" s="478">
        <f t="shared" si="6"/>
        <v>108486704</v>
      </c>
      <c r="M54" s="478">
        <f t="shared" si="6"/>
        <v>66443620</v>
      </c>
      <c r="N54" s="480">
        <f t="shared" si="6"/>
        <v>1518656493</v>
      </c>
      <c r="O54" s="469"/>
    </row>
    <row r="55" spans="1:15" x14ac:dyDescent="0.2">
      <c r="A55" s="481"/>
      <c r="B55" s="482"/>
      <c r="C55" s="482"/>
      <c r="D55" s="482"/>
      <c r="E55" s="482"/>
      <c r="F55" s="482"/>
      <c r="G55" s="483"/>
      <c r="H55" s="483"/>
      <c r="I55" s="484"/>
      <c r="J55" s="482"/>
      <c r="K55" s="485"/>
      <c r="L55" s="484"/>
      <c r="M55" s="484"/>
      <c r="N55" s="486"/>
    </row>
    <row r="56" spans="1:15" x14ac:dyDescent="0.2">
      <c r="A56" s="481"/>
      <c r="B56" s="482"/>
      <c r="C56" s="482"/>
      <c r="D56" s="482"/>
      <c r="E56" s="482"/>
      <c r="F56" s="482"/>
      <c r="G56" s="483"/>
      <c r="H56" s="483"/>
      <c r="I56" s="482"/>
      <c r="J56" s="482"/>
      <c r="K56" s="485"/>
      <c r="L56" s="484"/>
      <c r="M56" s="484"/>
      <c r="N56" s="486"/>
    </row>
    <row r="57" spans="1:15" x14ac:dyDescent="0.2">
      <c r="A57" s="481"/>
      <c r="B57" s="482"/>
      <c r="C57" s="482"/>
      <c r="D57" s="482"/>
      <c r="E57" s="482"/>
      <c r="F57" s="482"/>
      <c r="G57" s="483"/>
      <c r="H57" s="483"/>
      <c r="I57" s="487"/>
      <c r="J57" s="482"/>
      <c r="K57" s="486"/>
      <c r="L57" s="482"/>
      <c r="M57" s="482"/>
      <c r="N57" s="486"/>
    </row>
    <row r="58" spans="1:15" x14ac:dyDescent="0.2">
      <c r="A58" s="481"/>
      <c r="B58" s="482"/>
      <c r="C58" s="482"/>
      <c r="D58" s="482"/>
      <c r="E58" s="482"/>
      <c r="F58" s="482"/>
      <c r="G58" s="483"/>
      <c r="H58" s="483"/>
      <c r="I58" s="482"/>
      <c r="J58" s="482"/>
      <c r="K58" s="486"/>
      <c r="L58" s="482"/>
      <c r="M58" s="482"/>
      <c r="N58" s="486"/>
    </row>
    <row r="59" spans="1:15" x14ac:dyDescent="0.2">
      <c r="A59" s="481"/>
      <c r="B59" s="482"/>
      <c r="C59" s="482"/>
      <c r="D59" s="482"/>
      <c r="E59" s="482"/>
      <c r="F59" s="482"/>
      <c r="G59" s="483"/>
      <c r="H59" s="483"/>
      <c r="I59" s="482"/>
      <c r="J59" s="482"/>
      <c r="K59" s="486"/>
      <c r="L59" s="482"/>
      <c r="M59" s="482"/>
      <c r="N59" s="486"/>
    </row>
    <row r="60" spans="1:15" x14ac:dyDescent="0.2">
      <c r="A60" s="481"/>
      <c r="B60" s="482"/>
      <c r="C60" s="482"/>
      <c r="D60" s="482"/>
      <c r="E60" s="482"/>
      <c r="F60" s="482"/>
      <c r="G60" s="483"/>
      <c r="H60" s="483"/>
      <c r="I60" s="482"/>
      <c r="J60" s="482"/>
      <c r="K60" s="486"/>
      <c r="L60" s="482"/>
      <c r="M60" s="482"/>
      <c r="N60" s="486"/>
    </row>
    <row r="61" spans="1:15" x14ac:dyDescent="0.2">
      <c r="A61" s="481"/>
      <c r="B61" s="482"/>
      <c r="C61" s="482"/>
      <c r="D61" s="482"/>
      <c r="E61" s="482"/>
      <c r="F61" s="482"/>
      <c r="G61" s="483"/>
      <c r="H61" s="483"/>
      <c r="I61" s="482"/>
      <c r="J61" s="482"/>
      <c r="K61" s="486"/>
      <c r="L61" s="482"/>
      <c r="M61" s="482"/>
      <c r="N61" s="486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&amp;R31. melléklet a 11/2018.(V.31.)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227" customWidth="1"/>
    <col min="2" max="2" width="91.6640625" style="227" customWidth="1"/>
    <col min="3" max="3" width="21.6640625" style="228" customWidth="1"/>
    <col min="4" max="16384" width="9.33203125" style="238"/>
  </cols>
  <sheetData>
    <row r="1" spans="1:3" ht="15.95" customHeight="1" x14ac:dyDescent="0.25">
      <c r="A1" s="993" t="s">
        <v>19</v>
      </c>
      <c r="B1" s="993"/>
      <c r="C1" s="993"/>
    </row>
    <row r="2" spans="1:3" ht="15.95" customHeight="1" thickBot="1" x14ac:dyDescent="0.3">
      <c r="A2" s="992" t="s">
        <v>140</v>
      </c>
      <c r="B2" s="992"/>
      <c r="C2" s="166" t="s">
        <v>589</v>
      </c>
    </row>
    <row r="3" spans="1:3" ht="38.1" customHeight="1" thickBot="1" x14ac:dyDescent="0.3">
      <c r="A3" s="22" t="s">
        <v>73</v>
      </c>
      <c r="B3" s="23" t="s">
        <v>21</v>
      </c>
      <c r="C3" s="35" t="s">
        <v>617</v>
      </c>
    </row>
    <row r="4" spans="1:3" s="239" customFormat="1" ht="12" customHeight="1" thickBot="1" x14ac:dyDescent="0.25">
      <c r="A4" s="233" t="s">
        <v>466</v>
      </c>
      <c r="B4" s="234" t="s">
        <v>467</v>
      </c>
      <c r="C4" s="235" t="s">
        <v>468</v>
      </c>
    </row>
    <row r="5" spans="1:3" s="240" customFormat="1" ht="12" customHeight="1" thickBot="1" x14ac:dyDescent="0.25">
      <c r="A5" s="19" t="s">
        <v>22</v>
      </c>
      <c r="B5" s="20" t="s">
        <v>201</v>
      </c>
      <c r="C5" s="157">
        <f>+C6+C7+C8+C9+C10+C11</f>
        <v>0</v>
      </c>
    </row>
    <row r="6" spans="1:3" s="240" customFormat="1" ht="12" customHeight="1" x14ac:dyDescent="0.2">
      <c r="A6" s="14" t="s">
        <v>98</v>
      </c>
      <c r="B6" s="241" t="s">
        <v>202</v>
      </c>
      <c r="C6" s="159"/>
    </row>
    <row r="7" spans="1:3" s="240" customFormat="1" ht="12" customHeight="1" x14ac:dyDescent="0.2">
      <c r="A7" s="13" t="s">
        <v>99</v>
      </c>
      <c r="B7" s="242" t="s">
        <v>203</v>
      </c>
      <c r="C7" s="158"/>
    </row>
    <row r="8" spans="1:3" s="240" customFormat="1" ht="12" customHeight="1" x14ac:dyDescent="0.2">
      <c r="A8" s="13" t="s">
        <v>100</v>
      </c>
      <c r="B8" s="242" t="s">
        <v>579</v>
      </c>
      <c r="C8" s="158"/>
    </row>
    <row r="9" spans="1:3" s="240" customFormat="1" ht="12" customHeight="1" x14ac:dyDescent="0.2">
      <c r="A9" s="13" t="s">
        <v>101</v>
      </c>
      <c r="B9" s="242" t="s">
        <v>205</v>
      </c>
      <c r="C9" s="158"/>
    </row>
    <row r="10" spans="1:3" s="240" customFormat="1" ht="12" customHeight="1" x14ac:dyDescent="0.2">
      <c r="A10" s="13" t="s">
        <v>137</v>
      </c>
      <c r="B10" s="153" t="s">
        <v>469</v>
      </c>
      <c r="C10" s="158"/>
    </row>
    <row r="11" spans="1:3" s="240" customFormat="1" ht="12" customHeight="1" thickBot="1" x14ac:dyDescent="0.25">
      <c r="A11" s="15" t="s">
        <v>102</v>
      </c>
      <c r="B11" s="154" t="s">
        <v>470</v>
      </c>
      <c r="C11" s="158"/>
    </row>
    <row r="12" spans="1:3" s="240" customFormat="1" ht="12" customHeight="1" thickBot="1" x14ac:dyDescent="0.25">
      <c r="A12" s="19" t="s">
        <v>23</v>
      </c>
      <c r="B12" s="152" t="s">
        <v>206</v>
      </c>
      <c r="C12" s="157">
        <f>+C13+C14+C15+C16+C17</f>
        <v>0</v>
      </c>
    </row>
    <row r="13" spans="1:3" s="240" customFormat="1" ht="12" customHeight="1" x14ac:dyDescent="0.2">
      <c r="A13" s="14" t="s">
        <v>104</v>
      </c>
      <c r="B13" s="241" t="s">
        <v>207</v>
      </c>
      <c r="C13" s="159"/>
    </row>
    <row r="14" spans="1:3" s="240" customFormat="1" ht="12" customHeight="1" x14ac:dyDescent="0.2">
      <c r="A14" s="13" t="s">
        <v>105</v>
      </c>
      <c r="B14" s="242" t="s">
        <v>208</v>
      </c>
      <c r="C14" s="158"/>
    </row>
    <row r="15" spans="1:3" s="240" customFormat="1" ht="12" customHeight="1" x14ac:dyDescent="0.2">
      <c r="A15" s="13" t="s">
        <v>106</v>
      </c>
      <c r="B15" s="242" t="s">
        <v>377</v>
      </c>
      <c r="C15" s="158"/>
    </row>
    <row r="16" spans="1:3" s="240" customFormat="1" ht="12" customHeight="1" x14ac:dyDescent="0.2">
      <c r="A16" s="13" t="s">
        <v>107</v>
      </c>
      <c r="B16" s="242" t="s">
        <v>378</v>
      </c>
      <c r="C16" s="158"/>
    </row>
    <row r="17" spans="1:3" s="240" customFormat="1" ht="12" customHeight="1" x14ac:dyDescent="0.2">
      <c r="A17" s="13" t="s">
        <v>108</v>
      </c>
      <c r="B17" s="242" t="s">
        <v>209</v>
      </c>
      <c r="C17" s="158"/>
    </row>
    <row r="18" spans="1:3" s="240" customFormat="1" ht="12" customHeight="1" thickBot="1" x14ac:dyDescent="0.25">
      <c r="A18" s="15" t="s">
        <v>117</v>
      </c>
      <c r="B18" s="154" t="s">
        <v>210</v>
      </c>
      <c r="C18" s="160"/>
    </row>
    <row r="19" spans="1:3" s="240" customFormat="1" ht="12" customHeight="1" thickBot="1" x14ac:dyDescent="0.25">
      <c r="A19" s="19" t="s">
        <v>24</v>
      </c>
      <c r="B19" s="20" t="s">
        <v>211</v>
      </c>
      <c r="C19" s="157">
        <f>+C20+C21+C22+C23+C24</f>
        <v>0</v>
      </c>
    </row>
    <row r="20" spans="1:3" s="240" customFormat="1" ht="12" customHeight="1" x14ac:dyDescent="0.2">
      <c r="A20" s="14" t="s">
        <v>87</v>
      </c>
      <c r="B20" s="241" t="s">
        <v>212</v>
      </c>
      <c r="C20" s="159"/>
    </row>
    <row r="21" spans="1:3" s="240" customFormat="1" ht="12" customHeight="1" x14ac:dyDescent="0.2">
      <c r="A21" s="13" t="s">
        <v>88</v>
      </c>
      <c r="B21" s="242" t="s">
        <v>213</v>
      </c>
      <c r="C21" s="158"/>
    </row>
    <row r="22" spans="1:3" s="240" customFormat="1" ht="12" customHeight="1" x14ac:dyDescent="0.2">
      <c r="A22" s="13" t="s">
        <v>89</v>
      </c>
      <c r="B22" s="242" t="s">
        <v>379</v>
      </c>
      <c r="C22" s="158"/>
    </row>
    <row r="23" spans="1:3" s="240" customFormat="1" ht="12" customHeight="1" x14ac:dyDescent="0.2">
      <c r="A23" s="13" t="s">
        <v>90</v>
      </c>
      <c r="B23" s="242" t="s">
        <v>380</v>
      </c>
      <c r="C23" s="158"/>
    </row>
    <row r="24" spans="1:3" s="240" customFormat="1" ht="12" customHeight="1" x14ac:dyDescent="0.2">
      <c r="A24" s="13" t="s">
        <v>148</v>
      </c>
      <c r="B24" s="242" t="s">
        <v>214</v>
      </c>
      <c r="C24" s="158"/>
    </row>
    <row r="25" spans="1:3" s="240" customFormat="1" ht="12" customHeight="1" thickBot="1" x14ac:dyDescent="0.25">
      <c r="A25" s="15" t="s">
        <v>149</v>
      </c>
      <c r="B25" s="243" t="s">
        <v>215</v>
      </c>
      <c r="C25" s="160"/>
    </row>
    <row r="26" spans="1:3" s="240" customFormat="1" ht="12" customHeight="1" thickBot="1" x14ac:dyDescent="0.25">
      <c r="A26" s="19" t="s">
        <v>150</v>
      </c>
      <c r="B26" s="20" t="s">
        <v>216</v>
      </c>
      <c r="C26" s="162">
        <f>+C27+C31+C32+C33</f>
        <v>0</v>
      </c>
    </row>
    <row r="27" spans="1:3" s="240" customFormat="1" ht="12" customHeight="1" x14ac:dyDescent="0.2">
      <c r="A27" s="14" t="s">
        <v>217</v>
      </c>
      <c r="B27" s="241" t="s">
        <v>471</v>
      </c>
      <c r="C27" s="236">
        <f>+C28+C29+C30</f>
        <v>0</v>
      </c>
    </row>
    <row r="28" spans="1:3" s="240" customFormat="1" ht="12" customHeight="1" x14ac:dyDescent="0.2">
      <c r="A28" s="13" t="s">
        <v>218</v>
      </c>
      <c r="B28" s="242" t="s">
        <v>223</v>
      </c>
      <c r="C28" s="158"/>
    </row>
    <row r="29" spans="1:3" s="240" customFormat="1" ht="12" customHeight="1" x14ac:dyDescent="0.2">
      <c r="A29" s="13" t="s">
        <v>219</v>
      </c>
      <c r="B29" s="242" t="s">
        <v>224</v>
      </c>
      <c r="C29" s="158"/>
    </row>
    <row r="30" spans="1:3" s="240" customFormat="1" ht="12" customHeight="1" x14ac:dyDescent="0.2">
      <c r="A30" s="13" t="s">
        <v>472</v>
      </c>
      <c r="B30" s="292" t="s">
        <v>473</v>
      </c>
      <c r="C30" s="158"/>
    </row>
    <row r="31" spans="1:3" s="240" customFormat="1" ht="12" customHeight="1" x14ac:dyDescent="0.2">
      <c r="A31" s="13" t="s">
        <v>220</v>
      </c>
      <c r="B31" s="242" t="s">
        <v>225</v>
      </c>
      <c r="C31" s="158"/>
    </row>
    <row r="32" spans="1:3" s="240" customFormat="1" ht="12" customHeight="1" x14ac:dyDescent="0.2">
      <c r="A32" s="13" t="s">
        <v>221</v>
      </c>
      <c r="B32" s="242" t="s">
        <v>226</v>
      </c>
      <c r="C32" s="158"/>
    </row>
    <row r="33" spans="1:3" s="240" customFormat="1" ht="12" customHeight="1" thickBot="1" x14ac:dyDescent="0.25">
      <c r="A33" s="15" t="s">
        <v>222</v>
      </c>
      <c r="B33" s="243" t="s">
        <v>227</v>
      </c>
      <c r="C33" s="160"/>
    </row>
    <row r="34" spans="1:3" s="240" customFormat="1" ht="12" customHeight="1" thickBot="1" x14ac:dyDescent="0.25">
      <c r="A34" s="19" t="s">
        <v>26</v>
      </c>
      <c r="B34" s="20" t="s">
        <v>474</v>
      </c>
      <c r="C34" s="157">
        <f>SUM(C35:C45)</f>
        <v>6280164</v>
      </c>
    </row>
    <row r="35" spans="1:3" s="240" customFormat="1" ht="12" customHeight="1" x14ac:dyDescent="0.2">
      <c r="A35" s="14" t="s">
        <v>91</v>
      </c>
      <c r="B35" s="241" t="s">
        <v>230</v>
      </c>
      <c r="C35" s="159"/>
    </row>
    <row r="36" spans="1:3" s="240" customFormat="1" ht="12" customHeight="1" x14ac:dyDescent="0.2">
      <c r="A36" s="13" t="s">
        <v>92</v>
      </c>
      <c r="B36" s="242" t="s">
        <v>231</v>
      </c>
      <c r="C36" s="161">
        <v>4150000</v>
      </c>
    </row>
    <row r="37" spans="1:3" s="240" customFormat="1" ht="12" customHeight="1" x14ac:dyDescent="0.2">
      <c r="A37" s="13" t="s">
        <v>93</v>
      </c>
      <c r="B37" s="242" t="s">
        <v>232</v>
      </c>
      <c r="C37" s="161">
        <v>300000</v>
      </c>
    </row>
    <row r="38" spans="1:3" s="240" customFormat="1" ht="12" customHeight="1" x14ac:dyDescent="0.2">
      <c r="A38" s="13" t="s">
        <v>152</v>
      </c>
      <c r="B38" s="242" t="s">
        <v>233</v>
      </c>
      <c r="C38" s="161"/>
    </row>
    <row r="39" spans="1:3" s="240" customFormat="1" ht="12" customHeight="1" x14ac:dyDescent="0.2">
      <c r="A39" s="13" t="s">
        <v>153</v>
      </c>
      <c r="B39" s="242" t="s">
        <v>234</v>
      </c>
      <c r="C39" s="161"/>
    </row>
    <row r="40" spans="1:3" s="240" customFormat="1" ht="12" customHeight="1" x14ac:dyDescent="0.2">
      <c r="A40" s="13" t="s">
        <v>154</v>
      </c>
      <c r="B40" s="242" t="s">
        <v>235</v>
      </c>
      <c r="C40" s="161">
        <v>1229000</v>
      </c>
    </row>
    <row r="41" spans="1:3" s="240" customFormat="1" ht="12" customHeight="1" x14ac:dyDescent="0.2">
      <c r="A41" s="13" t="s">
        <v>155</v>
      </c>
      <c r="B41" s="242" t="s">
        <v>236</v>
      </c>
      <c r="C41" s="161"/>
    </row>
    <row r="42" spans="1:3" s="240" customFormat="1" ht="12" customHeight="1" x14ac:dyDescent="0.2">
      <c r="A42" s="13" t="s">
        <v>156</v>
      </c>
      <c r="B42" s="242" t="s">
        <v>576</v>
      </c>
      <c r="C42" s="161"/>
    </row>
    <row r="43" spans="1:3" s="240" customFormat="1" ht="12" customHeight="1" x14ac:dyDescent="0.2">
      <c r="A43" s="13" t="s">
        <v>228</v>
      </c>
      <c r="B43" s="242" t="s">
        <v>238</v>
      </c>
      <c r="C43" s="161"/>
    </row>
    <row r="44" spans="1:3" s="240" customFormat="1" ht="12" customHeight="1" x14ac:dyDescent="0.2">
      <c r="A44" s="15" t="s">
        <v>229</v>
      </c>
      <c r="B44" s="243" t="s">
        <v>475</v>
      </c>
      <c r="C44" s="230"/>
    </row>
    <row r="45" spans="1:3" s="240" customFormat="1" ht="12" customHeight="1" thickBot="1" x14ac:dyDescent="0.25">
      <c r="A45" s="15" t="s">
        <v>476</v>
      </c>
      <c r="B45" s="154" t="s">
        <v>239</v>
      </c>
      <c r="C45" s="230">
        <f>100000+501164</f>
        <v>601164</v>
      </c>
    </row>
    <row r="46" spans="1:3" s="240" customFormat="1" ht="12" customHeight="1" thickBot="1" x14ac:dyDescent="0.25">
      <c r="A46" s="19" t="s">
        <v>27</v>
      </c>
      <c r="B46" s="20" t="s">
        <v>240</v>
      </c>
      <c r="C46" s="157">
        <f>SUM(C47:C51)</f>
        <v>0</v>
      </c>
    </row>
    <row r="47" spans="1:3" s="240" customFormat="1" ht="12" customHeight="1" x14ac:dyDescent="0.2">
      <c r="A47" s="14" t="s">
        <v>94</v>
      </c>
      <c r="B47" s="241" t="s">
        <v>244</v>
      </c>
      <c r="C47" s="279"/>
    </row>
    <row r="48" spans="1:3" s="240" customFormat="1" ht="12" customHeight="1" x14ac:dyDescent="0.2">
      <c r="A48" s="13" t="s">
        <v>95</v>
      </c>
      <c r="B48" s="242" t="s">
        <v>245</v>
      </c>
      <c r="C48" s="161"/>
    </row>
    <row r="49" spans="1:3" s="240" customFormat="1" ht="12" customHeight="1" x14ac:dyDescent="0.2">
      <c r="A49" s="13" t="s">
        <v>241</v>
      </c>
      <c r="B49" s="242" t="s">
        <v>246</v>
      </c>
      <c r="C49" s="161"/>
    </row>
    <row r="50" spans="1:3" s="240" customFormat="1" ht="12" customHeight="1" x14ac:dyDescent="0.2">
      <c r="A50" s="13" t="s">
        <v>242</v>
      </c>
      <c r="B50" s="242" t="s">
        <v>247</v>
      </c>
      <c r="C50" s="161"/>
    </row>
    <row r="51" spans="1:3" s="240" customFormat="1" ht="12" customHeight="1" thickBot="1" x14ac:dyDescent="0.25">
      <c r="A51" s="15" t="s">
        <v>243</v>
      </c>
      <c r="B51" s="154" t="s">
        <v>248</v>
      </c>
      <c r="C51" s="230"/>
    </row>
    <row r="52" spans="1:3" s="240" customFormat="1" ht="12" customHeight="1" thickBot="1" x14ac:dyDescent="0.25">
      <c r="A52" s="19" t="s">
        <v>157</v>
      </c>
      <c r="B52" s="20" t="s">
        <v>249</v>
      </c>
      <c r="C52" s="157">
        <f>SUM(C53:C55)</f>
        <v>0</v>
      </c>
    </row>
    <row r="53" spans="1:3" s="240" customFormat="1" ht="12" customHeight="1" x14ac:dyDescent="0.2">
      <c r="A53" s="14" t="s">
        <v>96</v>
      </c>
      <c r="B53" s="241" t="s">
        <v>250</v>
      </c>
      <c r="C53" s="159"/>
    </row>
    <row r="54" spans="1:3" s="240" customFormat="1" ht="12" customHeight="1" x14ac:dyDescent="0.2">
      <c r="A54" s="13" t="s">
        <v>97</v>
      </c>
      <c r="B54" s="242" t="s">
        <v>381</v>
      </c>
      <c r="C54" s="158"/>
    </row>
    <row r="55" spans="1:3" s="240" customFormat="1" ht="12" customHeight="1" x14ac:dyDescent="0.2">
      <c r="A55" s="13" t="s">
        <v>253</v>
      </c>
      <c r="B55" s="242" t="s">
        <v>251</v>
      </c>
      <c r="C55" s="158"/>
    </row>
    <row r="56" spans="1:3" s="240" customFormat="1" ht="12" customHeight="1" thickBot="1" x14ac:dyDescent="0.25">
      <c r="A56" s="15" t="s">
        <v>254</v>
      </c>
      <c r="B56" s="154" t="s">
        <v>252</v>
      </c>
      <c r="C56" s="160"/>
    </row>
    <row r="57" spans="1:3" s="240" customFormat="1" ht="12" customHeight="1" thickBot="1" x14ac:dyDescent="0.25">
      <c r="A57" s="19" t="s">
        <v>29</v>
      </c>
      <c r="B57" s="152" t="s">
        <v>255</v>
      </c>
      <c r="C57" s="157">
        <f>SUM(C58:C60)</f>
        <v>0</v>
      </c>
    </row>
    <row r="58" spans="1:3" s="240" customFormat="1" ht="12" customHeight="1" x14ac:dyDescent="0.2">
      <c r="A58" s="14" t="s">
        <v>158</v>
      </c>
      <c r="B58" s="241" t="s">
        <v>257</v>
      </c>
      <c r="C58" s="161"/>
    </row>
    <row r="59" spans="1:3" s="240" customFormat="1" ht="12" customHeight="1" x14ac:dyDescent="0.2">
      <c r="A59" s="13" t="s">
        <v>159</v>
      </c>
      <c r="B59" s="242" t="s">
        <v>382</v>
      </c>
      <c r="C59" s="161"/>
    </row>
    <row r="60" spans="1:3" s="240" customFormat="1" ht="12" customHeight="1" x14ac:dyDescent="0.2">
      <c r="A60" s="13" t="s">
        <v>181</v>
      </c>
      <c r="B60" s="242" t="s">
        <v>258</v>
      </c>
      <c r="C60" s="161"/>
    </row>
    <row r="61" spans="1:3" s="240" customFormat="1" ht="12" customHeight="1" thickBot="1" x14ac:dyDescent="0.25">
      <c r="A61" s="15" t="s">
        <v>256</v>
      </c>
      <c r="B61" s="154" t="s">
        <v>259</v>
      </c>
      <c r="C61" s="161"/>
    </row>
    <row r="62" spans="1:3" s="240" customFormat="1" ht="12" customHeight="1" thickBot="1" x14ac:dyDescent="0.25">
      <c r="A62" s="293" t="s">
        <v>477</v>
      </c>
      <c r="B62" s="20" t="s">
        <v>260</v>
      </c>
      <c r="C62" s="162">
        <f>+C5+C12+C19+C26+C34+C46+C52+C57</f>
        <v>6280164</v>
      </c>
    </row>
    <row r="63" spans="1:3" s="240" customFormat="1" ht="12" customHeight="1" thickBot="1" x14ac:dyDescent="0.25">
      <c r="A63" s="294" t="s">
        <v>261</v>
      </c>
      <c r="B63" s="152" t="s">
        <v>262</v>
      </c>
      <c r="C63" s="157">
        <f>SUM(C64:C66)</f>
        <v>0</v>
      </c>
    </row>
    <row r="64" spans="1:3" s="240" customFormat="1" ht="12" customHeight="1" x14ac:dyDescent="0.2">
      <c r="A64" s="14" t="s">
        <v>293</v>
      </c>
      <c r="B64" s="241" t="s">
        <v>263</v>
      </c>
      <c r="C64" s="161"/>
    </row>
    <row r="65" spans="1:3" s="240" customFormat="1" ht="12" customHeight="1" x14ac:dyDescent="0.2">
      <c r="A65" s="13" t="s">
        <v>302</v>
      </c>
      <c r="B65" s="242" t="s">
        <v>264</v>
      </c>
      <c r="C65" s="161"/>
    </row>
    <row r="66" spans="1:3" s="240" customFormat="1" ht="12" customHeight="1" thickBot="1" x14ac:dyDescent="0.25">
      <c r="A66" s="15" t="s">
        <v>303</v>
      </c>
      <c r="B66" s="295" t="s">
        <v>478</v>
      </c>
      <c r="C66" s="161"/>
    </row>
    <row r="67" spans="1:3" s="240" customFormat="1" ht="12" customHeight="1" thickBot="1" x14ac:dyDescent="0.25">
      <c r="A67" s="294" t="s">
        <v>266</v>
      </c>
      <c r="B67" s="152" t="s">
        <v>267</v>
      </c>
      <c r="C67" s="157">
        <f>SUM(C68:C71)</f>
        <v>0</v>
      </c>
    </row>
    <row r="68" spans="1:3" s="240" customFormat="1" ht="12" customHeight="1" x14ac:dyDescent="0.2">
      <c r="A68" s="14" t="s">
        <v>138</v>
      </c>
      <c r="B68" s="241" t="s">
        <v>268</v>
      </c>
      <c r="C68" s="161"/>
    </row>
    <row r="69" spans="1:3" s="240" customFormat="1" ht="12" customHeight="1" x14ac:dyDescent="0.2">
      <c r="A69" s="13" t="s">
        <v>139</v>
      </c>
      <c r="B69" s="242" t="s">
        <v>269</v>
      </c>
      <c r="C69" s="161"/>
    </row>
    <row r="70" spans="1:3" s="240" customFormat="1" ht="12" customHeight="1" x14ac:dyDescent="0.2">
      <c r="A70" s="13" t="s">
        <v>294</v>
      </c>
      <c r="B70" s="242" t="s">
        <v>270</v>
      </c>
      <c r="C70" s="161"/>
    </row>
    <row r="71" spans="1:3" s="240" customFormat="1" ht="12" customHeight="1" thickBot="1" x14ac:dyDescent="0.25">
      <c r="A71" s="15" t="s">
        <v>295</v>
      </c>
      <c r="B71" s="154" t="s">
        <v>271</v>
      </c>
      <c r="C71" s="161"/>
    </row>
    <row r="72" spans="1:3" s="240" customFormat="1" ht="12" customHeight="1" thickBot="1" x14ac:dyDescent="0.25">
      <c r="A72" s="294" t="s">
        <v>272</v>
      </c>
      <c r="B72" s="152" t="s">
        <v>273</v>
      </c>
      <c r="C72" s="157">
        <f>SUM(C73:C74)</f>
        <v>0</v>
      </c>
    </row>
    <row r="73" spans="1:3" s="240" customFormat="1" ht="12" customHeight="1" x14ac:dyDescent="0.2">
      <c r="A73" s="14" t="s">
        <v>296</v>
      </c>
      <c r="B73" s="241" t="s">
        <v>274</v>
      </c>
      <c r="C73" s="161"/>
    </row>
    <row r="74" spans="1:3" s="240" customFormat="1" ht="12" customHeight="1" thickBot="1" x14ac:dyDescent="0.25">
      <c r="A74" s="15" t="s">
        <v>297</v>
      </c>
      <c r="B74" s="154" t="s">
        <v>275</v>
      </c>
      <c r="C74" s="161"/>
    </row>
    <row r="75" spans="1:3" s="240" customFormat="1" ht="12" customHeight="1" thickBot="1" x14ac:dyDescent="0.25">
      <c r="A75" s="294" t="s">
        <v>276</v>
      </c>
      <c r="B75" s="152" t="s">
        <v>277</v>
      </c>
      <c r="C75" s="157">
        <f>SUM(C76:C78)</f>
        <v>0</v>
      </c>
    </row>
    <row r="76" spans="1:3" s="240" customFormat="1" ht="12" customHeight="1" x14ac:dyDescent="0.2">
      <c r="A76" s="14" t="s">
        <v>298</v>
      </c>
      <c r="B76" s="241" t="s">
        <v>278</v>
      </c>
      <c r="C76" s="161"/>
    </row>
    <row r="77" spans="1:3" s="240" customFormat="1" ht="12" customHeight="1" x14ac:dyDescent="0.2">
      <c r="A77" s="13" t="s">
        <v>299</v>
      </c>
      <c r="B77" s="242" t="s">
        <v>279</v>
      </c>
      <c r="C77" s="161"/>
    </row>
    <row r="78" spans="1:3" s="240" customFormat="1" ht="12" customHeight="1" thickBot="1" x14ac:dyDescent="0.25">
      <c r="A78" s="15" t="s">
        <v>300</v>
      </c>
      <c r="B78" s="154" t="s">
        <v>280</v>
      </c>
      <c r="C78" s="161"/>
    </row>
    <row r="79" spans="1:3" s="240" customFormat="1" ht="12" customHeight="1" thickBot="1" x14ac:dyDescent="0.25">
      <c r="A79" s="294" t="s">
        <v>281</v>
      </c>
      <c r="B79" s="152" t="s">
        <v>301</v>
      </c>
      <c r="C79" s="157">
        <f>SUM(C80:C83)</f>
        <v>0</v>
      </c>
    </row>
    <row r="80" spans="1:3" s="240" customFormat="1" ht="12" customHeight="1" x14ac:dyDescent="0.2">
      <c r="A80" s="245" t="s">
        <v>282</v>
      </c>
      <c r="B80" s="241" t="s">
        <v>283</v>
      </c>
      <c r="C80" s="161"/>
    </row>
    <row r="81" spans="1:3" s="240" customFormat="1" ht="12" customHeight="1" x14ac:dyDescent="0.2">
      <c r="A81" s="246" t="s">
        <v>284</v>
      </c>
      <c r="B81" s="242" t="s">
        <v>285</v>
      </c>
      <c r="C81" s="161"/>
    </row>
    <row r="82" spans="1:3" s="240" customFormat="1" ht="12" customHeight="1" x14ac:dyDescent="0.2">
      <c r="A82" s="246" t="s">
        <v>286</v>
      </c>
      <c r="B82" s="242" t="s">
        <v>287</v>
      </c>
      <c r="C82" s="161"/>
    </row>
    <row r="83" spans="1:3" s="240" customFormat="1" ht="12" customHeight="1" thickBot="1" x14ac:dyDescent="0.25">
      <c r="A83" s="247" t="s">
        <v>288</v>
      </c>
      <c r="B83" s="154" t="s">
        <v>289</v>
      </c>
      <c r="C83" s="161"/>
    </row>
    <row r="84" spans="1:3" s="240" customFormat="1" ht="12" customHeight="1" thickBot="1" x14ac:dyDescent="0.25">
      <c r="A84" s="294" t="s">
        <v>290</v>
      </c>
      <c r="B84" s="152" t="s">
        <v>479</v>
      </c>
      <c r="C84" s="280"/>
    </row>
    <row r="85" spans="1:3" s="240" customFormat="1" ht="13.5" customHeight="1" thickBot="1" x14ac:dyDescent="0.25">
      <c r="A85" s="294" t="s">
        <v>292</v>
      </c>
      <c r="B85" s="152" t="s">
        <v>291</v>
      </c>
      <c r="C85" s="280"/>
    </row>
    <row r="86" spans="1:3" s="240" customFormat="1" ht="15.75" customHeight="1" thickBot="1" x14ac:dyDescent="0.25">
      <c r="A86" s="294" t="s">
        <v>304</v>
      </c>
      <c r="B86" s="248" t="s">
        <v>480</v>
      </c>
      <c r="C86" s="162">
        <f>+C63+C67+C72+C75+C79+C85+C84</f>
        <v>0</v>
      </c>
    </row>
    <row r="87" spans="1:3" s="240" customFormat="1" ht="16.5" customHeight="1" thickBot="1" x14ac:dyDescent="0.25">
      <c r="A87" s="296" t="s">
        <v>481</v>
      </c>
      <c r="B87" s="249" t="s">
        <v>482</v>
      </c>
      <c r="C87" s="162">
        <f>+C62+C86</f>
        <v>6280164</v>
      </c>
    </row>
    <row r="88" spans="1:3" s="240" customFormat="1" ht="83.25" customHeight="1" x14ac:dyDescent="0.2">
      <c r="A88" s="4"/>
      <c r="B88" s="5"/>
      <c r="C88" s="163"/>
    </row>
    <row r="89" spans="1:3" ht="16.5" customHeight="1" x14ac:dyDescent="0.25">
      <c r="A89" s="993" t="s">
        <v>51</v>
      </c>
      <c r="B89" s="993"/>
      <c r="C89" s="993"/>
    </row>
    <row r="90" spans="1:3" s="250" customFormat="1" ht="16.5" customHeight="1" thickBot="1" x14ac:dyDescent="0.3">
      <c r="A90" s="994" t="s">
        <v>141</v>
      </c>
      <c r="B90" s="994"/>
      <c r="C90" s="87" t="s">
        <v>589</v>
      </c>
    </row>
    <row r="91" spans="1:3" ht="38.1" customHeight="1" thickBot="1" x14ac:dyDescent="0.3">
      <c r="A91" s="22" t="s">
        <v>73</v>
      </c>
      <c r="B91" s="23" t="s">
        <v>52</v>
      </c>
      <c r="C91" s="35" t="str">
        <f>+C3</f>
        <v>2018. évi előirányzat</v>
      </c>
    </row>
    <row r="92" spans="1:3" s="239" customFormat="1" ht="12" customHeight="1" thickBot="1" x14ac:dyDescent="0.25">
      <c r="A92" s="31" t="s">
        <v>466</v>
      </c>
      <c r="B92" s="32" t="s">
        <v>467</v>
      </c>
      <c r="C92" s="33" t="s">
        <v>468</v>
      </c>
    </row>
    <row r="93" spans="1:3" ht="12" customHeight="1" thickBot="1" x14ac:dyDescent="0.3">
      <c r="A93" s="21" t="s">
        <v>22</v>
      </c>
      <c r="B93" s="25" t="s">
        <v>520</v>
      </c>
      <c r="C93" s="156">
        <f>C94+C95+C96+C97+C98+C111</f>
        <v>204390890</v>
      </c>
    </row>
    <row r="94" spans="1:3" ht="12" customHeight="1" x14ac:dyDescent="0.25">
      <c r="A94" s="16" t="s">
        <v>98</v>
      </c>
      <c r="B94" s="9" t="s">
        <v>53</v>
      </c>
      <c r="C94" s="817">
        <f>134654515-569836+152400+1337422+71400</f>
        <v>135645901</v>
      </c>
    </row>
    <row r="95" spans="1:3" ht="12" customHeight="1" x14ac:dyDescent="0.25">
      <c r="A95" s="13" t="s">
        <v>99</v>
      </c>
      <c r="B95" s="7" t="s">
        <v>160</v>
      </c>
      <c r="C95" s="818">
        <f>28757160+98926-416745+62043+268072+13930</f>
        <v>28783386</v>
      </c>
    </row>
    <row r="96" spans="1:3" ht="12" customHeight="1" x14ac:dyDescent="0.25">
      <c r="A96" s="13" t="s">
        <v>100</v>
      </c>
      <c r="B96" s="7" t="s">
        <v>130</v>
      </c>
      <c r="C96" s="230">
        <f>40114003-152400</f>
        <v>39961603</v>
      </c>
    </row>
    <row r="97" spans="1:3" ht="12" customHeight="1" x14ac:dyDescent="0.25">
      <c r="A97" s="13" t="s">
        <v>101</v>
      </c>
      <c r="B97" s="10" t="s">
        <v>161</v>
      </c>
      <c r="C97" s="230"/>
    </row>
    <row r="98" spans="1:3" ht="12" customHeight="1" x14ac:dyDescent="0.25">
      <c r="A98" s="13" t="s">
        <v>112</v>
      </c>
      <c r="B98" s="18" t="s">
        <v>162</v>
      </c>
      <c r="C98" s="230"/>
    </row>
    <row r="99" spans="1:3" ht="12" customHeight="1" x14ac:dyDescent="0.25">
      <c r="A99" s="13" t="s">
        <v>102</v>
      </c>
      <c r="B99" s="7" t="s">
        <v>483</v>
      </c>
      <c r="C99" s="230"/>
    </row>
    <row r="100" spans="1:3" ht="12" customHeight="1" x14ac:dyDescent="0.25">
      <c r="A100" s="13" t="s">
        <v>103</v>
      </c>
      <c r="B100" s="91" t="s">
        <v>484</v>
      </c>
      <c r="C100" s="160"/>
    </row>
    <row r="101" spans="1:3" ht="12" customHeight="1" x14ac:dyDescent="0.25">
      <c r="A101" s="13" t="s">
        <v>113</v>
      </c>
      <c r="B101" s="91" t="s">
        <v>485</v>
      </c>
      <c r="C101" s="160"/>
    </row>
    <row r="102" spans="1:3" ht="12" customHeight="1" x14ac:dyDescent="0.25">
      <c r="A102" s="13" t="s">
        <v>114</v>
      </c>
      <c r="B102" s="89" t="s">
        <v>307</v>
      </c>
      <c r="C102" s="160"/>
    </row>
    <row r="103" spans="1:3" ht="12" customHeight="1" x14ac:dyDescent="0.25">
      <c r="A103" s="13" t="s">
        <v>115</v>
      </c>
      <c r="B103" s="90" t="s">
        <v>308</v>
      </c>
      <c r="C103" s="160"/>
    </row>
    <row r="104" spans="1:3" ht="12" customHeight="1" x14ac:dyDescent="0.25">
      <c r="A104" s="13" t="s">
        <v>116</v>
      </c>
      <c r="B104" s="90" t="s">
        <v>309</v>
      </c>
      <c r="C104" s="160"/>
    </row>
    <row r="105" spans="1:3" ht="12" customHeight="1" x14ac:dyDescent="0.25">
      <c r="A105" s="13" t="s">
        <v>118</v>
      </c>
      <c r="B105" s="89" t="s">
        <v>310</v>
      </c>
      <c r="C105" s="160"/>
    </row>
    <row r="106" spans="1:3" ht="12" customHeight="1" x14ac:dyDescent="0.25">
      <c r="A106" s="13" t="s">
        <v>163</v>
      </c>
      <c r="B106" s="89" t="s">
        <v>311</v>
      </c>
      <c r="C106" s="160"/>
    </row>
    <row r="107" spans="1:3" ht="12" customHeight="1" x14ac:dyDescent="0.25">
      <c r="A107" s="13" t="s">
        <v>305</v>
      </c>
      <c r="B107" s="90" t="s">
        <v>312</v>
      </c>
      <c r="C107" s="160"/>
    </row>
    <row r="108" spans="1:3" ht="12" customHeight="1" x14ac:dyDescent="0.25">
      <c r="A108" s="12" t="s">
        <v>306</v>
      </c>
      <c r="B108" s="91" t="s">
        <v>313</v>
      </c>
      <c r="C108" s="160"/>
    </row>
    <row r="109" spans="1:3" ht="12" customHeight="1" x14ac:dyDescent="0.25">
      <c r="A109" s="13" t="s">
        <v>486</v>
      </c>
      <c r="B109" s="91" t="s">
        <v>314</v>
      </c>
      <c r="C109" s="160"/>
    </row>
    <row r="110" spans="1:3" ht="12" customHeight="1" x14ac:dyDescent="0.25">
      <c r="A110" s="15" t="s">
        <v>487</v>
      </c>
      <c r="B110" s="91" t="s">
        <v>315</v>
      </c>
      <c r="C110" s="160"/>
    </row>
    <row r="111" spans="1:3" ht="12" customHeight="1" x14ac:dyDescent="0.25">
      <c r="A111" s="13" t="s">
        <v>488</v>
      </c>
      <c r="B111" s="10" t="s">
        <v>54</v>
      </c>
      <c r="C111" s="158"/>
    </row>
    <row r="112" spans="1:3" ht="12" customHeight="1" x14ac:dyDescent="0.25">
      <c r="A112" s="13" t="s">
        <v>489</v>
      </c>
      <c r="B112" s="7" t="s">
        <v>490</v>
      </c>
      <c r="C112" s="158"/>
    </row>
    <row r="113" spans="1:3" ht="12" customHeight="1" thickBot="1" x14ac:dyDescent="0.3">
      <c r="A113" s="17" t="s">
        <v>491</v>
      </c>
      <c r="B113" s="297" t="s">
        <v>492</v>
      </c>
      <c r="C113" s="164"/>
    </row>
    <row r="114" spans="1:3" ht="12" customHeight="1" thickBot="1" x14ac:dyDescent="0.3">
      <c r="A114" s="298" t="s">
        <v>23</v>
      </c>
      <c r="B114" s="299" t="s">
        <v>316</v>
      </c>
      <c r="C114" s="300">
        <f>+C115+C117+C119</f>
        <v>4919980</v>
      </c>
    </row>
    <row r="115" spans="1:3" ht="12" customHeight="1" x14ac:dyDescent="0.25">
      <c r="A115" s="14" t="s">
        <v>104</v>
      </c>
      <c r="B115" s="7" t="s">
        <v>180</v>
      </c>
      <c r="C115" s="279">
        <v>4919980</v>
      </c>
    </row>
    <row r="116" spans="1:3" ht="12" customHeight="1" x14ac:dyDescent="0.25">
      <c r="A116" s="14" t="s">
        <v>105</v>
      </c>
      <c r="B116" s="11" t="s">
        <v>320</v>
      </c>
      <c r="C116" s="159"/>
    </row>
    <row r="117" spans="1:3" ht="12" customHeight="1" x14ac:dyDescent="0.25">
      <c r="A117" s="14" t="s">
        <v>106</v>
      </c>
      <c r="B117" s="11" t="s">
        <v>164</v>
      </c>
      <c r="C117" s="158"/>
    </row>
    <row r="118" spans="1:3" ht="12" customHeight="1" x14ac:dyDescent="0.25">
      <c r="A118" s="14" t="s">
        <v>107</v>
      </c>
      <c r="B118" s="11" t="s">
        <v>321</v>
      </c>
      <c r="C118" s="145"/>
    </row>
    <row r="119" spans="1:3" ht="12" customHeight="1" x14ac:dyDescent="0.25">
      <c r="A119" s="14" t="s">
        <v>108</v>
      </c>
      <c r="B119" s="154" t="s">
        <v>182</v>
      </c>
      <c r="C119" s="308"/>
    </row>
    <row r="120" spans="1:3" ht="12" customHeight="1" x14ac:dyDescent="0.25">
      <c r="A120" s="14" t="s">
        <v>117</v>
      </c>
      <c r="B120" s="153" t="s">
        <v>383</v>
      </c>
      <c r="C120" s="308"/>
    </row>
    <row r="121" spans="1:3" ht="12" customHeight="1" x14ac:dyDescent="0.25">
      <c r="A121" s="14" t="s">
        <v>119</v>
      </c>
      <c r="B121" s="237" t="s">
        <v>326</v>
      </c>
      <c r="C121" s="308"/>
    </row>
    <row r="122" spans="1:3" x14ac:dyDescent="0.25">
      <c r="A122" s="14" t="s">
        <v>165</v>
      </c>
      <c r="B122" s="90" t="s">
        <v>309</v>
      </c>
      <c r="C122" s="308"/>
    </row>
    <row r="123" spans="1:3" ht="12" customHeight="1" x14ac:dyDescent="0.25">
      <c r="A123" s="14" t="s">
        <v>166</v>
      </c>
      <c r="B123" s="90" t="s">
        <v>325</v>
      </c>
      <c r="C123" s="308"/>
    </row>
    <row r="124" spans="1:3" ht="12" customHeight="1" x14ac:dyDescent="0.25">
      <c r="A124" s="14" t="s">
        <v>167</v>
      </c>
      <c r="B124" s="90" t="s">
        <v>324</v>
      </c>
      <c r="C124" s="308"/>
    </row>
    <row r="125" spans="1:3" ht="12" customHeight="1" x14ac:dyDescent="0.25">
      <c r="A125" s="14" t="s">
        <v>317</v>
      </c>
      <c r="B125" s="90" t="s">
        <v>312</v>
      </c>
      <c r="C125" s="308"/>
    </row>
    <row r="126" spans="1:3" ht="12" customHeight="1" x14ac:dyDescent="0.25">
      <c r="A126" s="14" t="s">
        <v>318</v>
      </c>
      <c r="B126" s="90" t="s">
        <v>323</v>
      </c>
      <c r="C126" s="145"/>
    </row>
    <row r="127" spans="1:3" ht="16.5" thickBot="1" x14ac:dyDescent="0.3">
      <c r="A127" s="12" t="s">
        <v>319</v>
      </c>
      <c r="B127" s="90" t="s">
        <v>322</v>
      </c>
      <c r="C127" s="146"/>
    </row>
    <row r="128" spans="1:3" ht="12" customHeight="1" thickBot="1" x14ac:dyDescent="0.3">
      <c r="A128" s="19" t="s">
        <v>24</v>
      </c>
      <c r="B128" s="85" t="s">
        <v>493</v>
      </c>
      <c r="C128" s="157">
        <f>+C93+C114</f>
        <v>209310870</v>
      </c>
    </row>
    <row r="129" spans="1:3" ht="12" customHeight="1" thickBot="1" x14ac:dyDescent="0.3">
      <c r="A129" s="19" t="s">
        <v>25</v>
      </c>
      <c r="B129" s="85" t="s">
        <v>494</v>
      </c>
      <c r="C129" s="157">
        <f>+C130+C131+C132</f>
        <v>0</v>
      </c>
    </row>
    <row r="130" spans="1:3" ht="12" customHeight="1" x14ac:dyDescent="0.25">
      <c r="A130" s="14" t="s">
        <v>217</v>
      </c>
      <c r="B130" s="11" t="s">
        <v>495</v>
      </c>
      <c r="C130" s="145"/>
    </row>
    <row r="131" spans="1:3" ht="12" customHeight="1" x14ac:dyDescent="0.25">
      <c r="A131" s="14" t="s">
        <v>220</v>
      </c>
      <c r="B131" s="11" t="s">
        <v>496</v>
      </c>
      <c r="C131" s="145"/>
    </row>
    <row r="132" spans="1:3" ht="12" customHeight="1" thickBot="1" x14ac:dyDescent="0.3">
      <c r="A132" s="12" t="s">
        <v>221</v>
      </c>
      <c r="B132" s="11" t="s">
        <v>497</v>
      </c>
      <c r="C132" s="145"/>
    </row>
    <row r="133" spans="1:3" ht="12" customHeight="1" thickBot="1" x14ac:dyDescent="0.3">
      <c r="A133" s="19" t="s">
        <v>26</v>
      </c>
      <c r="B133" s="85" t="s">
        <v>498</v>
      </c>
      <c r="C133" s="157">
        <f>SUM(C134:C139)</f>
        <v>0</v>
      </c>
    </row>
    <row r="134" spans="1:3" ht="12" customHeight="1" x14ac:dyDescent="0.25">
      <c r="A134" s="14" t="s">
        <v>91</v>
      </c>
      <c r="B134" s="8" t="s">
        <v>499</v>
      </c>
      <c r="C134" s="145"/>
    </row>
    <row r="135" spans="1:3" ht="12" customHeight="1" x14ac:dyDescent="0.25">
      <c r="A135" s="14" t="s">
        <v>92</v>
      </c>
      <c r="B135" s="8" t="s">
        <v>500</v>
      </c>
      <c r="C135" s="145"/>
    </row>
    <row r="136" spans="1:3" ht="12" customHeight="1" x14ac:dyDescent="0.25">
      <c r="A136" s="14" t="s">
        <v>93</v>
      </c>
      <c r="B136" s="8" t="s">
        <v>501</v>
      </c>
      <c r="C136" s="145"/>
    </row>
    <row r="137" spans="1:3" ht="12" customHeight="1" x14ac:dyDescent="0.25">
      <c r="A137" s="14" t="s">
        <v>152</v>
      </c>
      <c r="B137" s="8" t="s">
        <v>502</v>
      </c>
      <c r="C137" s="145"/>
    </row>
    <row r="138" spans="1:3" ht="12" customHeight="1" x14ac:dyDescent="0.25">
      <c r="A138" s="14" t="s">
        <v>153</v>
      </c>
      <c r="B138" s="8" t="s">
        <v>503</v>
      </c>
      <c r="C138" s="145"/>
    </row>
    <row r="139" spans="1:3" ht="12" customHeight="1" thickBot="1" x14ac:dyDescent="0.3">
      <c r="A139" s="12" t="s">
        <v>154</v>
      </c>
      <c r="B139" s="8" t="s">
        <v>504</v>
      </c>
      <c r="C139" s="145"/>
    </row>
    <row r="140" spans="1:3" ht="12" customHeight="1" thickBot="1" x14ac:dyDescent="0.3">
      <c r="A140" s="19" t="s">
        <v>27</v>
      </c>
      <c r="B140" s="85" t="s">
        <v>505</v>
      </c>
      <c r="C140" s="162">
        <f>+C141+C142+C143+C144</f>
        <v>0</v>
      </c>
    </row>
    <row r="141" spans="1:3" ht="12" customHeight="1" x14ac:dyDescent="0.25">
      <c r="A141" s="14" t="s">
        <v>94</v>
      </c>
      <c r="B141" s="8" t="s">
        <v>327</v>
      </c>
      <c r="C141" s="145"/>
    </row>
    <row r="142" spans="1:3" ht="12" customHeight="1" x14ac:dyDescent="0.25">
      <c r="A142" s="14" t="s">
        <v>95</v>
      </c>
      <c r="B142" s="8" t="s">
        <v>328</v>
      </c>
      <c r="C142" s="145"/>
    </row>
    <row r="143" spans="1:3" ht="12" customHeight="1" x14ac:dyDescent="0.25">
      <c r="A143" s="14" t="s">
        <v>241</v>
      </c>
      <c r="B143" s="8" t="s">
        <v>506</v>
      </c>
      <c r="C143" s="145"/>
    </row>
    <row r="144" spans="1:3" ht="12" customHeight="1" thickBot="1" x14ac:dyDescent="0.3">
      <c r="A144" s="12" t="s">
        <v>242</v>
      </c>
      <c r="B144" s="6" t="s">
        <v>346</v>
      </c>
      <c r="C144" s="145"/>
    </row>
    <row r="145" spans="1:6" ht="12" customHeight="1" thickBot="1" x14ac:dyDescent="0.3">
      <c r="A145" s="19" t="s">
        <v>28</v>
      </c>
      <c r="B145" s="85" t="s">
        <v>507</v>
      </c>
      <c r="C145" s="165">
        <f>SUM(C146:C150)</f>
        <v>0</v>
      </c>
    </row>
    <row r="146" spans="1:6" ht="12" customHeight="1" x14ac:dyDescent="0.25">
      <c r="A146" s="14" t="s">
        <v>96</v>
      </c>
      <c r="B146" s="8" t="s">
        <v>508</v>
      </c>
      <c r="C146" s="145"/>
    </row>
    <row r="147" spans="1:6" ht="12" customHeight="1" x14ac:dyDescent="0.25">
      <c r="A147" s="14" t="s">
        <v>97</v>
      </c>
      <c r="B147" s="8" t="s">
        <v>509</v>
      </c>
      <c r="C147" s="145"/>
    </row>
    <row r="148" spans="1:6" ht="12" customHeight="1" x14ac:dyDescent="0.25">
      <c r="A148" s="14" t="s">
        <v>253</v>
      </c>
      <c r="B148" s="8" t="s">
        <v>510</v>
      </c>
      <c r="C148" s="145"/>
    </row>
    <row r="149" spans="1:6" ht="12" customHeight="1" x14ac:dyDescent="0.25">
      <c r="A149" s="14" t="s">
        <v>254</v>
      </c>
      <c r="B149" s="8" t="s">
        <v>511</v>
      </c>
      <c r="C149" s="145"/>
    </row>
    <row r="150" spans="1:6" ht="12" customHeight="1" thickBot="1" x14ac:dyDescent="0.3">
      <c r="A150" s="14" t="s">
        <v>512</v>
      </c>
      <c r="B150" s="8" t="s">
        <v>513</v>
      </c>
      <c r="C150" s="145"/>
    </row>
    <row r="151" spans="1:6" ht="12" customHeight="1" thickBot="1" x14ac:dyDescent="0.3">
      <c r="A151" s="19" t="s">
        <v>29</v>
      </c>
      <c r="B151" s="85" t="s">
        <v>514</v>
      </c>
      <c r="C151" s="301"/>
    </row>
    <row r="152" spans="1:6" ht="12" customHeight="1" thickBot="1" x14ac:dyDescent="0.3">
      <c r="A152" s="19" t="s">
        <v>30</v>
      </c>
      <c r="B152" s="85" t="s">
        <v>515</v>
      </c>
      <c r="C152" s="301"/>
    </row>
    <row r="153" spans="1:6" ht="15" customHeight="1" thickBot="1" x14ac:dyDescent="0.3">
      <c r="A153" s="19" t="s">
        <v>31</v>
      </c>
      <c r="B153" s="85" t="s">
        <v>516</v>
      </c>
      <c r="C153" s="251">
        <f>+C129+C133+C140+C145+C151+C152</f>
        <v>0</v>
      </c>
      <c r="D153" s="252"/>
      <c r="E153" s="252"/>
      <c r="F153" s="252"/>
    </row>
    <row r="154" spans="1:6" s="240" customFormat="1" ht="12.95" customHeight="1" thickBot="1" x14ac:dyDescent="0.25">
      <c r="A154" s="155" t="s">
        <v>32</v>
      </c>
      <c r="B154" s="226" t="s">
        <v>517</v>
      </c>
      <c r="C154" s="251">
        <f>+C128+C153</f>
        <v>209310870</v>
      </c>
    </row>
    <row r="155" spans="1:6" ht="7.5" customHeight="1" x14ac:dyDescent="0.25"/>
    <row r="156" spans="1:6" x14ac:dyDescent="0.25">
      <c r="A156" s="995" t="s">
        <v>329</v>
      </c>
      <c r="B156" s="995"/>
      <c r="C156" s="995"/>
    </row>
    <row r="157" spans="1:6" ht="15" customHeight="1" thickBot="1" x14ac:dyDescent="0.3">
      <c r="A157" s="992" t="s">
        <v>142</v>
      </c>
      <c r="B157" s="992"/>
      <c r="C157" s="166" t="s">
        <v>589</v>
      </c>
    </row>
    <row r="158" spans="1:6" ht="13.5" customHeight="1" thickBot="1" x14ac:dyDescent="0.3">
      <c r="A158" s="19">
        <v>1</v>
      </c>
      <c r="B158" s="24" t="s">
        <v>518</v>
      </c>
      <c r="C158" s="157">
        <f>+C62-C128</f>
        <v>-203030706</v>
      </c>
    </row>
    <row r="159" spans="1:6" ht="32.25" customHeight="1" thickBot="1" x14ac:dyDescent="0.3">
      <c r="A159" s="19" t="s">
        <v>23</v>
      </c>
      <c r="B159" s="24" t="s">
        <v>519</v>
      </c>
      <c r="C159" s="157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11/2018.(V.31.)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3"/>
  <sheetViews>
    <sheetView view="pageLayout" zoomScaleNormal="100" zoomScaleSheetLayoutView="100" workbookViewId="0">
      <selection activeCell="D3" sqref="D3"/>
    </sheetView>
  </sheetViews>
  <sheetFormatPr defaultRowHeight="12.75" x14ac:dyDescent="0.2"/>
  <cols>
    <col min="1" max="1" width="6.83203125" style="45" customWidth="1"/>
    <col min="2" max="2" width="55.1640625" style="93" customWidth="1"/>
    <col min="3" max="3" width="16" style="45" bestFit="1" customWidth="1"/>
    <col min="4" max="4" width="55.1640625" style="45" customWidth="1"/>
    <col min="5" max="5" width="16.33203125" style="45" customWidth="1"/>
    <col min="6" max="6" width="4.83203125" style="45" customWidth="1"/>
    <col min="7" max="16384" width="9.33203125" style="45"/>
  </cols>
  <sheetData>
    <row r="1" spans="1:6" ht="39.75" customHeight="1" x14ac:dyDescent="0.2">
      <c r="B1" s="173" t="s">
        <v>145</v>
      </c>
      <c r="C1" s="174"/>
      <c r="D1" s="174"/>
      <c r="E1" s="174"/>
      <c r="F1" s="997"/>
    </row>
    <row r="2" spans="1:6" ht="14.25" thickBot="1" x14ac:dyDescent="0.25">
      <c r="E2" s="175" t="s">
        <v>592</v>
      </c>
      <c r="F2" s="997"/>
    </row>
    <row r="3" spans="1:6" ht="18" customHeight="1" thickBot="1" x14ac:dyDescent="0.25">
      <c r="A3" s="998" t="s">
        <v>73</v>
      </c>
      <c r="B3" s="176" t="s">
        <v>60</v>
      </c>
      <c r="C3" s="177"/>
      <c r="D3" s="176" t="s">
        <v>61</v>
      </c>
      <c r="E3" s="178"/>
      <c r="F3" s="997"/>
    </row>
    <row r="4" spans="1:6" s="179" customFormat="1" ht="35.25" customHeight="1" thickBot="1" x14ac:dyDescent="0.25">
      <c r="A4" s="999"/>
      <c r="B4" s="94" t="s">
        <v>66</v>
      </c>
      <c r="C4" s="35" t="s">
        <v>618</v>
      </c>
      <c r="D4" s="94" t="s">
        <v>66</v>
      </c>
      <c r="E4" s="44" t="str">
        <f>+C4</f>
        <v>2018.évi előirányzat</v>
      </c>
      <c r="F4" s="997"/>
    </row>
    <row r="5" spans="1:6" s="184" customFormat="1" ht="12" customHeight="1" thickBot="1" x14ac:dyDescent="0.25">
      <c r="A5" s="180" t="s">
        <v>466</v>
      </c>
      <c r="B5" s="181" t="s">
        <v>467</v>
      </c>
      <c r="C5" s="182" t="s">
        <v>468</v>
      </c>
      <c r="D5" s="181" t="s">
        <v>521</v>
      </c>
      <c r="E5" s="183" t="s">
        <v>522</v>
      </c>
      <c r="F5" s="997"/>
    </row>
    <row r="6" spans="1:6" ht="12.95" customHeight="1" x14ac:dyDescent="0.2">
      <c r="A6" s="185" t="s">
        <v>22</v>
      </c>
      <c r="B6" s="186" t="s">
        <v>330</v>
      </c>
      <c r="C6" s="512">
        <v>1319904176</v>
      </c>
      <c r="D6" s="202" t="s">
        <v>67</v>
      </c>
      <c r="E6" s="820">
        <v>988725211</v>
      </c>
      <c r="F6" s="997"/>
    </row>
    <row r="7" spans="1:6" ht="12.95" customHeight="1" x14ac:dyDescent="0.2">
      <c r="A7" s="187" t="s">
        <v>23</v>
      </c>
      <c r="B7" s="188" t="s">
        <v>331</v>
      </c>
      <c r="C7" s="821">
        <v>261819841</v>
      </c>
      <c r="D7" s="192" t="s">
        <v>160</v>
      </c>
      <c r="E7" s="822">
        <v>208564007</v>
      </c>
      <c r="F7" s="997"/>
    </row>
    <row r="8" spans="1:6" ht="12.95" customHeight="1" x14ac:dyDescent="0.2">
      <c r="A8" s="187" t="s">
        <v>24</v>
      </c>
      <c r="B8" s="188" t="s">
        <v>351</v>
      </c>
      <c r="C8" s="821">
        <v>85930971</v>
      </c>
      <c r="D8" s="192" t="s">
        <v>185</v>
      </c>
      <c r="E8" s="822">
        <v>889241948</v>
      </c>
      <c r="F8" s="997"/>
    </row>
    <row r="9" spans="1:6" ht="12.95" customHeight="1" x14ac:dyDescent="0.2">
      <c r="A9" s="187" t="s">
        <v>25</v>
      </c>
      <c r="B9" s="188" t="s">
        <v>151</v>
      </c>
      <c r="C9" s="52">
        <f>352658000</f>
        <v>352658000</v>
      </c>
      <c r="D9" s="192" t="s">
        <v>161</v>
      </c>
      <c r="E9" s="822">
        <v>166562000</v>
      </c>
      <c r="F9" s="997"/>
    </row>
    <row r="10" spans="1:6" ht="12.95" customHeight="1" x14ac:dyDescent="0.2">
      <c r="A10" s="187" t="s">
        <v>26</v>
      </c>
      <c r="B10" s="189" t="s">
        <v>376</v>
      </c>
      <c r="C10" s="821">
        <v>438155968</v>
      </c>
      <c r="D10" s="192" t="s">
        <v>162</v>
      </c>
      <c r="E10" s="822">
        <v>152217403</v>
      </c>
      <c r="F10" s="997"/>
    </row>
    <row r="11" spans="1:6" ht="12.95" customHeight="1" x14ac:dyDescent="0.2">
      <c r="A11" s="187" t="s">
        <v>27</v>
      </c>
      <c r="B11" s="188" t="s">
        <v>332</v>
      </c>
      <c r="C11" s="887">
        <v>4786000</v>
      </c>
      <c r="D11" s="192" t="s">
        <v>54</v>
      </c>
      <c r="E11" s="822">
        <v>55085296</v>
      </c>
      <c r="F11" s="997"/>
    </row>
    <row r="12" spans="1:6" ht="12.95" customHeight="1" x14ac:dyDescent="0.2">
      <c r="A12" s="187" t="s">
        <v>28</v>
      </c>
      <c r="B12" s="188" t="s">
        <v>523</v>
      </c>
      <c r="C12" s="52"/>
      <c r="D12" s="359"/>
      <c r="E12" s="53"/>
      <c r="F12" s="997"/>
    </row>
    <row r="13" spans="1:6" ht="12.95" customHeight="1" x14ac:dyDescent="0.2">
      <c r="A13" s="187" t="s">
        <v>29</v>
      </c>
      <c r="B13" s="39"/>
      <c r="C13" s="52"/>
      <c r="D13" s="359"/>
      <c r="E13" s="53"/>
      <c r="F13" s="997"/>
    </row>
    <row r="14" spans="1:6" ht="12.95" customHeight="1" x14ac:dyDescent="0.2">
      <c r="A14" s="187" t="s">
        <v>30</v>
      </c>
      <c r="B14" s="253"/>
      <c r="C14" s="318"/>
      <c r="D14" s="359"/>
      <c r="E14" s="53"/>
      <c r="F14" s="997"/>
    </row>
    <row r="15" spans="1:6" ht="12.95" customHeight="1" x14ac:dyDescent="0.2">
      <c r="A15" s="187" t="s">
        <v>31</v>
      </c>
      <c r="B15" s="39"/>
      <c r="C15" s="52"/>
      <c r="D15" s="359"/>
      <c r="E15" s="53"/>
      <c r="F15" s="997"/>
    </row>
    <row r="16" spans="1:6" ht="12.95" customHeight="1" x14ac:dyDescent="0.2">
      <c r="A16" s="187" t="s">
        <v>32</v>
      </c>
      <c r="B16" s="39"/>
      <c r="C16" s="52"/>
      <c r="D16" s="39"/>
      <c r="E16" s="53"/>
      <c r="F16" s="997"/>
    </row>
    <row r="17" spans="1:6" ht="12.95" customHeight="1" thickBot="1" x14ac:dyDescent="0.25">
      <c r="A17" s="187" t="s">
        <v>33</v>
      </c>
      <c r="B17" s="46"/>
      <c r="C17" s="671"/>
      <c r="D17" s="39"/>
      <c r="E17" s="170"/>
      <c r="F17" s="997"/>
    </row>
    <row r="18" spans="1:6" ht="15.95" customHeight="1" thickBot="1" x14ac:dyDescent="0.25">
      <c r="A18" s="190" t="s">
        <v>34</v>
      </c>
      <c r="B18" s="86" t="s">
        <v>524</v>
      </c>
      <c r="C18" s="167">
        <f>SUM(C6:C17)-C8</f>
        <v>2377323985</v>
      </c>
      <c r="D18" s="86" t="s">
        <v>337</v>
      </c>
      <c r="E18" s="171">
        <f>SUM(E6:E17)</f>
        <v>2460395865</v>
      </c>
      <c r="F18" s="997"/>
    </row>
    <row r="19" spans="1:6" ht="12.95" customHeight="1" x14ac:dyDescent="0.2">
      <c r="A19" s="565" t="s">
        <v>35</v>
      </c>
      <c r="B19" s="191" t="s">
        <v>334</v>
      </c>
      <c r="C19" s="282">
        <f>SUM(C20:C23)</f>
        <v>620677200</v>
      </c>
      <c r="D19" s="192" t="s">
        <v>168</v>
      </c>
      <c r="E19" s="172"/>
      <c r="F19" s="997"/>
    </row>
    <row r="20" spans="1:6" ht="12.95" customHeight="1" x14ac:dyDescent="0.2">
      <c r="A20" s="566" t="s">
        <v>36</v>
      </c>
      <c r="B20" s="192" t="s">
        <v>178</v>
      </c>
      <c r="C20" s="52">
        <v>620677200</v>
      </c>
      <c r="D20" s="192" t="s">
        <v>336</v>
      </c>
      <c r="E20" s="53">
        <v>100000000</v>
      </c>
      <c r="F20" s="997"/>
    </row>
    <row r="21" spans="1:6" ht="12.95" customHeight="1" x14ac:dyDescent="0.2">
      <c r="A21" s="566" t="s">
        <v>37</v>
      </c>
      <c r="B21" s="192" t="s">
        <v>179</v>
      </c>
      <c r="C21" s="52"/>
      <c r="D21" s="192" t="s">
        <v>143</v>
      </c>
      <c r="E21" s="53"/>
      <c r="F21" s="997"/>
    </row>
    <row r="22" spans="1:6" ht="12.95" customHeight="1" x14ac:dyDescent="0.2">
      <c r="A22" s="566" t="s">
        <v>38</v>
      </c>
      <c r="B22" s="192" t="s">
        <v>183</v>
      </c>
      <c r="C22" s="52"/>
      <c r="D22" s="192" t="s">
        <v>144</v>
      </c>
      <c r="E22" s="53"/>
      <c r="F22" s="997"/>
    </row>
    <row r="23" spans="1:6" ht="12.95" customHeight="1" x14ac:dyDescent="0.2">
      <c r="A23" s="566" t="s">
        <v>39</v>
      </c>
      <c r="B23" s="192" t="s">
        <v>184</v>
      </c>
      <c r="C23" s="52"/>
      <c r="D23" s="191" t="s">
        <v>186</v>
      </c>
      <c r="E23" s="53"/>
      <c r="F23" s="997"/>
    </row>
    <row r="24" spans="1:6" ht="12.95" customHeight="1" x14ac:dyDescent="0.2">
      <c r="A24" s="566" t="s">
        <v>40</v>
      </c>
      <c r="B24" s="192" t="s">
        <v>335</v>
      </c>
      <c r="C24" s="193">
        <f>SUM(C25:C28)</f>
        <v>100000000</v>
      </c>
      <c r="D24" s="192" t="s">
        <v>169</v>
      </c>
      <c r="E24" s="53"/>
      <c r="F24" s="997"/>
    </row>
    <row r="25" spans="1:6" ht="12.95" customHeight="1" x14ac:dyDescent="0.2">
      <c r="A25" s="565" t="s">
        <v>41</v>
      </c>
      <c r="B25" s="191" t="s">
        <v>333</v>
      </c>
      <c r="C25" s="168">
        <v>100000000</v>
      </c>
      <c r="D25" s="186" t="s">
        <v>506</v>
      </c>
      <c r="E25" s="172"/>
      <c r="F25" s="997"/>
    </row>
    <row r="26" spans="1:6" ht="12.95" customHeight="1" x14ac:dyDescent="0.2">
      <c r="A26" s="566" t="s">
        <v>42</v>
      </c>
      <c r="B26" s="192" t="s">
        <v>525</v>
      </c>
      <c r="C26" s="52"/>
      <c r="D26" s="188" t="s">
        <v>514</v>
      </c>
      <c r="E26" s="53"/>
      <c r="F26" s="997"/>
    </row>
    <row r="27" spans="1:6" ht="12.95" customHeight="1" x14ac:dyDescent="0.2">
      <c r="A27" s="187" t="s">
        <v>43</v>
      </c>
      <c r="B27" s="192" t="s">
        <v>479</v>
      </c>
      <c r="C27" s="52"/>
      <c r="D27" s="188" t="s">
        <v>515</v>
      </c>
      <c r="E27" s="53"/>
      <c r="F27" s="997"/>
    </row>
    <row r="28" spans="1:6" ht="12.95" customHeight="1" thickBot="1" x14ac:dyDescent="0.25">
      <c r="A28" s="229" t="s">
        <v>44</v>
      </c>
      <c r="B28" s="191" t="s">
        <v>291</v>
      </c>
      <c r="C28" s="168"/>
      <c r="D28" s="254" t="s">
        <v>581</v>
      </c>
      <c r="E28" s="172">
        <v>38167591</v>
      </c>
      <c r="F28" s="997"/>
    </row>
    <row r="29" spans="1:6" ht="21.75" customHeight="1" thickBot="1" x14ac:dyDescent="0.25">
      <c r="A29" s="190" t="s">
        <v>45</v>
      </c>
      <c r="B29" s="86" t="s">
        <v>526</v>
      </c>
      <c r="C29" s="167">
        <f>+C19+C24+C27+C28</f>
        <v>720677200</v>
      </c>
      <c r="D29" s="86" t="s">
        <v>527</v>
      </c>
      <c r="E29" s="171">
        <f>SUM(E19:E28)</f>
        <v>138167591</v>
      </c>
      <c r="F29" s="997"/>
    </row>
    <row r="30" spans="1:6" ht="13.5" thickBot="1" x14ac:dyDescent="0.25">
      <c r="A30" s="190" t="s">
        <v>46</v>
      </c>
      <c r="B30" s="194" t="s">
        <v>528</v>
      </c>
      <c r="C30" s="371">
        <f>+C18+C29</f>
        <v>3098001185</v>
      </c>
      <c r="D30" s="194" t="s">
        <v>529</v>
      </c>
      <c r="E30" s="371">
        <f>E29+E18</f>
        <v>2598563456</v>
      </c>
      <c r="F30" s="997"/>
    </row>
    <row r="31" spans="1:6" ht="13.5" thickBot="1" x14ac:dyDescent="0.25">
      <c r="A31" s="190" t="s">
        <v>47</v>
      </c>
      <c r="B31" s="194" t="s">
        <v>146</v>
      </c>
      <c r="C31" s="371">
        <f>IF(C18-E18&lt;0,E18-C18,"-")</f>
        <v>83071880</v>
      </c>
      <c r="D31" s="194" t="s">
        <v>147</v>
      </c>
      <c r="E31" s="371" t="str">
        <f>IF(C18-E18&gt;0,C18-E18,"-")</f>
        <v>-</v>
      </c>
      <c r="F31" s="997"/>
    </row>
    <row r="32" spans="1:6" ht="13.5" thickBot="1" x14ac:dyDescent="0.25">
      <c r="A32" s="190" t="s">
        <v>48</v>
      </c>
      <c r="B32" s="194" t="s">
        <v>187</v>
      </c>
      <c r="C32" s="195" t="str">
        <f>IF(C30-E30&lt;0,E30-C30,"-")</f>
        <v>-</v>
      </c>
      <c r="D32" s="194" t="s">
        <v>188</v>
      </c>
      <c r="E32" s="371">
        <f>IF(C30-E30&gt;0,C30-E30,"-")</f>
        <v>499437729</v>
      </c>
      <c r="F32" s="997"/>
    </row>
    <row r="33" spans="2:4" ht="18.75" x14ac:dyDescent="0.2">
      <c r="B33" s="1000"/>
      <c r="C33" s="1000"/>
      <c r="D33" s="1000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>&amp;R&amp;"Times New Roman CE,Félkövér dőlt"&amp;11 5. melléklet a 11/2018.(V.31.)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9"/>
  <sheetViews>
    <sheetView zoomScaleNormal="100" zoomScaleSheetLayoutView="115" workbookViewId="0">
      <selection activeCell="D3" sqref="D3"/>
    </sheetView>
  </sheetViews>
  <sheetFormatPr defaultRowHeight="12.75" x14ac:dyDescent="0.2"/>
  <cols>
    <col min="1" max="1" width="6.83203125" style="45" customWidth="1"/>
    <col min="2" max="2" width="55.1640625" style="93" customWidth="1"/>
    <col min="3" max="3" width="16.33203125" style="45" customWidth="1"/>
    <col min="4" max="4" width="55.1640625" style="45" customWidth="1"/>
    <col min="5" max="5" width="16.33203125" style="45" customWidth="1"/>
    <col min="6" max="6" width="4.83203125" style="45" customWidth="1"/>
    <col min="7" max="16384" width="9.33203125" style="45"/>
  </cols>
  <sheetData>
    <row r="1" spans="1:6" ht="31.5" x14ac:dyDescent="0.2">
      <c r="B1" s="173" t="s">
        <v>614</v>
      </c>
      <c r="C1" s="174"/>
      <c r="D1" s="174" t="s">
        <v>615</v>
      </c>
      <c r="E1" s="810"/>
      <c r="F1" s="997"/>
    </row>
    <row r="2" spans="1:6" ht="14.25" thickBot="1" x14ac:dyDescent="0.25">
      <c r="E2" s="175" t="s">
        <v>592</v>
      </c>
      <c r="F2" s="997"/>
    </row>
    <row r="3" spans="1:6" ht="13.5" thickBot="1" x14ac:dyDescent="0.25">
      <c r="A3" s="1001" t="s">
        <v>73</v>
      </c>
      <c r="B3" s="176" t="s">
        <v>60</v>
      </c>
      <c r="C3" s="177"/>
      <c r="D3" s="176" t="s">
        <v>61</v>
      </c>
      <c r="E3" s="178"/>
      <c r="F3" s="997"/>
    </row>
    <row r="4" spans="1:6" s="179" customFormat="1" ht="24.75" thickBot="1" x14ac:dyDescent="0.25">
      <c r="A4" s="1002"/>
      <c r="B4" s="94" t="s">
        <v>66</v>
      </c>
      <c r="C4" s="35" t="s">
        <v>617</v>
      </c>
      <c r="D4" s="94" t="s">
        <v>66</v>
      </c>
      <c r="E4" s="35" t="s">
        <v>617</v>
      </c>
      <c r="F4" s="997"/>
    </row>
    <row r="5" spans="1:6" s="179" customFormat="1" ht="13.5" thickBot="1" x14ac:dyDescent="0.25">
      <c r="A5" s="180" t="s">
        <v>466</v>
      </c>
      <c r="B5" s="181" t="s">
        <v>467</v>
      </c>
      <c r="C5" s="182" t="s">
        <v>468</v>
      </c>
      <c r="D5" s="181" t="s">
        <v>521</v>
      </c>
      <c r="E5" s="183" t="s">
        <v>522</v>
      </c>
      <c r="F5" s="997"/>
    </row>
    <row r="6" spans="1:6" ht="12.95" customHeight="1" x14ac:dyDescent="0.2">
      <c r="A6" s="185" t="s">
        <v>22</v>
      </c>
      <c r="B6" s="186" t="s">
        <v>338</v>
      </c>
      <c r="C6" s="819">
        <v>73301322</v>
      </c>
      <c r="D6" s="202" t="s">
        <v>180</v>
      </c>
      <c r="E6" s="820">
        <v>342014754</v>
      </c>
      <c r="F6" s="997"/>
    </row>
    <row r="7" spans="1:6" ht="12.75" customHeight="1" x14ac:dyDescent="0.2">
      <c r="A7" s="187" t="s">
        <v>23</v>
      </c>
      <c r="B7" s="188" t="s">
        <v>339</v>
      </c>
      <c r="C7" s="821">
        <v>68947847</v>
      </c>
      <c r="D7" s="192" t="s">
        <v>344</v>
      </c>
      <c r="E7" s="853">
        <v>295275384</v>
      </c>
      <c r="F7" s="997"/>
    </row>
    <row r="8" spans="1:6" ht="12.95" customHeight="1" x14ac:dyDescent="0.2">
      <c r="A8" s="187" t="s">
        <v>24</v>
      </c>
      <c r="B8" s="188" t="s">
        <v>14</v>
      </c>
      <c r="C8" s="52">
        <v>30332500</v>
      </c>
      <c r="D8" s="192" t="s">
        <v>164</v>
      </c>
      <c r="E8" s="822">
        <v>268879510</v>
      </c>
      <c r="F8" s="997"/>
    </row>
    <row r="9" spans="1:6" ht="12.95" customHeight="1" x14ac:dyDescent="0.2">
      <c r="A9" s="187" t="s">
        <v>25</v>
      </c>
      <c r="B9" s="188" t="s">
        <v>340</v>
      </c>
      <c r="C9" s="52"/>
      <c r="D9" s="192" t="s">
        <v>345</v>
      </c>
      <c r="E9" s="840">
        <v>230773273</v>
      </c>
      <c r="F9" s="997"/>
    </row>
    <row r="10" spans="1:6" ht="12.75" customHeight="1" x14ac:dyDescent="0.2">
      <c r="A10" s="187" t="s">
        <v>26</v>
      </c>
      <c r="B10" s="188" t="s">
        <v>341</v>
      </c>
      <c r="C10" s="52"/>
      <c r="D10" s="192" t="s">
        <v>182</v>
      </c>
      <c r="E10" s="822">
        <v>65810721</v>
      </c>
      <c r="F10" s="997"/>
    </row>
    <row r="11" spans="1:6" ht="12.95" customHeight="1" x14ac:dyDescent="0.2">
      <c r="A11" s="187" t="s">
        <v>27</v>
      </c>
      <c r="B11" s="188" t="s">
        <v>342</v>
      </c>
      <c r="C11" s="318"/>
      <c r="D11" s="302"/>
      <c r="E11" s="53"/>
      <c r="F11" s="997"/>
    </row>
    <row r="12" spans="1:6" ht="12.95" customHeight="1" x14ac:dyDescent="0.2">
      <c r="A12" s="187" t="s">
        <v>28</v>
      </c>
      <c r="B12" s="39"/>
      <c r="C12" s="52"/>
      <c r="D12" s="302"/>
      <c r="E12" s="53"/>
      <c r="F12" s="997"/>
    </row>
    <row r="13" spans="1:6" ht="12.95" customHeight="1" x14ac:dyDescent="0.2">
      <c r="A13" s="187" t="s">
        <v>29</v>
      </c>
      <c r="B13" s="39"/>
      <c r="C13" s="52"/>
      <c r="D13" s="302"/>
      <c r="E13" s="53"/>
      <c r="F13" s="997"/>
    </row>
    <row r="14" spans="1:6" ht="12.95" customHeight="1" x14ac:dyDescent="0.2">
      <c r="A14" s="187" t="s">
        <v>30</v>
      </c>
      <c r="B14" s="303"/>
      <c r="C14" s="318"/>
      <c r="D14" s="302"/>
      <c r="E14" s="53"/>
      <c r="F14" s="997"/>
    </row>
    <row r="15" spans="1:6" x14ac:dyDescent="0.2">
      <c r="A15" s="187" t="s">
        <v>31</v>
      </c>
      <c r="B15" s="39"/>
      <c r="C15" s="318"/>
      <c r="D15" s="302"/>
      <c r="E15" s="53"/>
      <c r="F15" s="997"/>
    </row>
    <row r="16" spans="1:6" ht="12.95" customHeight="1" thickBot="1" x14ac:dyDescent="0.25">
      <c r="A16" s="229" t="s">
        <v>32</v>
      </c>
      <c r="B16" s="254"/>
      <c r="C16" s="360"/>
      <c r="D16" s="191" t="s">
        <v>54</v>
      </c>
      <c r="E16" s="172">
        <v>11358324</v>
      </c>
      <c r="F16" s="997"/>
    </row>
    <row r="17" spans="1:6" ht="15.95" customHeight="1" thickBot="1" x14ac:dyDescent="0.25">
      <c r="A17" s="190" t="s">
        <v>33</v>
      </c>
      <c r="B17" s="86" t="s">
        <v>352</v>
      </c>
      <c r="C17" s="167">
        <f>+C6+C8+C9+C11+C12+C13+C14+C15+C16</f>
        <v>103633822</v>
      </c>
      <c r="D17" s="86" t="s">
        <v>353</v>
      </c>
      <c r="E17" s="171">
        <f>+E6+E8+E10+E11+E12+E13+E14+E15+E16</f>
        <v>688063309</v>
      </c>
      <c r="F17" s="997"/>
    </row>
    <row r="18" spans="1:6" ht="12.95" customHeight="1" x14ac:dyDescent="0.2">
      <c r="A18" s="185" t="s">
        <v>34</v>
      </c>
      <c r="B18" s="198" t="s">
        <v>200</v>
      </c>
      <c r="C18" s="205">
        <f>+C19+C20+C21+C22+C23</f>
        <v>0</v>
      </c>
      <c r="D18" s="192" t="s">
        <v>168</v>
      </c>
      <c r="E18" s="51"/>
      <c r="F18" s="997"/>
    </row>
    <row r="19" spans="1:6" ht="12.95" customHeight="1" x14ac:dyDescent="0.2">
      <c r="A19" s="187" t="s">
        <v>35</v>
      </c>
      <c r="B19" s="199" t="s">
        <v>189</v>
      </c>
      <c r="C19" s="52"/>
      <c r="D19" s="192" t="s">
        <v>171</v>
      </c>
      <c r="E19" s="53"/>
      <c r="F19" s="997"/>
    </row>
    <row r="20" spans="1:6" ht="12.95" customHeight="1" x14ac:dyDescent="0.2">
      <c r="A20" s="185" t="s">
        <v>36</v>
      </c>
      <c r="B20" s="199" t="s">
        <v>190</v>
      </c>
      <c r="C20" s="52"/>
      <c r="D20" s="192" t="s">
        <v>143</v>
      </c>
      <c r="E20" s="53"/>
      <c r="F20" s="997"/>
    </row>
    <row r="21" spans="1:6" ht="12.95" customHeight="1" x14ac:dyDescent="0.2">
      <c r="A21" s="187" t="s">
        <v>37</v>
      </c>
      <c r="B21" s="199" t="s">
        <v>191</v>
      </c>
      <c r="C21" s="52"/>
      <c r="D21" s="192" t="s">
        <v>144</v>
      </c>
      <c r="E21" s="53">
        <v>8486704</v>
      </c>
      <c r="F21" s="997"/>
    </row>
    <row r="22" spans="1:6" ht="12.95" customHeight="1" x14ac:dyDescent="0.2">
      <c r="A22" s="185" t="s">
        <v>38</v>
      </c>
      <c r="B22" s="199" t="s">
        <v>192</v>
      </c>
      <c r="C22" s="52"/>
      <c r="D22" s="191" t="s">
        <v>186</v>
      </c>
      <c r="E22" s="53"/>
      <c r="F22" s="997"/>
    </row>
    <row r="23" spans="1:6" ht="12.95" customHeight="1" x14ac:dyDescent="0.2">
      <c r="A23" s="187" t="s">
        <v>39</v>
      </c>
      <c r="B23" s="200" t="s">
        <v>193</v>
      </c>
      <c r="C23" s="52"/>
      <c r="D23" s="192" t="s">
        <v>172</v>
      </c>
      <c r="E23" s="53"/>
      <c r="F23" s="997"/>
    </row>
    <row r="24" spans="1:6" ht="12.95" customHeight="1" x14ac:dyDescent="0.2">
      <c r="A24" s="185" t="s">
        <v>40</v>
      </c>
      <c r="B24" s="201" t="s">
        <v>194</v>
      </c>
      <c r="C24" s="672">
        <f>+C25+C26+C27+C28+C29</f>
        <v>93478462</v>
      </c>
      <c r="D24" s="202" t="s">
        <v>170</v>
      </c>
      <c r="E24" s="53"/>
      <c r="F24" s="997"/>
    </row>
    <row r="25" spans="1:6" ht="12.95" customHeight="1" x14ac:dyDescent="0.2">
      <c r="A25" s="187" t="s">
        <v>41</v>
      </c>
      <c r="B25" s="200" t="s">
        <v>195</v>
      </c>
      <c r="C25" s="52">
        <v>93478462</v>
      </c>
      <c r="D25" s="202" t="s">
        <v>346</v>
      </c>
      <c r="E25" s="53"/>
      <c r="F25" s="997"/>
    </row>
    <row r="26" spans="1:6" ht="12.95" customHeight="1" x14ac:dyDescent="0.2">
      <c r="A26" s="185" t="s">
        <v>42</v>
      </c>
      <c r="B26" s="200" t="s">
        <v>196</v>
      </c>
      <c r="C26" s="52"/>
      <c r="D26" s="197"/>
      <c r="E26" s="53"/>
      <c r="F26" s="997"/>
    </row>
    <row r="27" spans="1:6" ht="12.95" customHeight="1" x14ac:dyDescent="0.2">
      <c r="A27" s="187" t="s">
        <v>43</v>
      </c>
      <c r="B27" s="199" t="s">
        <v>197</v>
      </c>
      <c r="C27" s="52"/>
      <c r="D27" s="197"/>
      <c r="E27" s="53"/>
      <c r="F27" s="997"/>
    </row>
    <row r="28" spans="1:6" ht="12.95" customHeight="1" x14ac:dyDescent="0.2">
      <c r="A28" s="185" t="s">
        <v>44</v>
      </c>
      <c r="B28" s="203" t="s">
        <v>198</v>
      </c>
      <c r="C28" s="52"/>
      <c r="D28" s="359"/>
      <c r="E28" s="53"/>
      <c r="F28" s="997"/>
    </row>
    <row r="29" spans="1:6" ht="12.95" customHeight="1" thickBot="1" x14ac:dyDescent="0.25">
      <c r="A29" s="187" t="s">
        <v>45</v>
      </c>
      <c r="B29" s="204" t="s">
        <v>199</v>
      </c>
      <c r="C29" s="52"/>
      <c r="D29" s="197"/>
      <c r="E29" s="53"/>
      <c r="F29" s="997"/>
    </row>
    <row r="30" spans="1:6" ht="21.75" customHeight="1" thickBot="1" x14ac:dyDescent="0.25">
      <c r="A30" s="190" t="s">
        <v>46</v>
      </c>
      <c r="B30" s="86" t="s">
        <v>343</v>
      </c>
      <c r="C30" s="167">
        <f>+C18+C24</f>
        <v>93478462</v>
      </c>
      <c r="D30" s="86" t="s">
        <v>347</v>
      </c>
      <c r="E30" s="171">
        <f>SUM(E18:E29)</f>
        <v>8486704</v>
      </c>
      <c r="F30" s="997"/>
    </row>
    <row r="31" spans="1:6" ht="13.5" thickBot="1" x14ac:dyDescent="0.25">
      <c r="A31" s="190" t="s">
        <v>47</v>
      </c>
      <c r="B31" s="194" t="s">
        <v>348</v>
      </c>
      <c r="C31" s="195">
        <f>+C17+C30</f>
        <v>197112284</v>
      </c>
      <c r="D31" s="194" t="s">
        <v>349</v>
      </c>
      <c r="E31" s="195">
        <f>+E17+E30</f>
        <v>696550013</v>
      </c>
      <c r="F31" s="997"/>
    </row>
    <row r="32" spans="1:6" ht="13.5" thickBot="1" x14ac:dyDescent="0.25">
      <c r="A32" s="190" t="s">
        <v>48</v>
      </c>
      <c r="B32" s="194" t="s">
        <v>146</v>
      </c>
      <c r="C32" s="195">
        <f>IF(C17-E17&lt;0,E17-C17,"-")</f>
        <v>584429487</v>
      </c>
      <c r="D32" s="194" t="s">
        <v>147</v>
      </c>
      <c r="E32" s="195" t="str">
        <f>IF(C17-E17&gt;0,C17-E17,"-")</f>
        <v>-</v>
      </c>
      <c r="F32" s="997"/>
    </row>
    <row r="33" spans="1:6" ht="13.5" thickBot="1" x14ac:dyDescent="0.25">
      <c r="A33" s="190" t="s">
        <v>49</v>
      </c>
      <c r="B33" s="194" t="s">
        <v>187</v>
      </c>
      <c r="C33" s="195">
        <f>IF(C31-E31&lt;0,E31-C31,"-")</f>
        <v>499437729</v>
      </c>
      <c r="D33" s="194" t="s">
        <v>188</v>
      </c>
      <c r="E33" s="195" t="str">
        <f>IF(C31-E31&gt;0,C31-E31,"-")</f>
        <v>-</v>
      </c>
      <c r="F33" s="997"/>
    </row>
    <row r="34" spans="1:6" x14ac:dyDescent="0.2">
      <c r="C34" s="567"/>
      <c r="D34" s="567"/>
      <c r="E34" s="567"/>
    </row>
    <row r="35" spans="1:6" x14ac:dyDescent="0.2">
      <c r="C35" s="567"/>
      <c r="D35" s="567"/>
      <c r="E35" s="567"/>
    </row>
    <row r="36" spans="1:6" x14ac:dyDescent="0.2">
      <c r="C36" s="567"/>
      <c r="D36" s="567"/>
      <c r="E36" s="567"/>
    </row>
    <row r="37" spans="1:6" x14ac:dyDescent="0.2">
      <c r="C37" s="567"/>
      <c r="D37" s="567"/>
      <c r="E37" s="567"/>
    </row>
    <row r="38" spans="1:6" x14ac:dyDescent="0.2">
      <c r="C38" s="567"/>
      <c r="D38" s="567"/>
      <c r="E38" s="567"/>
    </row>
    <row r="39" spans="1:6" x14ac:dyDescent="0.2">
      <c r="C39" s="567"/>
      <c r="D39" s="567"/>
      <c r="E39" s="567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11/2018.(V.31.)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2"/>
  <sheetViews>
    <sheetView view="pageLayout" topLeftCell="B1" zoomScaleNormal="100" workbookViewId="0">
      <selection activeCell="G6" sqref="G6:I6"/>
    </sheetView>
  </sheetViews>
  <sheetFormatPr defaultColWidth="9.33203125" defaultRowHeight="12.75" x14ac:dyDescent="0.2"/>
  <cols>
    <col min="1" max="1" width="61.332031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5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5.5" customHeight="1" x14ac:dyDescent="0.2">
      <c r="A1" s="1003" t="s">
        <v>11</v>
      </c>
      <c r="B1" s="1003"/>
      <c r="C1" s="1003"/>
      <c r="D1" s="1003"/>
      <c r="E1" s="1003"/>
      <c r="F1" s="1003"/>
    </row>
    <row r="2" spans="1:7" ht="22.5" customHeight="1" thickBot="1" x14ac:dyDescent="0.3">
      <c r="A2" s="93"/>
      <c r="B2" s="45"/>
      <c r="C2" s="45"/>
      <c r="D2" s="45"/>
      <c r="E2" s="45"/>
      <c r="F2" s="43" t="s">
        <v>592</v>
      </c>
    </row>
    <row r="3" spans="1:7" s="38" customFormat="1" ht="44.25" customHeight="1" thickBot="1" x14ac:dyDescent="0.25">
      <c r="A3" s="94" t="s">
        <v>69</v>
      </c>
      <c r="B3" s="95" t="s">
        <v>70</v>
      </c>
      <c r="C3" s="95" t="s">
        <v>71</v>
      </c>
      <c r="D3" s="95" t="s">
        <v>619</v>
      </c>
      <c r="E3" s="95" t="s">
        <v>617</v>
      </c>
      <c r="F3" s="44" t="s">
        <v>620</v>
      </c>
      <c r="G3" s="349"/>
    </row>
    <row r="4" spans="1:7" s="45" customFormat="1" ht="12" customHeight="1" thickBot="1" x14ac:dyDescent="0.25">
      <c r="A4" s="345">
        <v>1</v>
      </c>
      <c r="B4" s="346">
        <v>2</v>
      </c>
      <c r="C4" s="346">
        <v>3</v>
      </c>
      <c r="D4" s="346">
        <v>4</v>
      </c>
      <c r="E4" s="346">
        <v>5</v>
      </c>
      <c r="F4" s="147" t="s">
        <v>86</v>
      </c>
    </row>
    <row r="5" spans="1:7" s="513" customFormat="1" ht="15.95" customHeight="1" x14ac:dyDescent="0.2">
      <c r="A5" s="823" t="s">
        <v>641</v>
      </c>
      <c r="B5" s="824">
        <v>359410</v>
      </c>
      <c r="C5" s="634" t="s">
        <v>662</v>
      </c>
      <c r="D5" s="344"/>
      <c r="E5" s="344">
        <v>359410</v>
      </c>
      <c r="F5" s="909">
        <f t="shared" ref="F5:F77" si="0">B5-D5-E5</f>
        <v>0</v>
      </c>
    </row>
    <row r="6" spans="1:7" s="521" customFormat="1" ht="15.95" customHeight="1" x14ac:dyDescent="0.2">
      <c r="A6" s="825" t="s">
        <v>659</v>
      </c>
      <c r="B6" s="826">
        <v>2345001</v>
      </c>
      <c r="C6" s="378" t="s">
        <v>662</v>
      </c>
      <c r="D6" s="315"/>
      <c r="E6" s="315">
        <v>2345001</v>
      </c>
      <c r="F6" s="657">
        <f t="shared" si="0"/>
        <v>0</v>
      </c>
    </row>
    <row r="7" spans="1:7" s="513" customFormat="1" ht="15.95" customHeight="1" x14ac:dyDescent="0.2">
      <c r="A7" s="827" t="s">
        <v>642</v>
      </c>
      <c r="B7" s="826">
        <f>4117750+5189661</f>
        <v>9307411</v>
      </c>
      <c r="C7" s="378" t="s">
        <v>709</v>
      </c>
      <c r="D7" s="315"/>
      <c r="E7" s="315">
        <f>4117750+5189661</f>
        <v>9307411</v>
      </c>
      <c r="F7" s="657">
        <f t="shared" si="0"/>
        <v>0</v>
      </c>
    </row>
    <row r="8" spans="1:7" s="513" customFormat="1" ht="15.95" customHeight="1" x14ac:dyDescent="0.2">
      <c r="A8" s="488" t="s">
        <v>643</v>
      </c>
      <c r="B8" s="826">
        <v>214128351</v>
      </c>
      <c r="C8" s="378" t="s">
        <v>709</v>
      </c>
      <c r="D8" s="315"/>
      <c r="E8" s="315">
        <v>214128351</v>
      </c>
      <c r="F8" s="890">
        <f t="shared" si="0"/>
        <v>0</v>
      </c>
    </row>
    <row r="9" spans="1:7" s="516" customFormat="1" ht="25.5" customHeight="1" x14ac:dyDescent="0.2">
      <c r="A9" s="827" t="s">
        <v>644</v>
      </c>
      <c r="B9" s="826">
        <v>762000</v>
      </c>
      <c r="C9" s="378" t="s">
        <v>662</v>
      </c>
      <c r="D9" s="315"/>
      <c r="E9" s="315">
        <v>762000</v>
      </c>
      <c r="F9" s="657">
        <f t="shared" si="0"/>
        <v>0</v>
      </c>
    </row>
    <row r="10" spans="1:7" s="513" customFormat="1" ht="15.95" customHeight="1" x14ac:dyDescent="0.2">
      <c r="A10" s="635" t="s">
        <v>645</v>
      </c>
      <c r="B10" s="826">
        <v>12873483</v>
      </c>
      <c r="C10" s="378" t="s">
        <v>709</v>
      </c>
      <c r="D10" s="286"/>
      <c r="E10" s="286">
        <v>12873483</v>
      </c>
      <c r="F10" s="890">
        <f t="shared" si="0"/>
        <v>0</v>
      </c>
    </row>
    <row r="11" spans="1:7" s="513" customFormat="1" ht="18.75" customHeight="1" x14ac:dyDescent="0.2">
      <c r="A11" s="825" t="s">
        <v>646</v>
      </c>
      <c r="B11" s="826">
        <v>381000</v>
      </c>
      <c r="C11" s="378" t="s">
        <v>662</v>
      </c>
      <c r="D11" s="315"/>
      <c r="E11" s="315">
        <v>381000</v>
      </c>
      <c r="F11" s="657">
        <f t="shared" si="0"/>
        <v>0</v>
      </c>
    </row>
    <row r="12" spans="1:7" s="513" customFormat="1" ht="15.95" customHeight="1" x14ac:dyDescent="0.2">
      <c r="A12" s="828" t="s">
        <v>647</v>
      </c>
      <c r="B12" s="829">
        <v>1500000</v>
      </c>
      <c r="C12" s="378" t="s">
        <v>662</v>
      </c>
      <c r="D12" s="636"/>
      <c r="E12" s="570">
        <v>1500000</v>
      </c>
      <c r="F12" s="910"/>
    </row>
    <row r="13" spans="1:7" s="513" customFormat="1" ht="15.95" customHeight="1" x14ac:dyDescent="0.2">
      <c r="A13" s="825" t="s">
        <v>723</v>
      </c>
      <c r="B13" s="826">
        <v>1422400</v>
      </c>
      <c r="C13" s="378" t="s">
        <v>662</v>
      </c>
      <c r="D13" s="911"/>
      <c r="E13" s="315">
        <v>1422400</v>
      </c>
      <c r="F13" s="657">
        <f>B12-D12-E12</f>
        <v>0</v>
      </c>
    </row>
    <row r="14" spans="1:7" s="513" customFormat="1" ht="15.95" customHeight="1" x14ac:dyDescent="0.2">
      <c r="A14" s="825" t="s">
        <v>724</v>
      </c>
      <c r="B14" s="826">
        <v>457200</v>
      </c>
      <c r="C14" s="378" t="s">
        <v>662</v>
      </c>
      <c r="D14" s="911"/>
      <c r="E14" s="315">
        <v>457200</v>
      </c>
      <c r="F14" s="657">
        <f t="shared" si="0"/>
        <v>0</v>
      </c>
    </row>
    <row r="15" spans="1:7" s="513" customFormat="1" ht="15.95" customHeight="1" x14ac:dyDescent="0.2">
      <c r="A15" s="828" t="s">
        <v>660</v>
      </c>
      <c r="B15" s="829">
        <v>2740000</v>
      </c>
      <c r="C15" s="378" t="s">
        <v>662</v>
      </c>
      <c r="D15" s="570"/>
      <c r="E15" s="570">
        <v>2740000</v>
      </c>
      <c r="F15" s="890">
        <f t="shared" si="0"/>
        <v>0</v>
      </c>
    </row>
    <row r="16" spans="1:7" s="513" customFormat="1" ht="15.95" customHeight="1" x14ac:dyDescent="0.2">
      <c r="A16" s="827" t="s">
        <v>648</v>
      </c>
      <c r="B16" s="829">
        <v>374185</v>
      </c>
      <c r="C16" s="378" t="s">
        <v>662</v>
      </c>
      <c r="D16" s="570"/>
      <c r="E16" s="570">
        <v>374185</v>
      </c>
      <c r="F16" s="890">
        <f t="shared" si="0"/>
        <v>0</v>
      </c>
    </row>
    <row r="17" spans="1:6" s="513" customFormat="1" ht="15.95" customHeight="1" x14ac:dyDescent="0.2">
      <c r="A17" s="825" t="s">
        <v>649</v>
      </c>
      <c r="B17" s="826">
        <v>25400</v>
      </c>
      <c r="C17" s="378" t="s">
        <v>662</v>
      </c>
      <c r="D17" s="315"/>
      <c r="E17" s="315">
        <v>25400</v>
      </c>
      <c r="F17" s="657">
        <f t="shared" si="0"/>
        <v>0</v>
      </c>
    </row>
    <row r="18" spans="1:6" s="513" customFormat="1" ht="21.75" customHeight="1" x14ac:dyDescent="0.2">
      <c r="A18" s="970" t="s">
        <v>747</v>
      </c>
      <c r="B18" s="826">
        <v>275000</v>
      </c>
      <c r="C18" s="378" t="s">
        <v>662</v>
      </c>
      <c r="D18" s="315"/>
      <c r="E18" s="315">
        <v>275000</v>
      </c>
      <c r="F18" s="657">
        <f t="shared" si="0"/>
        <v>0</v>
      </c>
    </row>
    <row r="19" spans="1:6" s="513" customFormat="1" ht="15.95" customHeight="1" x14ac:dyDescent="0.2">
      <c r="A19" s="830" t="s">
        <v>650</v>
      </c>
      <c r="B19" s="829">
        <v>254000</v>
      </c>
      <c r="C19" s="378" t="s">
        <v>662</v>
      </c>
      <c r="D19" s="570"/>
      <c r="E19" s="315">
        <v>254000</v>
      </c>
      <c r="F19" s="890">
        <f t="shared" si="0"/>
        <v>0</v>
      </c>
    </row>
    <row r="20" spans="1:6" s="513" customFormat="1" ht="15.95" customHeight="1" x14ac:dyDescent="0.2">
      <c r="A20" s="830" t="s">
        <v>651</v>
      </c>
      <c r="B20" s="829">
        <f>75588869-1863013-14128085-879687</f>
        <v>58718084</v>
      </c>
      <c r="C20" s="378" t="s">
        <v>709</v>
      </c>
      <c r="D20" s="315">
        <f>25930681-472408-20930495</f>
        <v>4527778</v>
      </c>
      <c r="E20" s="315">
        <f>33259811+20930495</f>
        <v>54190306</v>
      </c>
      <c r="F20" s="890">
        <f t="shared" si="0"/>
        <v>0</v>
      </c>
    </row>
    <row r="21" spans="1:6" s="516" customFormat="1" ht="15.75" customHeight="1" x14ac:dyDescent="0.2">
      <c r="A21" s="830" t="s">
        <v>652</v>
      </c>
      <c r="B21" s="831">
        <v>381000</v>
      </c>
      <c r="C21" s="378" t="s">
        <v>662</v>
      </c>
      <c r="D21" s="570"/>
      <c r="E21" s="570">
        <v>381000</v>
      </c>
      <c r="F21" s="890">
        <f t="shared" si="0"/>
        <v>0</v>
      </c>
    </row>
    <row r="22" spans="1:6" s="516" customFormat="1" ht="15.75" customHeight="1" x14ac:dyDescent="0.2">
      <c r="A22" s="830" t="s">
        <v>653</v>
      </c>
      <c r="B22" s="831">
        <v>377190</v>
      </c>
      <c r="C22" s="378" t="s">
        <v>662</v>
      </c>
      <c r="D22" s="570"/>
      <c r="E22" s="315">
        <v>377190</v>
      </c>
      <c r="F22" s="657">
        <f t="shared" si="0"/>
        <v>0</v>
      </c>
    </row>
    <row r="23" spans="1:6" s="513" customFormat="1" ht="15.75" customHeight="1" x14ac:dyDescent="0.2">
      <c r="A23" s="830" t="s">
        <v>654</v>
      </c>
      <c r="B23" s="831">
        <v>2338070</v>
      </c>
      <c r="C23" s="378" t="s">
        <v>662</v>
      </c>
      <c r="D23" s="570"/>
      <c r="E23" s="315">
        <v>2338070</v>
      </c>
      <c r="F23" s="657">
        <f t="shared" si="0"/>
        <v>0</v>
      </c>
    </row>
    <row r="24" spans="1:6" s="513" customFormat="1" ht="15.75" customHeight="1" x14ac:dyDescent="0.2">
      <c r="A24" s="830" t="s">
        <v>655</v>
      </c>
      <c r="B24" s="831">
        <v>4950460</v>
      </c>
      <c r="C24" s="378" t="s">
        <v>662</v>
      </c>
      <c r="D24" s="570"/>
      <c r="E24" s="570">
        <v>4950460</v>
      </c>
      <c r="F24" s="890">
        <f t="shared" si="0"/>
        <v>0</v>
      </c>
    </row>
    <row r="25" spans="1:6" s="513" customFormat="1" ht="15.75" customHeight="1" x14ac:dyDescent="0.2">
      <c r="A25" s="912" t="s">
        <v>725</v>
      </c>
      <c r="B25" s="913">
        <v>3000</v>
      </c>
      <c r="C25" s="378" t="s">
        <v>662</v>
      </c>
      <c r="D25" s="315"/>
      <c r="E25" s="315">
        <v>3000</v>
      </c>
      <c r="F25" s="890">
        <f t="shared" si="0"/>
        <v>0</v>
      </c>
    </row>
    <row r="26" spans="1:6" s="513" customFormat="1" ht="15.75" customHeight="1" x14ac:dyDescent="0.2">
      <c r="A26" s="855" t="s">
        <v>737</v>
      </c>
      <c r="B26" s="856">
        <v>6704583</v>
      </c>
      <c r="C26" s="854" t="s">
        <v>662</v>
      </c>
      <c r="D26" s="514"/>
      <c r="E26" s="514">
        <v>6704583</v>
      </c>
      <c r="F26" s="517">
        <f t="shared" si="0"/>
        <v>0</v>
      </c>
    </row>
    <row r="27" spans="1:6" s="516" customFormat="1" ht="15.75" customHeight="1" x14ac:dyDescent="0.2">
      <c r="A27" s="832" t="s">
        <v>583</v>
      </c>
      <c r="B27" s="829"/>
      <c r="C27" s="378"/>
      <c r="D27" s="570"/>
      <c r="E27" s="570"/>
      <c r="F27" s="890">
        <f t="shared" si="0"/>
        <v>0</v>
      </c>
    </row>
    <row r="28" spans="1:6" s="513" customFormat="1" ht="15.75" customHeight="1" x14ac:dyDescent="0.2">
      <c r="A28" s="991" t="s">
        <v>746</v>
      </c>
      <c r="B28" s="829">
        <v>1153160</v>
      </c>
      <c r="C28" s="378" t="s">
        <v>662</v>
      </c>
      <c r="D28" s="570"/>
      <c r="E28" s="570">
        <v>1153160</v>
      </c>
      <c r="F28" s="890">
        <f t="shared" si="0"/>
        <v>0</v>
      </c>
    </row>
    <row r="29" spans="1:6" s="513" customFormat="1" ht="15.75" customHeight="1" x14ac:dyDescent="0.2">
      <c r="A29" s="833" t="s">
        <v>656</v>
      </c>
      <c r="B29" s="834">
        <v>840740</v>
      </c>
      <c r="C29" s="378" t="s">
        <v>662</v>
      </c>
      <c r="D29" s="570"/>
      <c r="E29" s="570">
        <v>840740</v>
      </c>
      <c r="F29" s="891">
        <f t="shared" si="0"/>
        <v>0</v>
      </c>
    </row>
    <row r="30" spans="1:6" s="516" customFormat="1" ht="15.75" customHeight="1" x14ac:dyDescent="0.2">
      <c r="A30" s="833" t="s">
        <v>657</v>
      </c>
      <c r="B30" s="834">
        <v>2000250</v>
      </c>
      <c r="C30" s="378" t="s">
        <v>662</v>
      </c>
      <c r="D30" s="570"/>
      <c r="E30" s="570">
        <v>2000250</v>
      </c>
      <c r="F30" s="891">
        <f t="shared" si="0"/>
        <v>0</v>
      </c>
    </row>
    <row r="31" spans="1:6" s="513" customFormat="1" ht="15.75" customHeight="1" thickBot="1" x14ac:dyDescent="0.25">
      <c r="A31" s="833" t="s">
        <v>658</v>
      </c>
      <c r="B31" s="834">
        <v>925830</v>
      </c>
      <c r="C31" s="378" t="s">
        <v>662</v>
      </c>
      <c r="D31" s="570"/>
      <c r="E31" s="570">
        <v>925830</v>
      </c>
      <c r="F31" s="891">
        <f t="shared" si="0"/>
        <v>0</v>
      </c>
    </row>
    <row r="32" spans="1:6" s="516" customFormat="1" ht="15.75" customHeight="1" x14ac:dyDescent="0.2">
      <c r="A32" s="892" t="s">
        <v>560</v>
      </c>
      <c r="B32" s="914"/>
      <c r="C32" s="915"/>
      <c r="D32" s="916"/>
      <c r="E32" s="916"/>
      <c r="F32" s="917">
        <f t="shared" si="0"/>
        <v>0</v>
      </c>
    </row>
    <row r="33" spans="1:6" s="513" customFormat="1" ht="15.75" customHeight="1" x14ac:dyDescent="0.2">
      <c r="A33" s="673" t="s">
        <v>661</v>
      </c>
      <c r="B33" s="674">
        <v>300000</v>
      </c>
      <c r="C33" s="675" t="s">
        <v>662</v>
      </c>
      <c r="D33" s="676"/>
      <c r="E33" s="676">
        <v>300000</v>
      </c>
      <c r="F33" s="657">
        <f t="shared" si="0"/>
        <v>0</v>
      </c>
    </row>
    <row r="34" spans="1:6" s="516" customFormat="1" ht="15.75" customHeight="1" x14ac:dyDescent="0.2">
      <c r="A34" s="673" t="s">
        <v>663</v>
      </c>
      <c r="B34" s="674">
        <v>350000</v>
      </c>
      <c r="C34" s="675" t="s">
        <v>662</v>
      </c>
      <c r="D34" s="676"/>
      <c r="E34" s="676">
        <v>350000</v>
      </c>
      <c r="F34" s="657">
        <f t="shared" si="0"/>
        <v>0</v>
      </c>
    </row>
    <row r="35" spans="1:6" s="513" customFormat="1" ht="15.75" customHeight="1" x14ac:dyDescent="0.2">
      <c r="A35" s="893" t="s">
        <v>664</v>
      </c>
      <c r="B35" s="678">
        <v>150000</v>
      </c>
      <c r="C35" s="656" t="s">
        <v>662</v>
      </c>
      <c r="D35" s="679"/>
      <c r="E35" s="679">
        <v>150000</v>
      </c>
      <c r="F35" s="657">
        <f t="shared" si="0"/>
        <v>0</v>
      </c>
    </row>
    <row r="36" spans="1:6" s="516" customFormat="1" ht="15.75" customHeight="1" x14ac:dyDescent="0.2">
      <c r="A36" s="918" t="s">
        <v>665</v>
      </c>
      <c r="B36" s="674">
        <v>83960</v>
      </c>
      <c r="C36" s="675" t="s">
        <v>662</v>
      </c>
      <c r="D36" s="676"/>
      <c r="E36" s="676">
        <v>83960</v>
      </c>
      <c r="F36" s="657">
        <f t="shared" si="0"/>
        <v>0</v>
      </c>
    </row>
    <row r="37" spans="1:6" s="521" customFormat="1" ht="15.75" customHeight="1" x14ac:dyDescent="0.2">
      <c r="A37" s="918" t="s">
        <v>726</v>
      </c>
      <c r="B37" s="674">
        <v>16040</v>
      </c>
      <c r="C37" s="675" t="s">
        <v>662</v>
      </c>
      <c r="D37" s="676"/>
      <c r="E37" s="676">
        <v>16040</v>
      </c>
      <c r="F37" s="657">
        <f t="shared" si="0"/>
        <v>0</v>
      </c>
    </row>
    <row r="38" spans="1:6" s="516" customFormat="1" ht="15.75" customHeight="1" x14ac:dyDescent="0.2">
      <c r="A38" s="919" t="s">
        <v>666</v>
      </c>
      <c r="B38" s="674">
        <v>180000</v>
      </c>
      <c r="C38" s="675" t="s">
        <v>709</v>
      </c>
      <c r="D38" s="676">
        <v>0</v>
      </c>
      <c r="E38" s="676">
        <v>180000</v>
      </c>
      <c r="F38" s="657">
        <f t="shared" si="0"/>
        <v>0</v>
      </c>
    </row>
    <row r="39" spans="1:6" s="513" customFormat="1" ht="15.75" customHeight="1" x14ac:dyDescent="0.2">
      <c r="A39" s="894" t="s">
        <v>667</v>
      </c>
      <c r="B39" s="674">
        <v>149000</v>
      </c>
      <c r="C39" s="656" t="s">
        <v>662</v>
      </c>
      <c r="D39" s="676"/>
      <c r="E39" s="676">
        <v>149000</v>
      </c>
      <c r="F39" s="890">
        <f t="shared" si="0"/>
        <v>0</v>
      </c>
    </row>
    <row r="40" spans="1:6" s="521" customFormat="1" ht="15.75" customHeight="1" x14ac:dyDescent="0.2">
      <c r="A40" s="929" t="s">
        <v>704</v>
      </c>
      <c r="B40" s="857">
        <v>40000</v>
      </c>
      <c r="C40" s="835" t="s">
        <v>662</v>
      </c>
      <c r="D40" s="858"/>
      <c r="E40" s="858">
        <v>40000</v>
      </c>
      <c r="F40" s="515">
        <f t="shared" si="0"/>
        <v>0</v>
      </c>
    </row>
    <row r="41" spans="1:6" s="513" customFormat="1" ht="15.75" customHeight="1" x14ac:dyDescent="0.2">
      <c r="A41" s="895" t="s">
        <v>411</v>
      </c>
      <c r="B41" s="674"/>
      <c r="C41" s="656"/>
      <c r="D41" s="676"/>
      <c r="E41" s="676"/>
      <c r="F41" s="657">
        <f t="shared" si="0"/>
        <v>0</v>
      </c>
    </row>
    <row r="42" spans="1:6" s="513" customFormat="1" ht="15.75" customHeight="1" x14ac:dyDescent="0.2">
      <c r="A42" s="896" t="s">
        <v>668</v>
      </c>
      <c r="B42" s="678">
        <v>1290385</v>
      </c>
      <c r="C42" s="656" t="s">
        <v>662</v>
      </c>
      <c r="D42" s="897"/>
      <c r="E42" s="679">
        <v>1290385</v>
      </c>
      <c r="F42" s="890">
        <f t="shared" si="0"/>
        <v>0</v>
      </c>
    </row>
    <row r="43" spans="1:6" s="518" customFormat="1" ht="15.75" customHeight="1" x14ac:dyDescent="0.2">
      <c r="A43" s="896" t="s">
        <v>669</v>
      </c>
      <c r="B43" s="678">
        <v>254000</v>
      </c>
      <c r="C43" s="656" t="s">
        <v>662</v>
      </c>
      <c r="D43" s="679"/>
      <c r="E43" s="679">
        <v>254000</v>
      </c>
      <c r="F43" s="890">
        <f t="shared" si="0"/>
        <v>0</v>
      </c>
    </row>
    <row r="44" spans="1:6" s="513" customFormat="1" ht="15.75" customHeight="1" x14ac:dyDescent="0.2">
      <c r="A44" s="896" t="s">
        <v>670</v>
      </c>
      <c r="B44" s="678">
        <v>38100</v>
      </c>
      <c r="C44" s="656" t="s">
        <v>662</v>
      </c>
      <c r="D44" s="679"/>
      <c r="E44" s="679">
        <v>38100</v>
      </c>
      <c r="F44" s="890">
        <f t="shared" si="0"/>
        <v>0</v>
      </c>
    </row>
    <row r="45" spans="1:6" s="516" customFormat="1" ht="15.75" customHeight="1" x14ac:dyDescent="0.2">
      <c r="A45" s="919" t="s">
        <v>671</v>
      </c>
      <c r="B45" s="678">
        <v>89445</v>
      </c>
      <c r="C45" s="656" t="s">
        <v>662</v>
      </c>
      <c r="D45" s="679"/>
      <c r="E45" s="679">
        <v>89445</v>
      </c>
      <c r="F45" s="890">
        <f t="shared" si="0"/>
        <v>0</v>
      </c>
    </row>
    <row r="46" spans="1:6" s="519" customFormat="1" ht="18.75" customHeight="1" x14ac:dyDescent="0.2">
      <c r="A46" s="898" t="s">
        <v>672</v>
      </c>
      <c r="B46" s="678">
        <v>234950</v>
      </c>
      <c r="C46" s="656" t="s">
        <v>662</v>
      </c>
      <c r="D46" s="679"/>
      <c r="E46" s="679">
        <v>234950</v>
      </c>
      <c r="F46" s="890">
        <f t="shared" si="0"/>
        <v>0</v>
      </c>
    </row>
    <row r="47" spans="1:6" s="513" customFormat="1" ht="16.5" customHeight="1" x14ac:dyDescent="0.2">
      <c r="A47" s="683" t="s">
        <v>673</v>
      </c>
      <c r="B47" s="678">
        <v>190500</v>
      </c>
      <c r="C47" s="656" t="s">
        <v>662</v>
      </c>
      <c r="D47" s="679"/>
      <c r="E47" s="679">
        <v>190500</v>
      </c>
      <c r="F47" s="890">
        <f t="shared" si="0"/>
        <v>0</v>
      </c>
    </row>
    <row r="48" spans="1:6" s="513" customFormat="1" ht="16.5" customHeight="1" x14ac:dyDescent="0.2">
      <c r="A48" s="899" t="s">
        <v>674</v>
      </c>
      <c r="B48" s="678"/>
      <c r="C48" s="656"/>
      <c r="D48" s="679"/>
      <c r="E48" s="679"/>
      <c r="F48" s="890">
        <f t="shared" si="0"/>
        <v>0</v>
      </c>
    </row>
    <row r="49" spans="1:6" s="520" customFormat="1" ht="16.5" customHeight="1" x14ac:dyDescent="0.2">
      <c r="A49" s="683" t="s">
        <v>675</v>
      </c>
      <c r="B49" s="678">
        <v>300000</v>
      </c>
      <c r="C49" s="656" t="s">
        <v>662</v>
      </c>
      <c r="D49" s="679"/>
      <c r="E49" s="679">
        <v>300000</v>
      </c>
      <c r="F49" s="890">
        <f t="shared" si="0"/>
        <v>0</v>
      </c>
    </row>
    <row r="50" spans="1:6" s="521" customFormat="1" ht="22.5" customHeight="1" x14ac:dyDescent="0.2">
      <c r="A50" s="683" t="s">
        <v>676</v>
      </c>
      <c r="B50" s="678">
        <v>14500</v>
      </c>
      <c r="C50" s="656" t="s">
        <v>662</v>
      </c>
      <c r="D50" s="679"/>
      <c r="E50" s="679">
        <v>14500</v>
      </c>
      <c r="F50" s="890">
        <f t="shared" si="0"/>
        <v>0</v>
      </c>
    </row>
    <row r="51" spans="1:6" s="516" customFormat="1" ht="22.5" customHeight="1" x14ac:dyDescent="0.2">
      <c r="A51" s="683" t="s">
        <v>677</v>
      </c>
      <c r="B51" s="678">
        <v>500000</v>
      </c>
      <c r="C51" s="656" t="s">
        <v>662</v>
      </c>
      <c r="D51" s="679"/>
      <c r="E51" s="679">
        <v>500000</v>
      </c>
      <c r="F51" s="890">
        <f t="shared" si="0"/>
        <v>0</v>
      </c>
    </row>
    <row r="52" spans="1:6" s="516" customFormat="1" ht="22.5" customHeight="1" x14ac:dyDescent="0.2">
      <c r="A52" s="683" t="s">
        <v>678</v>
      </c>
      <c r="B52" s="678">
        <v>60000</v>
      </c>
      <c r="C52" s="656" t="s">
        <v>662</v>
      </c>
      <c r="D52" s="679"/>
      <c r="E52" s="679">
        <v>60000</v>
      </c>
      <c r="F52" s="890">
        <f t="shared" si="0"/>
        <v>0</v>
      </c>
    </row>
    <row r="53" spans="1:6" s="521" customFormat="1" ht="22.5" customHeight="1" x14ac:dyDescent="0.2">
      <c r="A53" s="683" t="s">
        <v>679</v>
      </c>
      <c r="B53" s="678">
        <v>35000</v>
      </c>
      <c r="C53" s="656" t="s">
        <v>662</v>
      </c>
      <c r="D53" s="679"/>
      <c r="E53" s="679">
        <v>35000</v>
      </c>
      <c r="F53" s="890">
        <f t="shared" si="0"/>
        <v>0</v>
      </c>
    </row>
    <row r="54" spans="1:6" s="521" customFormat="1" ht="22.5" customHeight="1" x14ac:dyDescent="0.2">
      <c r="A54" s="683" t="s">
        <v>680</v>
      </c>
      <c r="B54" s="678">
        <v>90000</v>
      </c>
      <c r="C54" s="656" t="s">
        <v>662</v>
      </c>
      <c r="D54" s="679"/>
      <c r="E54" s="679">
        <v>90000</v>
      </c>
      <c r="F54" s="890">
        <f t="shared" si="0"/>
        <v>0</v>
      </c>
    </row>
    <row r="55" spans="1:6" s="521" customFormat="1" ht="22.5" customHeight="1" x14ac:dyDescent="0.2">
      <c r="A55" s="683" t="s">
        <v>681</v>
      </c>
      <c r="B55" s="678">
        <v>30000</v>
      </c>
      <c r="C55" s="656" t="s">
        <v>662</v>
      </c>
      <c r="D55" s="679"/>
      <c r="E55" s="679">
        <v>30000</v>
      </c>
      <c r="F55" s="890">
        <f t="shared" si="0"/>
        <v>0</v>
      </c>
    </row>
    <row r="56" spans="1:6" s="521" customFormat="1" ht="22.5" customHeight="1" x14ac:dyDescent="0.2">
      <c r="A56" s="683" t="s">
        <v>682</v>
      </c>
      <c r="B56" s="678">
        <v>37000</v>
      </c>
      <c r="C56" s="656" t="s">
        <v>662</v>
      </c>
      <c r="D56" s="679"/>
      <c r="E56" s="679">
        <v>37000</v>
      </c>
      <c r="F56" s="890">
        <f t="shared" si="0"/>
        <v>0</v>
      </c>
    </row>
    <row r="57" spans="1:6" s="513" customFormat="1" ht="21" customHeight="1" x14ac:dyDescent="0.2">
      <c r="A57" s="900" t="s">
        <v>683</v>
      </c>
      <c r="B57" s="678">
        <v>1612204</v>
      </c>
      <c r="C57" s="656" t="s">
        <v>662</v>
      </c>
      <c r="D57" s="679"/>
      <c r="E57" s="679">
        <v>1612204</v>
      </c>
      <c r="F57" s="890">
        <f t="shared" si="0"/>
        <v>0</v>
      </c>
    </row>
    <row r="58" spans="1:6" s="516" customFormat="1" ht="21" customHeight="1" x14ac:dyDescent="0.2">
      <c r="A58" s="677" t="s">
        <v>684</v>
      </c>
      <c r="B58" s="568"/>
      <c r="C58" s="569"/>
      <c r="D58" s="570"/>
      <c r="E58" s="570"/>
      <c r="F58" s="890">
        <f t="shared" si="0"/>
        <v>0</v>
      </c>
    </row>
    <row r="59" spans="1:6" s="516" customFormat="1" ht="21" customHeight="1" x14ac:dyDescent="0.2">
      <c r="A59" s="899" t="s">
        <v>685</v>
      </c>
      <c r="B59" s="568"/>
      <c r="C59" s="569"/>
      <c r="D59" s="570"/>
      <c r="E59" s="570"/>
      <c r="F59" s="890">
        <f t="shared" si="0"/>
        <v>0</v>
      </c>
    </row>
    <row r="60" spans="1:6" s="516" customFormat="1" ht="24" customHeight="1" x14ac:dyDescent="0.2">
      <c r="A60" s="898" t="s">
        <v>686</v>
      </c>
      <c r="B60" s="901">
        <v>380000</v>
      </c>
      <c r="C60" s="656" t="s">
        <v>662</v>
      </c>
      <c r="D60" s="570"/>
      <c r="E60" s="902">
        <v>380000</v>
      </c>
      <c r="F60" s="890">
        <f t="shared" si="0"/>
        <v>0</v>
      </c>
    </row>
    <row r="61" spans="1:6" s="516" customFormat="1" x14ac:dyDescent="0.2">
      <c r="A61" s="683" t="s">
        <v>687</v>
      </c>
      <c r="B61" s="901">
        <v>40000</v>
      </c>
      <c r="C61" s="656" t="s">
        <v>662</v>
      </c>
      <c r="D61" s="570"/>
      <c r="E61" s="902">
        <v>40000</v>
      </c>
      <c r="F61" s="890">
        <f t="shared" si="0"/>
        <v>0</v>
      </c>
    </row>
    <row r="62" spans="1:6" s="516" customFormat="1" x14ac:dyDescent="0.2">
      <c r="A62" s="683" t="s">
        <v>688</v>
      </c>
      <c r="B62" s="901">
        <v>5000</v>
      </c>
      <c r="C62" s="656" t="s">
        <v>662</v>
      </c>
      <c r="D62" s="570"/>
      <c r="E62" s="902">
        <v>5000</v>
      </c>
      <c r="F62" s="890">
        <f t="shared" si="0"/>
        <v>0</v>
      </c>
    </row>
    <row r="63" spans="1:6" s="516" customFormat="1" x14ac:dyDescent="0.2">
      <c r="A63" s="899" t="s">
        <v>689</v>
      </c>
      <c r="B63" s="901"/>
      <c r="C63" s="656"/>
      <c r="D63" s="570"/>
      <c r="E63" s="902"/>
      <c r="F63" s="890">
        <f t="shared" si="0"/>
        <v>0</v>
      </c>
    </row>
    <row r="64" spans="1:6" s="521" customFormat="1" x14ac:dyDescent="0.2">
      <c r="A64" s="683" t="s">
        <v>727</v>
      </c>
      <c r="B64" s="901">
        <v>116080</v>
      </c>
      <c r="C64" s="656" t="s">
        <v>662</v>
      </c>
      <c r="D64" s="570"/>
      <c r="E64" s="902">
        <v>116080</v>
      </c>
      <c r="F64" s="890"/>
    </row>
    <row r="65" spans="1:6" s="521" customFormat="1" x14ac:dyDescent="0.2">
      <c r="A65" s="683" t="s">
        <v>690</v>
      </c>
      <c r="B65" s="901">
        <v>53253</v>
      </c>
      <c r="C65" s="656" t="s">
        <v>662</v>
      </c>
      <c r="D65" s="570"/>
      <c r="E65" s="902">
        <v>53253</v>
      </c>
      <c r="F65" s="890"/>
    </row>
    <row r="66" spans="1:6" s="513" customFormat="1" ht="21" customHeight="1" x14ac:dyDescent="0.2">
      <c r="A66" s="683" t="s">
        <v>691</v>
      </c>
      <c r="B66" s="901">
        <v>70000</v>
      </c>
      <c r="C66" s="656" t="s">
        <v>662</v>
      </c>
      <c r="D66" s="570"/>
      <c r="E66" s="902">
        <v>70000</v>
      </c>
      <c r="F66" s="890">
        <f t="shared" si="0"/>
        <v>0</v>
      </c>
    </row>
    <row r="67" spans="1:6" s="521" customFormat="1" ht="19.5" customHeight="1" x14ac:dyDescent="0.2">
      <c r="A67" s="683" t="s">
        <v>692</v>
      </c>
      <c r="B67" s="901">
        <v>120000</v>
      </c>
      <c r="C67" s="656" t="s">
        <v>662</v>
      </c>
      <c r="D67" s="570"/>
      <c r="E67" s="902">
        <v>120000</v>
      </c>
      <c r="F67" s="890">
        <f t="shared" si="0"/>
        <v>0</v>
      </c>
    </row>
    <row r="68" spans="1:6" s="521" customFormat="1" ht="19.5" customHeight="1" x14ac:dyDescent="0.2">
      <c r="A68" s="899" t="s">
        <v>693</v>
      </c>
      <c r="B68" s="568"/>
      <c r="C68" s="569"/>
      <c r="D68" s="570"/>
      <c r="E68" s="570"/>
      <c r="F68" s="890">
        <f t="shared" si="0"/>
        <v>0</v>
      </c>
    </row>
    <row r="69" spans="1:6" s="521" customFormat="1" ht="19.5" customHeight="1" x14ac:dyDescent="0.2">
      <c r="A69" s="683" t="s">
        <v>692</v>
      </c>
      <c r="B69" s="678">
        <v>100000</v>
      </c>
      <c r="C69" s="656" t="s">
        <v>662</v>
      </c>
      <c r="D69" s="679"/>
      <c r="E69" s="679">
        <v>100000</v>
      </c>
      <c r="F69" s="903">
        <f t="shared" si="0"/>
        <v>0</v>
      </c>
    </row>
    <row r="70" spans="1:6" s="521" customFormat="1" ht="19.5" customHeight="1" x14ac:dyDescent="0.2">
      <c r="A70" s="683" t="s">
        <v>694</v>
      </c>
      <c r="B70" s="678">
        <v>33000</v>
      </c>
      <c r="C70" s="656" t="s">
        <v>662</v>
      </c>
      <c r="D70" s="679"/>
      <c r="E70" s="679">
        <v>33000</v>
      </c>
      <c r="F70" s="903">
        <f t="shared" si="0"/>
        <v>0</v>
      </c>
    </row>
    <row r="71" spans="1:6" s="521" customFormat="1" ht="19.5" customHeight="1" x14ac:dyDescent="0.2">
      <c r="A71" s="683" t="s">
        <v>728</v>
      </c>
      <c r="B71" s="678">
        <v>28053</v>
      </c>
      <c r="C71" s="656" t="s">
        <v>662</v>
      </c>
      <c r="D71" s="679"/>
      <c r="E71" s="679">
        <v>28053</v>
      </c>
      <c r="F71" s="903"/>
    </row>
    <row r="72" spans="1:6" s="521" customFormat="1" ht="19.5" customHeight="1" x14ac:dyDescent="0.2">
      <c r="A72" s="904" t="s">
        <v>695</v>
      </c>
      <c r="B72" s="678">
        <v>2072918</v>
      </c>
      <c r="C72" s="656" t="s">
        <v>662</v>
      </c>
      <c r="D72" s="679"/>
      <c r="E72" s="679">
        <v>2072918</v>
      </c>
      <c r="F72" s="903">
        <f t="shared" si="0"/>
        <v>0</v>
      </c>
    </row>
    <row r="73" spans="1:6" s="862" customFormat="1" ht="18" customHeight="1" x14ac:dyDescent="0.2">
      <c r="A73" s="904" t="s">
        <v>729</v>
      </c>
      <c r="B73" s="678">
        <v>28364</v>
      </c>
      <c r="C73" s="656" t="s">
        <v>662</v>
      </c>
      <c r="D73" s="679"/>
      <c r="E73" s="679">
        <v>28364</v>
      </c>
      <c r="F73" s="903">
        <f t="shared" si="0"/>
        <v>0</v>
      </c>
    </row>
    <row r="74" spans="1:6" s="862" customFormat="1" ht="18" customHeight="1" x14ac:dyDescent="0.2">
      <c r="A74" s="904" t="s">
        <v>730</v>
      </c>
      <c r="B74" s="678">
        <v>24250</v>
      </c>
      <c r="C74" s="656" t="s">
        <v>662</v>
      </c>
      <c r="D74" s="679"/>
      <c r="E74" s="679">
        <v>24250</v>
      </c>
      <c r="F74" s="903">
        <f t="shared" si="0"/>
        <v>0</v>
      </c>
    </row>
    <row r="75" spans="1:6" s="862" customFormat="1" ht="18" customHeight="1" x14ac:dyDescent="0.2">
      <c r="A75" s="904" t="s">
        <v>731</v>
      </c>
      <c r="B75" s="678">
        <v>599137</v>
      </c>
      <c r="C75" s="656" t="s">
        <v>662</v>
      </c>
      <c r="D75" s="679"/>
      <c r="E75" s="679">
        <v>599137</v>
      </c>
      <c r="F75" s="890">
        <f t="shared" si="0"/>
        <v>0</v>
      </c>
    </row>
    <row r="76" spans="1:6" x14ac:dyDescent="0.2">
      <c r="A76" s="904" t="s">
        <v>696</v>
      </c>
      <c r="B76" s="678">
        <v>29000</v>
      </c>
      <c r="C76" s="656" t="s">
        <v>662</v>
      </c>
      <c r="D76" s="679"/>
      <c r="E76" s="679">
        <v>29000</v>
      </c>
      <c r="F76" s="903">
        <f t="shared" si="0"/>
        <v>0</v>
      </c>
    </row>
    <row r="77" spans="1:6" s="521" customFormat="1" x14ac:dyDescent="0.2">
      <c r="A77" s="928" t="s">
        <v>697</v>
      </c>
      <c r="B77" s="860">
        <f>5000000-646525</f>
        <v>4353475</v>
      </c>
      <c r="C77" s="859" t="s">
        <v>662</v>
      </c>
      <c r="D77" s="861"/>
      <c r="E77" s="861">
        <v>4353475</v>
      </c>
      <c r="F77" s="682">
        <f t="shared" si="0"/>
        <v>0</v>
      </c>
    </row>
    <row r="78" spans="1:6" ht="25.5" x14ac:dyDescent="0.2">
      <c r="A78" s="905" t="s">
        <v>698</v>
      </c>
      <c r="B78" s="678">
        <v>102700</v>
      </c>
      <c r="C78" s="656" t="s">
        <v>662</v>
      </c>
      <c r="D78" s="679"/>
      <c r="E78" s="679">
        <v>102700</v>
      </c>
      <c r="F78" s="903">
        <f t="shared" ref="F78" si="1">B78-D78-E78</f>
        <v>0</v>
      </c>
    </row>
    <row r="79" spans="1:6" x14ac:dyDescent="0.2">
      <c r="A79" s="904" t="s">
        <v>699</v>
      </c>
      <c r="B79" s="901">
        <v>120000</v>
      </c>
      <c r="C79" s="675" t="s">
        <v>662</v>
      </c>
      <c r="D79" s="680"/>
      <c r="E79" s="902">
        <v>120000</v>
      </c>
      <c r="F79" s="906"/>
    </row>
    <row r="80" spans="1:6" x14ac:dyDescent="0.2">
      <c r="A80" s="904" t="s">
        <v>700</v>
      </c>
      <c r="B80" s="901">
        <v>10000</v>
      </c>
      <c r="C80" s="656" t="s">
        <v>662</v>
      </c>
      <c r="D80" s="679"/>
      <c r="E80" s="902">
        <v>10000</v>
      </c>
      <c r="F80" s="903"/>
    </row>
    <row r="81" spans="1:6" x14ac:dyDescent="0.2">
      <c r="A81" s="904" t="s">
        <v>701</v>
      </c>
      <c r="B81" s="901">
        <v>850000</v>
      </c>
      <c r="C81" s="656" t="s">
        <v>662</v>
      </c>
      <c r="D81" s="679"/>
      <c r="E81" s="902">
        <v>850000</v>
      </c>
      <c r="F81" s="903"/>
    </row>
    <row r="82" spans="1:6" x14ac:dyDescent="0.2">
      <c r="A82" s="904" t="s">
        <v>702</v>
      </c>
      <c r="B82" s="901">
        <v>1016000</v>
      </c>
      <c r="C82" s="656" t="s">
        <v>662</v>
      </c>
      <c r="D82" s="679"/>
      <c r="E82" s="902">
        <v>1016000</v>
      </c>
      <c r="F82" s="903">
        <f t="shared" ref="F82:F89" si="2">B82-D82-E82</f>
        <v>0</v>
      </c>
    </row>
    <row r="83" spans="1:6" ht="15" x14ac:dyDescent="0.2">
      <c r="A83" s="681" t="s">
        <v>703</v>
      </c>
      <c r="B83" s="678">
        <v>2500000</v>
      </c>
      <c r="C83" s="656" t="s">
        <v>662</v>
      </c>
      <c r="D83" s="679"/>
      <c r="E83" s="679">
        <v>2500000</v>
      </c>
      <c r="F83" s="903"/>
    </row>
    <row r="84" spans="1:6" s="521" customFormat="1" ht="14.25" x14ac:dyDescent="0.2">
      <c r="A84" s="926" t="s">
        <v>736</v>
      </c>
      <c r="B84" s="857">
        <v>179000</v>
      </c>
      <c r="C84" s="835" t="s">
        <v>662</v>
      </c>
      <c r="D84" s="858"/>
      <c r="E84" s="858">
        <v>179000</v>
      </c>
      <c r="F84" s="927"/>
    </row>
    <row r="85" spans="1:6" x14ac:dyDescent="0.2">
      <c r="A85" s="907" t="s">
        <v>561</v>
      </c>
      <c r="B85" s="678"/>
      <c r="C85" s="656"/>
      <c r="D85" s="679"/>
      <c r="E85" s="679"/>
      <c r="F85" s="903">
        <f t="shared" si="2"/>
        <v>0</v>
      </c>
    </row>
    <row r="86" spans="1:6" s="520" customFormat="1" x14ac:dyDescent="0.2">
      <c r="A86" s="908" t="s">
        <v>704</v>
      </c>
      <c r="B86" s="674">
        <v>30206</v>
      </c>
      <c r="C86" s="675" t="s">
        <v>662</v>
      </c>
      <c r="D86" s="676"/>
      <c r="E86" s="676">
        <v>30206</v>
      </c>
      <c r="F86" s="657"/>
    </row>
    <row r="87" spans="1:6" s="520" customFormat="1" x14ac:dyDescent="0.2">
      <c r="A87" s="908" t="s">
        <v>732</v>
      </c>
      <c r="B87" s="674">
        <v>24404</v>
      </c>
      <c r="C87" s="675" t="s">
        <v>662</v>
      </c>
      <c r="D87" s="676"/>
      <c r="E87" s="676">
        <v>24404</v>
      </c>
      <c r="F87" s="657"/>
    </row>
    <row r="88" spans="1:6" x14ac:dyDescent="0.2">
      <c r="A88" s="908" t="s">
        <v>705</v>
      </c>
      <c r="B88" s="674">
        <v>76200</v>
      </c>
      <c r="C88" s="675" t="s">
        <v>662</v>
      </c>
      <c r="D88" s="676"/>
      <c r="E88" s="676">
        <v>76200</v>
      </c>
      <c r="F88" s="657"/>
    </row>
    <row r="89" spans="1:6" x14ac:dyDescent="0.2">
      <c r="A89" s="683" t="s">
        <v>706</v>
      </c>
      <c r="B89" s="674">
        <v>1500000</v>
      </c>
      <c r="C89" s="675" t="s">
        <v>662</v>
      </c>
      <c r="D89" s="676"/>
      <c r="E89" s="676">
        <v>1500000</v>
      </c>
      <c r="F89" s="890">
        <f t="shared" si="2"/>
        <v>0</v>
      </c>
    </row>
    <row r="90" spans="1:6" s="521" customFormat="1" x14ac:dyDescent="0.2">
      <c r="A90" s="920" t="s">
        <v>734</v>
      </c>
      <c r="B90" s="857">
        <v>134200</v>
      </c>
      <c r="C90" s="835" t="s">
        <v>662</v>
      </c>
      <c r="D90" s="858"/>
      <c r="E90" s="858">
        <v>134200</v>
      </c>
      <c r="F90" s="517"/>
    </row>
    <row r="91" spans="1:6" s="521" customFormat="1" ht="13.5" thickBot="1" x14ac:dyDescent="0.25">
      <c r="A91" s="921" t="s">
        <v>735</v>
      </c>
      <c r="B91" s="922">
        <v>305000</v>
      </c>
      <c r="C91" s="923" t="s">
        <v>662</v>
      </c>
      <c r="D91" s="924"/>
      <c r="E91" s="924">
        <v>305000</v>
      </c>
      <c r="F91" s="925"/>
    </row>
    <row r="92" spans="1:6" ht="13.5" thickBot="1" x14ac:dyDescent="0.25">
      <c r="A92" s="836" t="s">
        <v>68</v>
      </c>
      <c r="B92" s="837">
        <f>SUM(B5:B91)</f>
        <v>346542532</v>
      </c>
      <c r="C92" s="838"/>
      <c r="D92" s="837">
        <f>SUM(D5:D91)</f>
        <v>4527778</v>
      </c>
      <c r="E92" s="837">
        <f>SUM(E5:E91)</f>
        <v>342014754</v>
      </c>
      <c r="F92" s="837">
        <f t="shared" ref="F92" si="3">SUM(F5:F91)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4" orientation="portrait" verticalDpi="300" r:id="rId1"/>
  <headerFooter alignWithMargins="0">
    <oddHeader>&amp;R&amp;"Times New Roman CE,Félkövér dőlt"&amp;11 7. melléklet a 11/2018.(V.31.)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3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4.75" customHeight="1" x14ac:dyDescent="0.2">
      <c r="A1" s="1003" t="s">
        <v>12</v>
      </c>
      <c r="B1" s="1003"/>
      <c r="C1" s="1003"/>
      <c r="D1" s="1003"/>
      <c r="E1" s="1003"/>
      <c r="F1" s="1003"/>
    </row>
    <row r="2" spans="1:7" ht="23.25" customHeight="1" thickBot="1" x14ac:dyDescent="0.3">
      <c r="A2" s="93"/>
      <c r="B2" s="45"/>
      <c r="C2" s="45"/>
      <c r="D2" s="45"/>
      <c r="E2" s="45"/>
      <c r="F2" s="43" t="s">
        <v>592</v>
      </c>
    </row>
    <row r="3" spans="1:7" s="38" customFormat="1" ht="48.75" customHeight="1" thickBot="1" x14ac:dyDescent="0.25">
      <c r="A3" s="94" t="s">
        <v>72</v>
      </c>
      <c r="B3" s="95" t="s">
        <v>70</v>
      </c>
      <c r="C3" s="95" t="s">
        <v>71</v>
      </c>
      <c r="D3" s="95" t="s">
        <v>619</v>
      </c>
      <c r="E3" s="95" t="s">
        <v>617</v>
      </c>
      <c r="F3" s="44" t="s">
        <v>621</v>
      </c>
      <c r="G3" s="350"/>
    </row>
    <row r="4" spans="1:7" s="45" customFormat="1" ht="15" customHeight="1" thickBot="1" x14ac:dyDescent="0.25">
      <c r="A4" s="361">
        <v>1</v>
      </c>
      <c r="B4" s="362">
        <v>2</v>
      </c>
      <c r="C4" s="362">
        <v>3</v>
      </c>
      <c r="D4" s="362">
        <v>4</v>
      </c>
      <c r="E4" s="362">
        <v>5</v>
      </c>
      <c r="F4" s="363">
        <v>6</v>
      </c>
    </row>
    <row r="5" spans="1:7" ht="15.95" customHeight="1" x14ac:dyDescent="0.2">
      <c r="A5" s="863" t="s">
        <v>632</v>
      </c>
      <c r="B5" s="930">
        <f>146398020+1216660+37902555</f>
        <v>185517235</v>
      </c>
      <c r="C5" s="523" t="s">
        <v>709</v>
      </c>
      <c r="D5" s="522">
        <v>1216660</v>
      </c>
      <c r="E5" s="522">
        <f>146398020+37902555</f>
        <v>184300575</v>
      </c>
      <c r="F5" s="490">
        <f t="shared" ref="F5:F32" si="0">B5-D5-E5</f>
        <v>0</v>
      </c>
    </row>
    <row r="6" spans="1:7" ht="15.95" customHeight="1" x14ac:dyDescent="0.2">
      <c r="A6" s="864" t="s">
        <v>633</v>
      </c>
      <c r="B6" s="865">
        <v>3201452</v>
      </c>
      <c r="C6" s="289" t="s">
        <v>662</v>
      </c>
      <c r="D6" s="286"/>
      <c r="E6" s="286">
        <v>3201452</v>
      </c>
      <c r="F6" s="491">
        <f t="shared" si="0"/>
        <v>0</v>
      </c>
    </row>
    <row r="7" spans="1:7" ht="15.95" customHeight="1" x14ac:dyDescent="0.2">
      <c r="A7" s="864" t="s">
        <v>640</v>
      </c>
      <c r="B7" s="865">
        <v>5819140</v>
      </c>
      <c r="C7" s="289" t="s">
        <v>662</v>
      </c>
      <c r="D7" s="286"/>
      <c r="E7" s="286">
        <v>5819140</v>
      </c>
      <c r="F7" s="491">
        <f t="shared" si="0"/>
        <v>0</v>
      </c>
    </row>
    <row r="8" spans="1:7" ht="15.95" customHeight="1" x14ac:dyDescent="0.2">
      <c r="A8" s="864" t="s">
        <v>634</v>
      </c>
      <c r="B8" s="865">
        <v>127000</v>
      </c>
      <c r="C8" s="289" t="s">
        <v>662</v>
      </c>
      <c r="D8" s="286"/>
      <c r="E8" s="315">
        <v>127000</v>
      </c>
      <c r="F8" s="491">
        <f t="shared" si="0"/>
        <v>0</v>
      </c>
    </row>
    <row r="9" spans="1:7" ht="15.95" customHeight="1" x14ac:dyDescent="0.2">
      <c r="A9" s="864" t="s">
        <v>635</v>
      </c>
      <c r="B9" s="865">
        <v>5080000</v>
      </c>
      <c r="C9" s="289" t="s">
        <v>662</v>
      </c>
      <c r="D9" s="286"/>
      <c r="E9" s="286">
        <v>5080000</v>
      </c>
      <c r="F9" s="491">
        <f t="shared" si="0"/>
        <v>0</v>
      </c>
    </row>
    <row r="10" spans="1:7" ht="15.95" customHeight="1" x14ac:dyDescent="0.2">
      <c r="A10" s="864" t="s">
        <v>636</v>
      </c>
      <c r="B10" s="865">
        <v>3725750</v>
      </c>
      <c r="C10" s="289" t="s">
        <v>662</v>
      </c>
      <c r="D10" s="286"/>
      <c r="E10" s="286">
        <v>3725750</v>
      </c>
      <c r="F10" s="491">
        <f t="shared" si="0"/>
        <v>0</v>
      </c>
    </row>
    <row r="11" spans="1:7" ht="15.95" customHeight="1" x14ac:dyDescent="0.2">
      <c r="A11" s="866" t="s">
        <v>637</v>
      </c>
      <c r="B11" s="867">
        <v>6350000</v>
      </c>
      <c r="C11" s="378" t="s">
        <v>662</v>
      </c>
      <c r="D11" s="315"/>
      <c r="E11" s="315">
        <v>6350000</v>
      </c>
      <c r="F11" s="491">
        <f t="shared" si="0"/>
        <v>0</v>
      </c>
    </row>
    <row r="12" spans="1:7" ht="15.95" customHeight="1" x14ac:dyDescent="0.2">
      <c r="A12" s="864" t="s">
        <v>638</v>
      </c>
      <c r="B12" s="865">
        <v>10000000</v>
      </c>
      <c r="C12" s="289" t="s">
        <v>662</v>
      </c>
      <c r="D12" s="286"/>
      <c r="E12" s="286">
        <v>10000000</v>
      </c>
      <c r="F12" s="491">
        <f t="shared" si="0"/>
        <v>0</v>
      </c>
    </row>
    <row r="13" spans="1:7" s="489" customFormat="1" ht="15.95" customHeight="1" x14ac:dyDescent="0.2">
      <c r="A13" s="931" t="s">
        <v>639</v>
      </c>
      <c r="B13" s="868">
        <v>1500000</v>
      </c>
      <c r="C13" s="287" t="s">
        <v>662</v>
      </c>
      <c r="D13" s="288"/>
      <c r="E13" s="288">
        <v>1500000</v>
      </c>
      <c r="F13" s="638">
        <f t="shared" si="0"/>
        <v>0</v>
      </c>
    </row>
    <row r="14" spans="1:7" s="489" customFormat="1" ht="15.95" customHeight="1" thickBot="1" x14ac:dyDescent="0.25">
      <c r="A14" s="935" t="s">
        <v>738</v>
      </c>
      <c r="B14" s="936">
        <v>48165993</v>
      </c>
      <c r="C14" s="641" t="s">
        <v>662</v>
      </c>
      <c r="D14" s="640"/>
      <c r="E14" s="640">
        <v>48165993</v>
      </c>
      <c r="F14" s="934">
        <f t="shared" si="0"/>
        <v>0</v>
      </c>
    </row>
    <row r="15" spans="1:7" ht="15.95" customHeight="1" x14ac:dyDescent="0.2">
      <c r="A15" s="684" t="s">
        <v>707</v>
      </c>
      <c r="B15" s="522">
        <v>609600</v>
      </c>
      <c r="C15" s="523" t="s">
        <v>662</v>
      </c>
      <c r="D15" s="522"/>
      <c r="E15" s="522">
        <v>609600</v>
      </c>
      <c r="F15" s="490">
        <f t="shared" si="0"/>
        <v>0</v>
      </c>
    </row>
    <row r="16" spans="1:7" ht="15.95" hidden="1" customHeight="1" x14ac:dyDescent="0.2">
      <c r="A16" s="492"/>
      <c r="B16" s="344"/>
      <c r="C16" s="364"/>
      <c r="D16" s="344"/>
      <c r="E16" s="344"/>
      <c r="F16" s="491">
        <f t="shared" si="0"/>
        <v>0</v>
      </c>
    </row>
    <row r="17" spans="1:6" ht="15.95" hidden="1" customHeight="1" x14ac:dyDescent="0.2">
      <c r="A17" s="932"/>
      <c r="B17" s="286"/>
      <c r="C17" s="289"/>
      <c r="D17" s="286"/>
      <c r="E17" s="286"/>
      <c r="F17" s="491">
        <f t="shared" si="0"/>
        <v>0</v>
      </c>
    </row>
    <row r="18" spans="1:6" ht="15.95" hidden="1" customHeight="1" x14ac:dyDescent="0.2">
      <c r="A18" s="933"/>
      <c r="B18" s="286"/>
      <c r="C18" s="289"/>
      <c r="D18" s="286"/>
      <c r="E18" s="286"/>
      <c r="F18" s="491">
        <f t="shared" si="0"/>
        <v>0</v>
      </c>
    </row>
    <row r="19" spans="1:6" ht="15.95" hidden="1" customHeight="1" x14ac:dyDescent="0.2">
      <c r="A19" s="347"/>
      <c r="B19" s="286"/>
      <c r="C19" s="289"/>
      <c r="D19" s="286"/>
      <c r="E19" s="286"/>
      <c r="F19" s="491">
        <f t="shared" si="0"/>
        <v>0</v>
      </c>
    </row>
    <row r="20" spans="1:6" ht="15.95" hidden="1" customHeight="1" x14ac:dyDescent="0.2">
      <c r="A20" s="347"/>
      <c r="B20" s="286"/>
      <c r="C20" s="289"/>
      <c r="D20" s="286"/>
      <c r="E20" s="286"/>
      <c r="F20" s="491">
        <f t="shared" si="0"/>
        <v>0</v>
      </c>
    </row>
    <row r="21" spans="1:6" ht="15.95" hidden="1" customHeight="1" x14ac:dyDescent="0.2">
      <c r="A21" s="347"/>
      <c r="B21" s="286"/>
      <c r="C21" s="289"/>
      <c r="D21" s="286"/>
      <c r="E21" s="286"/>
      <c r="F21" s="491">
        <f t="shared" si="0"/>
        <v>0</v>
      </c>
    </row>
    <row r="22" spans="1:6" ht="15.95" hidden="1" customHeight="1" x14ac:dyDescent="0.2">
      <c r="A22" s="347"/>
      <c r="B22" s="286"/>
      <c r="C22" s="289"/>
      <c r="D22" s="286"/>
      <c r="E22" s="286"/>
      <c r="F22" s="491">
        <f t="shared" si="0"/>
        <v>0</v>
      </c>
    </row>
    <row r="23" spans="1:6" ht="15.95" hidden="1" customHeight="1" x14ac:dyDescent="0.2">
      <c r="A23" s="347"/>
      <c r="B23" s="286"/>
      <c r="C23" s="289"/>
      <c r="D23" s="286"/>
      <c r="E23" s="286"/>
      <c r="F23" s="491">
        <f t="shared" si="0"/>
        <v>0</v>
      </c>
    </row>
    <row r="24" spans="1:6" ht="15.95" hidden="1" customHeight="1" x14ac:dyDescent="0.2">
      <c r="A24" s="348"/>
      <c r="B24" s="288"/>
      <c r="C24" s="287"/>
      <c r="D24" s="288"/>
      <c r="E24" s="288"/>
      <c r="F24" s="491">
        <f t="shared" si="0"/>
        <v>0</v>
      </c>
    </row>
    <row r="25" spans="1:6" ht="15.95" hidden="1" customHeight="1" x14ac:dyDescent="0.2">
      <c r="A25" s="348"/>
      <c r="B25" s="288"/>
      <c r="C25" s="287"/>
      <c r="D25" s="288"/>
      <c r="E25" s="288"/>
      <c r="F25" s="491">
        <f t="shared" si="0"/>
        <v>0</v>
      </c>
    </row>
    <row r="26" spans="1:6" ht="15.95" hidden="1" customHeight="1" x14ac:dyDescent="0.2">
      <c r="A26" s="348"/>
      <c r="B26" s="288"/>
      <c r="C26" s="287"/>
      <c r="D26" s="288"/>
      <c r="E26" s="288"/>
      <c r="F26" s="491">
        <f t="shared" si="0"/>
        <v>0</v>
      </c>
    </row>
    <row r="27" spans="1:6" ht="15.95" hidden="1" customHeight="1" x14ac:dyDescent="0.2">
      <c r="A27" s="348"/>
      <c r="B27" s="288"/>
      <c r="C27" s="287"/>
      <c r="D27" s="288"/>
      <c r="E27" s="288"/>
      <c r="F27" s="491">
        <f t="shared" si="0"/>
        <v>0</v>
      </c>
    </row>
    <row r="28" spans="1:6" ht="15.95" hidden="1" customHeight="1" thickBot="1" x14ac:dyDescent="0.25">
      <c r="A28" s="348"/>
      <c r="B28" s="288"/>
      <c r="C28" s="287"/>
      <c r="D28" s="288"/>
      <c r="E28" s="288"/>
      <c r="F28" s="491">
        <f t="shared" si="0"/>
        <v>0</v>
      </c>
    </row>
    <row r="29" spans="1:6" ht="15.95" customHeight="1" x14ac:dyDescent="0.2">
      <c r="A29" s="493"/>
      <c r="B29" s="494"/>
      <c r="C29" s="364"/>
      <c r="D29" s="494"/>
      <c r="E29" s="494"/>
      <c r="F29" s="491">
        <f t="shared" si="0"/>
        <v>0</v>
      </c>
    </row>
    <row r="30" spans="1:6" ht="15.95" customHeight="1" x14ac:dyDescent="0.2">
      <c r="A30" s="526"/>
      <c r="B30" s="527"/>
      <c r="C30" s="528"/>
      <c r="D30" s="527"/>
      <c r="E30" s="527"/>
      <c r="F30" s="491">
        <f t="shared" si="0"/>
        <v>0</v>
      </c>
    </row>
    <row r="31" spans="1:6" ht="15.95" customHeight="1" x14ac:dyDescent="0.2">
      <c r="A31" s="637"/>
      <c r="B31" s="524"/>
      <c r="C31" s="525"/>
      <c r="D31" s="524"/>
      <c r="E31" s="524"/>
      <c r="F31" s="638">
        <f t="shared" si="0"/>
        <v>0</v>
      </c>
    </row>
    <row r="32" spans="1:6" ht="15.95" customHeight="1" thickBot="1" x14ac:dyDescent="0.25">
      <c r="A32" s="639"/>
      <c r="B32" s="640"/>
      <c r="C32" s="641"/>
      <c r="D32" s="640"/>
      <c r="E32" s="640"/>
      <c r="F32" s="642">
        <f t="shared" si="0"/>
        <v>0</v>
      </c>
    </row>
    <row r="33" spans="1:6" s="47" customFormat="1" ht="18" customHeight="1" thickBot="1" x14ac:dyDescent="0.25">
      <c r="A33" s="96" t="s">
        <v>68</v>
      </c>
      <c r="B33" s="97">
        <f>SUM(B5:B32)</f>
        <v>270096170</v>
      </c>
      <c r="C33" s="83"/>
      <c r="D33" s="97">
        <f>SUM(D5:D28)</f>
        <v>1216660</v>
      </c>
      <c r="E33" s="97">
        <f>SUM(E5:E32)</f>
        <v>268879510</v>
      </c>
      <c r="F33" s="48">
        <f>SUM(F5:F29)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8. melléklet a 11/2018.(V.31.) önkormányzati rendelethez&amp;"Times New Roman CE,Normál"&amp;10
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view="pageLayout" zoomScaleNormal="100" zoomScaleSheetLayoutView="85" workbookViewId="0">
      <selection activeCell="G40" sqref="G40"/>
    </sheetView>
  </sheetViews>
  <sheetFormatPr defaultColWidth="9.33203125" defaultRowHeight="12.75" x14ac:dyDescent="0.2"/>
  <cols>
    <col min="1" max="1" width="38.6640625" style="40" customWidth="1"/>
    <col min="2" max="5" width="13.83203125" style="40" customWidth="1"/>
    <col min="6" max="16384" width="9.33203125" style="40"/>
  </cols>
  <sheetData>
    <row r="1" spans="1:5" x14ac:dyDescent="0.2">
      <c r="A1" s="106"/>
      <c r="B1" s="106"/>
      <c r="C1" s="106"/>
      <c r="D1" s="106"/>
      <c r="E1" s="106"/>
    </row>
    <row r="2" spans="1:5" ht="50.25" customHeight="1" x14ac:dyDescent="0.25">
      <c r="A2" s="1024" t="s">
        <v>708</v>
      </c>
      <c r="B2" s="1024"/>
      <c r="C2" s="1024"/>
      <c r="D2" s="1024"/>
      <c r="E2" s="1024"/>
    </row>
    <row r="3" spans="1:5" ht="14.25" thickBot="1" x14ac:dyDescent="0.3">
      <c r="A3" s="106"/>
      <c r="B3" s="106"/>
      <c r="C3" s="106"/>
      <c r="D3" s="1025" t="s">
        <v>601</v>
      </c>
      <c r="E3" s="1025"/>
    </row>
    <row r="4" spans="1:5" ht="15" customHeight="1" thickBot="1" x14ac:dyDescent="0.25">
      <c r="A4" s="107" t="s">
        <v>122</v>
      </c>
      <c r="B4" s="108" t="s">
        <v>622</v>
      </c>
      <c r="C4" s="108">
        <v>2018</v>
      </c>
      <c r="D4" s="108" t="s">
        <v>623</v>
      </c>
      <c r="E4" s="109" t="s">
        <v>55</v>
      </c>
    </row>
    <row r="5" spans="1:5" x14ac:dyDescent="0.2">
      <c r="A5" s="110" t="s">
        <v>123</v>
      </c>
      <c r="B5" s="56"/>
      <c r="C5" s="56"/>
      <c r="D5" s="56"/>
      <c r="E5" s="111">
        <f t="shared" ref="E5:E11" si="0">SUM(B5:D5)</f>
        <v>0</v>
      </c>
    </row>
    <row r="6" spans="1:5" x14ac:dyDescent="0.2">
      <c r="A6" s="112" t="s">
        <v>135</v>
      </c>
      <c r="B6" s="57"/>
      <c r="C6" s="57"/>
      <c r="D6" s="57"/>
      <c r="E6" s="113">
        <f t="shared" si="0"/>
        <v>0</v>
      </c>
    </row>
    <row r="7" spans="1:5" x14ac:dyDescent="0.2">
      <c r="A7" s="114" t="s">
        <v>124</v>
      </c>
      <c r="B7" s="58">
        <v>18932847</v>
      </c>
      <c r="C7" s="58"/>
      <c r="D7" s="58">
        <v>370000</v>
      </c>
      <c r="E7" s="115">
        <f t="shared" si="0"/>
        <v>19302847</v>
      </c>
    </row>
    <row r="8" spans="1:5" x14ac:dyDescent="0.2">
      <c r="A8" s="114" t="s">
        <v>136</v>
      </c>
      <c r="B8" s="58"/>
      <c r="C8" s="58"/>
      <c r="D8" s="58"/>
      <c r="E8" s="115">
        <f t="shared" si="0"/>
        <v>0</v>
      </c>
    </row>
    <row r="9" spans="1:5" x14ac:dyDescent="0.2">
      <c r="A9" s="114" t="s">
        <v>125</v>
      </c>
      <c r="B9" s="58"/>
      <c r="C9" s="58"/>
      <c r="D9" s="58"/>
      <c r="E9" s="115">
        <f t="shared" si="0"/>
        <v>0</v>
      </c>
    </row>
    <row r="10" spans="1:5" x14ac:dyDescent="0.2">
      <c r="A10" s="114" t="s">
        <v>126</v>
      </c>
      <c r="B10" s="58"/>
      <c r="C10" s="58"/>
      <c r="D10" s="58"/>
      <c r="E10" s="115">
        <f t="shared" si="0"/>
        <v>0</v>
      </c>
    </row>
    <row r="11" spans="1:5" ht="13.5" thickBot="1" x14ac:dyDescent="0.25">
      <c r="A11" s="59"/>
      <c r="B11" s="60"/>
      <c r="C11" s="60"/>
      <c r="D11" s="60"/>
      <c r="E11" s="115">
        <f t="shared" si="0"/>
        <v>0</v>
      </c>
    </row>
    <row r="12" spans="1:5" ht="13.5" thickBot="1" x14ac:dyDescent="0.25">
      <c r="A12" s="116" t="s">
        <v>128</v>
      </c>
      <c r="B12" s="643">
        <f>B5+SUM(B7:B11)</f>
        <v>18932847</v>
      </c>
      <c r="C12" s="643">
        <f>C5+SUM(C7:C11)</f>
        <v>0</v>
      </c>
      <c r="D12" s="643">
        <f>D5+SUM(D7:D11)</f>
        <v>370000</v>
      </c>
      <c r="E12" s="644">
        <f>E5+SUM(E7:E11)</f>
        <v>19302847</v>
      </c>
    </row>
    <row r="13" spans="1:5" ht="13.5" thickBot="1" x14ac:dyDescent="0.25">
      <c r="A13" s="42"/>
      <c r="B13" s="42"/>
      <c r="C13" s="42"/>
      <c r="D13" s="42"/>
      <c r="E13" s="42"/>
    </row>
    <row r="14" spans="1:5" ht="15" customHeight="1" thickBot="1" x14ac:dyDescent="0.25">
      <c r="A14" s="107" t="s">
        <v>127</v>
      </c>
      <c r="B14" s="108" t="s">
        <v>622</v>
      </c>
      <c r="C14" s="108">
        <v>2018</v>
      </c>
      <c r="D14" s="108" t="s">
        <v>623</v>
      </c>
      <c r="E14" s="109" t="s">
        <v>55</v>
      </c>
    </row>
    <row r="15" spans="1:5" x14ac:dyDescent="0.2">
      <c r="A15" s="110" t="s">
        <v>131</v>
      </c>
      <c r="B15" s="685">
        <v>504360</v>
      </c>
      <c r="C15" s="685">
        <v>5884316</v>
      </c>
      <c r="D15" s="685">
        <v>1801376</v>
      </c>
      <c r="E15" s="686">
        <f t="shared" ref="E15:E21" si="1">SUM(B15:D15)</f>
        <v>8190052</v>
      </c>
    </row>
    <row r="16" spans="1:5" x14ac:dyDescent="0.2">
      <c r="A16" s="117" t="s">
        <v>132</v>
      </c>
      <c r="B16" s="687">
        <f>357200+12500</f>
        <v>369700</v>
      </c>
      <c r="C16" s="687">
        <f>2072918+461299+124550</f>
        <v>2658767</v>
      </c>
      <c r="D16" s="687">
        <v>0</v>
      </c>
      <c r="E16" s="688">
        <f t="shared" si="1"/>
        <v>3028467</v>
      </c>
    </row>
    <row r="17" spans="1:5" x14ac:dyDescent="0.2">
      <c r="A17" s="114" t="s">
        <v>133</v>
      </c>
      <c r="B17" s="687">
        <v>165000</v>
      </c>
      <c r="C17" s="687">
        <v>5665552</v>
      </c>
      <c r="D17" s="687">
        <v>125876</v>
      </c>
      <c r="E17" s="688">
        <f t="shared" si="1"/>
        <v>5956428</v>
      </c>
    </row>
    <row r="18" spans="1:5" x14ac:dyDescent="0.2">
      <c r="A18" s="114" t="s">
        <v>134</v>
      </c>
      <c r="B18" s="687">
        <v>71920</v>
      </c>
      <c r="C18" s="687">
        <v>1552330</v>
      </c>
      <c r="D18" s="687">
        <v>133650</v>
      </c>
      <c r="E18" s="688">
        <f t="shared" si="1"/>
        <v>1757900</v>
      </c>
    </row>
    <row r="19" spans="1:5" x14ac:dyDescent="0.2">
      <c r="A19" s="61" t="s">
        <v>605</v>
      </c>
      <c r="B19" s="687"/>
      <c r="C19" s="687"/>
      <c r="D19" s="687">
        <v>370000</v>
      </c>
      <c r="E19" s="688">
        <f t="shared" si="1"/>
        <v>370000</v>
      </c>
    </row>
    <row r="20" spans="1:5" x14ac:dyDescent="0.2">
      <c r="A20" s="61"/>
      <c r="B20" s="687"/>
      <c r="C20" s="687"/>
      <c r="D20" s="687"/>
      <c r="E20" s="688">
        <f t="shared" si="1"/>
        <v>0</v>
      </c>
    </row>
    <row r="21" spans="1:5" ht="13.5" thickBot="1" x14ac:dyDescent="0.25">
      <c r="A21" s="59"/>
      <c r="B21" s="689"/>
      <c r="C21" s="689"/>
      <c r="D21" s="689"/>
      <c r="E21" s="688">
        <f t="shared" si="1"/>
        <v>0</v>
      </c>
    </row>
    <row r="22" spans="1:5" ht="13.5" thickBot="1" x14ac:dyDescent="0.25">
      <c r="A22" s="116" t="s">
        <v>56</v>
      </c>
      <c r="B22" s="643">
        <f>SUM(B15:B21)</f>
        <v>1110980</v>
      </c>
      <c r="C22" s="643">
        <f>SUM(C15:C21)</f>
        <v>15760965</v>
      </c>
      <c r="D22" s="643">
        <f>SUM(D15:D21)</f>
        <v>2430902</v>
      </c>
      <c r="E22" s="644">
        <f>SUM(E15:E21)</f>
        <v>19302847</v>
      </c>
    </row>
    <row r="23" spans="1:5" x14ac:dyDescent="0.2">
      <c r="A23" s="106"/>
      <c r="B23" s="106"/>
      <c r="C23" s="106"/>
      <c r="D23" s="106"/>
      <c r="E23" s="106"/>
    </row>
    <row r="24" spans="1:5" ht="51" customHeight="1" x14ac:dyDescent="0.25">
      <c r="A24" s="1024" t="s">
        <v>740</v>
      </c>
      <c r="B24" s="1024"/>
      <c r="C24" s="1024"/>
      <c r="D24" s="1024"/>
      <c r="E24" s="1024"/>
    </row>
    <row r="25" spans="1:5" ht="14.25" thickBot="1" x14ac:dyDescent="0.3">
      <c r="A25" s="106"/>
      <c r="B25" s="106"/>
      <c r="C25" s="106"/>
      <c r="D25" s="1025" t="s">
        <v>601</v>
      </c>
      <c r="E25" s="1025"/>
    </row>
    <row r="26" spans="1:5" ht="13.5" thickBot="1" x14ac:dyDescent="0.25">
      <c r="A26" s="107" t="s">
        <v>122</v>
      </c>
      <c r="B26" s="108" t="s">
        <v>622</v>
      </c>
      <c r="C26" s="108">
        <v>2018</v>
      </c>
      <c r="D26" s="108" t="s">
        <v>623</v>
      </c>
      <c r="E26" s="109" t="s">
        <v>55</v>
      </c>
    </row>
    <row r="27" spans="1:5" x14ac:dyDescent="0.2">
      <c r="A27" s="978" t="s">
        <v>123</v>
      </c>
      <c r="B27" s="979"/>
      <c r="C27" s="979"/>
      <c r="D27" s="979"/>
      <c r="E27" s="980">
        <f t="shared" ref="E27:E33" si="2">SUM(B27:D27)</f>
        <v>0</v>
      </c>
    </row>
    <row r="28" spans="1:5" x14ac:dyDescent="0.2">
      <c r="A28" s="981" t="s">
        <v>135</v>
      </c>
      <c r="B28" s="982"/>
      <c r="C28" s="982"/>
      <c r="D28" s="982"/>
      <c r="E28" s="983">
        <f t="shared" si="2"/>
        <v>0</v>
      </c>
    </row>
    <row r="29" spans="1:5" x14ac:dyDescent="0.2">
      <c r="A29" s="984" t="s">
        <v>124</v>
      </c>
      <c r="B29" s="379"/>
      <c r="C29" s="379">
        <v>141036832</v>
      </c>
      <c r="D29" s="379"/>
      <c r="E29" s="985">
        <f t="shared" si="2"/>
        <v>141036832</v>
      </c>
    </row>
    <row r="30" spans="1:5" x14ac:dyDescent="0.2">
      <c r="A30" s="984" t="s">
        <v>136</v>
      </c>
      <c r="B30" s="379"/>
      <c r="C30" s="379"/>
      <c r="D30" s="379"/>
      <c r="E30" s="985">
        <f t="shared" si="2"/>
        <v>0</v>
      </c>
    </row>
    <row r="31" spans="1:5" x14ac:dyDescent="0.2">
      <c r="A31" s="984" t="s">
        <v>125</v>
      </c>
      <c r="B31" s="379"/>
      <c r="C31" s="379"/>
      <c r="D31" s="379"/>
      <c r="E31" s="985">
        <f t="shared" si="2"/>
        <v>0</v>
      </c>
    </row>
    <row r="32" spans="1:5" x14ac:dyDescent="0.2">
      <c r="A32" s="984" t="s">
        <v>126</v>
      </c>
      <c r="B32" s="379"/>
      <c r="C32" s="379"/>
      <c r="D32" s="379"/>
      <c r="E32" s="985">
        <f t="shared" si="2"/>
        <v>0</v>
      </c>
    </row>
    <row r="33" spans="1:8" ht="13.5" thickBot="1" x14ac:dyDescent="0.25">
      <c r="A33" s="986"/>
      <c r="B33" s="987"/>
      <c r="C33" s="987"/>
      <c r="D33" s="987"/>
      <c r="E33" s="985">
        <f t="shared" si="2"/>
        <v>0</v>
      </c>
    </row>
    <row r="34" spans="1:8" ht="13.5" thickBot="1" x14ac:dyDescent="0.25">
      <c r="A34" s="972" t="s">
        <v>128</v>
      </c>
      <c r="B34" s="976">
        <f>B27+SUM(B29:B33)</f>
        <v>0</v>
      </c>
      <c r="C34" s="976">
        <f>C27+SUM(C29:C33)</f>
        <v>141036832</v>
      </c>
      <c r="D34" s="976">
        <f>D27+SUM(D29:D33)</f>
        <v>0</v>
      </c>
      <c r="E34" s="977">
        <f>E27+SUM(E29:E33)</f>
        <v>141036832</v>
      </c>
    </row>
    <row r="35" spans="1:8" ht="13.5" thickBot="1" x14ac:dyDescent="0.25">
      <c r="A35" s="988"/>
      <c r="B35" s="988"/>
      <c r="C35" s="988"/>
      <c r="D35" s="988"/>
      <c r="E35" s="988"/>
    </row>
    <row r="36" spans="1:8" ht="13.5" thickBot="1" x14ac:dyDescent="0.25">
      <c r="A36" s="973" t="s">
        <v>127</v>
      </c>
      <c r="B36" s="974" t="s">
        <v>622</v>
      </c>
      <c r="C36" s="974">
        <v>2018</v>
      </c>
      <c r="D36" s="974" t="s">
        <v>623</v>
      </c>
      <c r="E36" s="975" t="s">
        <v>55</v>
      </c>
    </row>
    <row r="37" spans="1:8" x14ac:dyDescent="0.2">
      <c r="A37" s="978" t="s">
        <v>131</v>
      </c>
      <c r="B37" s="979"/>
      <c r="C37" s="979">
        <v>7655256</v>
      </c>
      <c r="D37" s="979"/>
      <c r="E37" s="980">
        <f t="shared" ref="E37:E43" si="3">SUM(B37:D37)</f>
        <v>7655256</v>
      </c>
    </row>
    <row r="38" spans="1:8" x14ac:dyDescent="0.2">
      <c r="A38" s="989" t="s">
        <v>132</v>
      </c>
      <c r="B38" s="379">
        <v>635000</v>
      </c>
      <c r="C38" s="379">
        <f>6704583+48165993</f>
        <v>54870576</v>
      </c>
      <c r="D38" s="379"/>
      <c r="E38" s="985">
        <f t="shared" si="3"/>
        <v>55505576</v>
      </c>
    </row>
    <row r="39" spans="1:8" x14ac:dyDescent="0.2">
      <c r="A39" s="984" t="s">
        <v>133</v>
      </c>
      <c r="B39" s="379"/>
      <c r="C39" s="379">
        <v>8564000</v>
      </c>
      <c r="D39" s="379"/>
      <c r="E39" s="985">
        <f t="shared" si="3"/>
        <v>8564000</v>
      </c>
    </row>
    <row r="40" spans="1:8" x14ac:dyDescent="0.2">
      <c r="A40" s="984" t="s">
        <v>134</v>
      </c>
      <c r="B40" s="379"/>
      <c r="C40" s="379"/>
      <c r="D40" s="379"/>
      <c r="E40" s="985">
        <f t="shared" si="3"/>
        <v>0</v>
      </c>
    </row>
    <row r="41" spans="1:8" x14ac:dyDescent="0.2">
      <c r="A41" s="990" t="s">
        <v>605</v>
      </c>
      <c r="B41" s="379"/>
      <c r="C41" s="379"/>
      <c r="D41" s="379"/>
      <c r="E41" s="985">
        <f t="shared" si="3"/>
        <v>0</v>
      </c>
    </row>
    <row r="42" spans="1:8" x14ac:dyDescent="0.2">
      <c r="A42" s="990" t="s">
        <v>616</v>
      </c>
      <c r="B42" s="379"/>
      <c r="C42" s="379"/>
      <c r="D42" s="379"/>
      <c r="E42" s="985">
        <f t="shared" si="3"/>
        <v>0</v>
      </c>
    </row>
    <row r="43" spans="1:8" ht="13.5" thickBot="1" x14ac:dyDescent="0.25">
      <c r="A43" s="986" t="s">
        <v>739</v>
      </c>
      <c r="B43" s="987"/>
      <c r="C43" s="987">
        <v>69312000</v>
      </c>
      <c r="D43" s="987"/>
      <c r="E43" s="985">
        <f t="shared" si="3"/>
        <v>69312000</v>
      </c>
    </row>
    <row r="44" spans="1:8" ht="13.5" thickBot="1" x14ac:dyDescent="0.25">
      <c r="A44" s="972" t="s">
        <v>56</v>
      </c>
      <c r="B44" s="976">
        <f>SUM(B37:B43)</f>
        <v>635000</v>
      </c>
      <c r="C44" s="976">
        <f>SUM(C37:C43)</f>
        <v>140401832</v>
      </c>
      <c r="D44" s="976">
        <f>SUM(D37:D43)</f>
        <v>0</v>
      </c>
      <c r="E44" s="977">
        <f>SUM(E37:E43)</f>
        <v>141036832</v>
      </c>
    </row>
    <row r="45" spans="1:8" x14ac:dyDescent="0.2">
      <c r="A45" s="106"/>
      <c r="B45" s="106"/>
      <c r="C45" s="106"/>
      <c r="D45" s="106"/>
      <c r="E45" s="106"/>
    </row>
    <row r="46" spans="1:8" ht="15.75" x14ac:dyDescent="0.2">
      <c r="A46" s="1026" t="s">
        <v>741</v>
      </c>
      <c r="B46" s="1026"/>
      <c r="C46" s="1026"/>
      <c r="D46" s="1026"/>
      <c r="E46" s="1026"/>
    </row>
    <row r="47" spans="1:8" ht="13.5" thickBot="1" x14ac:dyDescent="0.25">
      <c r="A47" s="106"/>
      <c r="B47" s="106"/>
      <c r="C47" s="106"/>
      <c r="D47" s="106"/>
      <c r="E47" s="106"/>
    </row>
    <row r="48" spans="1:8" ht="13.5" thickBot="1" x14ac:dyDescent="0.25">
      <c r="A48" s="1019" t="s">
        <v>129</v>
      </c>
      <c r="B48" s="1020"/>
      <c r="C48" s="1021"/>
      <c r="D48" s="1022" t="s">
        <v>602</v>
      </c>
      <c r="E48" s="1023"/>
      <c r="H48" s="41"/>
    </row>
    <row r="49" spans="1:5" x14ac:dyDescent="0.2">
      <c r="A49" s="1004"/>
      <c r="B49" s="1005"/>
      <c r="C49" s="1006"/>
      <c r="D49" s="1007"/>
      <c r="E49" s="1008"/>
    </row>
    <row r="50" spans="1:5" ht="13.5" thickBot="1" x14ac:dyDescent="0.25">
      <c r="A50" s="1009"/>
      <c r="B50" s="1010"/>
      <c r="C50" s="1011"/>
      <c r="D50" s="1012"/>
      <c r="E50" s="1013"/>
    </row>
    <row r="51" spans="1:5" ht="13.5" thickBot="1" x14ac:dyDescent="0.25">
      <c r="A51" s="1014" t="s">
        <v>56</v>
      </c>
      <c r="B51" s="1015"/>
      <c r="C51" s="1016"/>
      <c r="D51" s="1017">
        <f>SUM(D49:E50)</f>
        <v>0</v>
      </c>
      <c r="E51" s="1018"/>
    </row>
  </sheetData>
  <mergeCells count="13">
    <mergeCell ref="A48:C48"/>
    <mergeCell ref="D48:E48"/>
    <mergeCell ref="A2:E2"/>
    <mergeCell ref="D3:E3"/>
    <mergeCell ref="A24:E24"/>
    <mergeCell ref="D25:E25"/>
    <mergeCell ref="A46:E46"/>
    <mergeCell ref="A49:C49"/>
    <mergeCell ref="D49:E49"/>
    <mergeCell ref="A50:C50"/>
    <mergeCell ref="D50:E50"/>
    <mergeCell ref="A51:C51"/>
    <mergeCell ref="D51:E51"/>
  </mergeCells>
  <conditionalFormatting sqref="E27:E34 B34:D34 E37:E44 B44:D44 D51:E51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9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9.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23</vt:i4>
      </vt:variant>
    </vt:vector>
  </HeadingPairs>
  <TitlesOfParts>
    <vt:vector size="54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7.sz.mell.</vt:lpstr>
      <vt:lpstr>8.3. sz. mell.</vt:lpstr>
      <vt:lpstr>9.1. sz. mell.</vt:lpstr>
      <vt:lpstr>9.1.1. sz. mell. </vt:lpstr>
      <vt:lpstr>9.2. sz. mell. </vt:lpstr>
      <vt:lpstr>9.2.1. sz. mell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tartalék</vt:lpstr>
      <vt:lpstr>1.sz tájékoztató t </vt:lpstr>
      <vt:lpstr>4.sz tájékoztató t </vt:lpstr>
      <vt:lpstr>6.sz tájékoztató t </vt:lpstr>
      <vt:lpstr>feladatos Önk. </vt:lpstr>
      <vt:lpstr>'9.1. sz. mell.'!Nyomtatási_cím</vt:lpstr>
      <vt:lpstr>'9.1.1. sz. mell. '!Nyomtatási_cím</vt:lpstr>
      <vt:lpstr>'9.2. sz. mell. '!Nyomtatási_cím</vt:lpstr>
      <vt:lpstr>'9.2.1. sz.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2018-05-31T11:37:33Z</cp:lastPrinted>
  <dcterms:created xsi:type="dcterms:W3CDTF">1999-10-30T10:30:45Z</dcterms:created>
  <dcterms:modified xsi:type="dcterms:W3CDTF">2018-05-31T11:47:35Z</dcterms:modified>
</cp:coreProperties>
</file>