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19200" windowHeight="6045" tabRatio="727" firstSheet="16" activeTab="26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sz.mell" sheetId="370" r:id="rId17"/>
    <sheet name="9.2.(2-1)sz.mell" sheetId="371" r:id="rId18"/>
    <sheet name="9.2.(2-2)sz.mell" sheetId="372" r:id="rId19"/>
    <sheet name="9.2.1.sz.mell" sheetId="373" r:id="rId20"/>
    <sheet name="9.2.2.sz.mell" sheetId="374" r:id="rId21"/>
    <sheet name="9.2.3.sz.mell" sheetId="369" r:id="rId22"/>
    <sheet name="9.3. sz. mell" sheetId="375" r:id="rId23"/>
    <sheet name="9.3.1. sz. mell" sheetId="376" r:id="rId24"/>
    <sheet name="9.3.2. sz. mell" sheetId="377" r:id="rId25"/>
    <sheet name="9.3.3. sz. mell" sheetId="378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t.'!$A$1:$F$156</definedName>
    <definedName name="_xlnm.Print_Area" localSheetId="0">'1.1.sz.mell.'!$A$1:$D$163</definedName>
    <definedName name="_xlnm.Print_Area" localSheetId="1">'1.2.sz.mell.'!$A$1:$D$164</definedName>
    <definedName name="_xlnm.Print_Area" localSheetId="2">'1.3.sz.mell.'!$A$1:$D$160</definedName>
    <definedName name="_xlnm.Print_Area" localSheetId="3">'1.4.sz.mell.'!$A$1:$D$159</definedName>
    <definedName name="_xlnm.Print_Area" localSheetId="30">'4.sz tájékoztató t.'!$A$1:$O$73</definedName>
    <definedName name="_xlnm.Print_Area" localSheetId="33">'7. sz tájékoztató t.'!$A$1:$E$37</definedName>
    <definedName name="_xlnm.Print_Area" localSheetId="10">'7.sz.mell.'!$A$1:$L$22</definedName>
    <definedName name="_xlnm.Print_Area" localSheetId="11">'8. sz. mell. '!$A$1:$G$52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B1" i="375"/>
  <c r="D105" i="1"/>
  <c r="D116"/>
  <c r="D121" i="116"/>
  <c r="D110"/>
  <c r="G11" i="73"/>
  <c r="G12"/>
  <c r="D115" i="3"/>
  <c r="D104"/>
  <c r="D115" i="119"/>
  <c r="D104"/>
  <c r="F101" i="87"/>
  <c r="F112"/>
  <c r="E63" i="24"/>
  <c r="E66"/>
  <c r="D77" i="1"/>
  <c r="D82" i="116"/>
  <c r="D76" i="3"/>
  <c r="D76" i="119"/>
  <c r="F73" i="87"/>
  <c r="E54" i="24"/>
  <c r="D119" i="1"/>
  <c r="D100"/>
  <c r="D124" i="116"/>
  <c r="D105"/>
  <c r="G7" i="61"/>
  <c r="G9" i="73"/>
  <c r="J10" i="63"/>
  <c r="J11"/>
  <c r="G10"/>
  <c r="F11"/>
  <c r="G11"/>
  <c r="I11"/>
  <c r="K11"/>
  <c r="L11"/>
  <c r="C11"/>
  <c r="D119" i="3"/>
  <c r="D99"/>
  <c r="D119" i="119"/>
  <c r="D99"/>
  <c r="F116" i="87"/>
  <c r="F96"/>
  <c r="E67" i="24"/>
  <c r="E61"/>
  <c r="D104" i="116"/>
  <c r="D103"/>
  <c r="D49"/>
  <c r="D45"/>
  <c r="D100" i="117"/>
  <c r="D99"/>
  <c r="D45"/>
  <c r="D41"/>
  <c r="D97" i="120"/>
  <c r="D98"/>
  <c r="D43"/>
  <c r="D39"/>
  <c r="D98" i="119"/>
  <c r="D96" s="1"/>
  <c r="D132" s="1"/>
  <c r="D158" s="1"/>
  <c r="D97"/>
  <c r="D43"/>
  <c r="D39"/>
  <c r="D117" i="1"/>
  <c r="D99"/>
  <c r="D98"/>
  <c r="D40"/>
  <c r="D44"/>
  <c r="D28"/>
  <c r="D21"/>
  <c r="D14"/>
  <c r="D13"/>
  <c r="D12"/>
  <c r="D11"/>
  <c r="D10"/>
  <c r="D18" i="116"/>
  <c r="D122"/>
  <c r="D33"/>
  <c r="D26"/>
  <c r="D19"/>
  <c r="D17"/>
  <c r="D16"/>
  <c r="D15"/>
  <c r="D101" i="117"/>
  <c r="D7" i="61"/>
  <c r="L35" i="63"/>
  <c r="G35"/>
  <c r="D27" i="3"/>
  <c r="D27" i="119"/>
  <c r="F24" i="87"/>
  <c r="E48" i="24"/>
  <c r="E49"/>
  <c r="K48"/>
  <c r="D7" i="73"/>
  <c r="D117" i="3"/>
  <c r="D13"/>
  <c r="D117" i="119"/>
  <c r="D13"/>
  <c r="F114" i="87"/>
  <c r="F10"/>
  <c r="C30" i="2"/>
  <c r="B30"/>
  <c r="C7"/>
  <c r="B7"/>
  <c r="E46" i="24"/>
  <c r="D11" i="73"/>
  <c r="D43" i="3"/>
  <c r="D39"/>
  <c r="F40" i="87"/>
  <c r="F36"/>
  <c r="E50" i="24"/>
  <c r="D40" i="376"/>
  <c r="D40" i="375"/>
  <c r="D41" i="373"/>
  <c r="D41" i="371"/>
  <c r="D41" i="370"/>
  <c r="G7" i="73"/>
  <c r="G8"/>
  <c r="D8"/>
  <c r="D98" i="3"/>
  <c r="D97"/>
  <c r="D20"/>
  <c r="C39" i="119"/>
  <c r="C43"/>
  <c r="D20"/>
  <c r="C43" i="120"/>
  <c r="C39"/>
  <c r="F95" i="87"/>
  <c r="F94"/>
  <c r="F17"/>
  <c r="E60" i="24"/>
  <c r="E59"/>
  <c r="E47"/>
  <c r="D161" i="3"/>
  <c r="D12"/>
  <c r="D12" i="119"/>
  <c r="F9" i="87"/>
  <c r="F6"/>
  <c r="C28" i="2"/>
  <c r="D9" i="3"/>
  <c r="D9" i="119"/>
  <c r="C17" i="2"/>
  <c r="D51" i="378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B1"/>
  <c r="D51" i="377"/>
  <c r="C51"/>
  <c r="D45"/>
  <c r="D57"/>
  <c r="C45"/>
  <c r="C57"/>
  <c r="D37"/>
  <c r="C37"/>
  <c r="D30"/>
  <c r="C30"/>
  <c r="D26"/>
  <c r="C26"/>
  <c r="D20"/>
  <c r="C20"/>
  <c r="D8"/>
  <c r="D36"/>
  <c r="D41"/>
  <c r="C8"/>
  <c r="C36"/>
  <c r="C41"/>
  <c r="B1"/>
  <c r="D51" i="376"/>
  <c r="C51"/>
  <c r="D45"/>
  <c r="D57"/>
  <c r="C45"/>
  <c r="C57"/>
  <c r="D37"/>
  <c r="D41"/>
  <c r="C37"/>
  <c r="D30"/>
  <c r="C30"/>
  <c r="D26"/>
  <c r="C26"/>
  <c r="D23"/>
  <c r="C23"/>
  <c r="C20"/>
  <c r="D20"/>
  <c r="D10"/>
  <c r="C10"/>
  <c r="C8"/>
  <c r="C36"/>
  <c r="C41"/>
  <c r="D8"/>
  <c r="D36"/>
  <c r="B1"/>
  <c r="D51" i="375"/>
  <c r="C51"/>
  <c r="D45"/>
  <c r="D57"/>
  <c r="C45"/>
  <c r="C57"/>
  <c r="D37"/>
  <c r="D41"/>
  <c r="C37"/>
  <c r="D30"/>
  <c r="C30"/>
  <c r="D26"/>
  <c r="C26"/>
  <c r="D23"/>
  <c r="D20"/>
  <c r="C23"/>
  <c r="C20"/>
  <c r="D10"/>
  <c r="D8"/>
  <c r="D36"/>
  <c r="C10"/>
  <c r="C8"/>
  <c r="C36"/>
  <c r="C41"/>
  <c r="D52" i="369"/>
  <c r="C52"/>
  <c r="D46"/>
  <c r="D58"/>
  <c r="C46"/>
  <c r="C58"/>
  <c r="D38"/>
  <c r="C38"/>
  <c r="D31"/>
  <c r="C31"/>
  <c r="D26"/>
  <c r="C26"/>
  <c r="D20"/>
  <c r="C20"/>
  <c r="D8"/>
  <c r="D37"/>
  <c r="D42"/>
  <c r="C8"/>
  <c r="C37"/>
  <c r="C42"/>
  <c r="D52" i="374"/>
  <c r="C52"/>
  <c r="D46"/>
  <c r="D58"/>
  <c r="C46"/>
  <c r="C58"/>
  <c r="D38"/>
  <c r="C38"/>
  <c r="D31"/>
  <c r="C31"/>
  <c r="D26"/>
  <c r="C26"/>
  <c r="D20"/>
  <c r="C20"/>
  <c r="D8"/>
  <c r="D37"/>
  <c r="D42"/>
  <c r="C8"/>
  <c r="C37"/>
  <c r="C42"/>
  <c r="D52" i="373"/>
  <c r="C52"/>
  <c r="D46"/>
  <c r="D58"/>
  <c r="C46"/>
  <c r="C58"/>
  <c r="D38"/>
  <c r="D42"/>
  <c r="C38"/>
  <c r="D31"/>
  <c r="C31"/>
  <c r="D26"/>
  <c r="C26"/>
  <c r="D20"/>
  <c r="C20"/>
  <c r="D8"/>
  <c r="D37"/>
  <c r="C8"/>
  <c r="C37"/>
  <c r="C42"/>
  <c r="D52" i="372"/>
  <c r="C52"/>
  <c r="D46"/>
  <c r="D58"/>
  <c r="C46"/>
  <c r="C58"/>
  <c r="D38"/>
  <c r="C38"/>
  <c r="C37"/>
  <c r="C42"/>
  <c r="D31"/>
  <c r="C31"/>
  <c r="D26"/>
  <c r="C26"/>
  <c r="D20"/>
  <c r="C20"/>
  <c r="D8"/>
  <c r="D37"/>
  <c r="D42"/>
  <c r="C8"/>
  <c r="D52" i="371"/>
  <c r="C52"/>
  <c r="D46"/>
  <c r="D58"/>
  <c r="C46"/>
  <c r="C58"/>
  <c r="D38"/>
  <c r="D42"/>
  <c r="C38"/>
  <c r="D31"/>
  <c r="C31"/>
  <c r="D26"/>
  <c r="C26"/>
  <c r="D20"/>
  <c r="C20"/>
  <c r="D8"/>
  <c r="D37"/>
  <c r="C8"/>
  <c r="C37"/>
  <c r="C42"/>
  <c r="D52" i="370"/>
  <c r="C52"/>
  <c r="D46"/>
  <c r="D58"/>
  <c r="C46"/>
  <c r="C58"/>
  <c r="D38"/>
  <c r="D42"/>
  <c r="C38"/>
  <c r="D31"/>
  <c r="C31"/>
  <c r="D26"/>
  <c r="C26"/>
  <c r="D20"/>
  <c r="C20"/>
  <c r="D8"/>
  <c r="D37"/>
  <c r="C8"/>
  <c r="C37"/>
  <c r="C42"/>
  <c r="D149" i="1"/>
  <c r="D146"/>
  <c r="D144"/>
  <c r="D137"/>
  <c r="D157"/>
  <c r="D133"/>
  <c r="D123"/>
  <c r="D121"/>
  <c r="D118"/>
  <c r="D115"/>
  <c r="D97"/>
  <c r="D132"/>
  <c r="D114"/>
  <c r="D102"/>
  <c r="D101"/>
  <c r="D83"/>
  <c r="D79"/>
  <c r="D76"/>
  <c r="D90"/>
  <c r="D71"/>
  <c r="D67"/>
  <c r="D63"/>
  <c r="D61"/>
  <c r="D56"/>
  <c r="D52"/>
  <c r="D50"/>
  <c r="D49"/>
  <c r="D46"/>
  <c r="D43"/>
  <c r="D38"/>
  <c r="D41"/>
  <c r="D37"/>
  <c r="D30"/>
  <c r="D31"/>
  <c r="D23"/>
  <c r="D16"/>
  <c r="D9"/>
  <c r="D154" i="116"/>
  <c r="D151"/>
  <c r="D149"/>
  <c r="D142"/>
  <c r="D138"/>
  <c r="D162"/>
  <c r="D128"/>
  <c r="D126"/>
  <c r="D123" s="1"/>
  <c r="D137" s="1"/>
  <c r="D163" s="1"/>
  <c r="D120"/>
  <c r="D119"/>
  <c r="D107"/>
  <c r="D102"/>
  <c r="D106"/>
  <c r="D88"/>
  <c r="D84"/>
  <c r="D81"/>
  <c r="D95"/>
  <c r="D96"/>
  <c r="D76"/>
  <c r="D72"/>
  <c r="D66"/>
  <c r="D61"/>
  <c r="D55"/>
  <c r="D54"/>
  <c r="D51"/>
  <c r="D48"/>
  <c r="D46"/>
  <c r="D43"/>
  <c r="D42"/>
  <c r="D35"/>
  <c r="D36"/>
  <c r="D28"/>
  <c r="D21"/>
  <c r="D14"/>
  <c r="D150" i="117"/>
  <c r="D145"/>
  <c r="D138"/>
  <c r="D134"/>
  <c r="D158"/>
  <c r="D124"/>
  <c r="D119"/>
  <c r="D116"/>
  <c r="D103"/>
  <c r="D98"/>
  <c r="D133"/>
  <c r="D159"/>
  <c r="D84"/>
  <c r="D80"/>
  <c r="D77"/>
  <c r="D72"/>
  <c r="D68"/>
  <c r="D91"/>
  <c r="D62"/>
  <c r="D57"/>
  <c r="D51"/>
  <c r="D39"/>
  <c r="D67"/>
  <c r="D92"/>
  <c r="D32"/>
  <c r="D31"/>
  <c r="D24"/>
  <c r="D17"/>
  <c r="D10"/>
  <c r="D149" i="118"/>
  <c r="D144"/>
  <c r="D137"/>
  <c r="D133"/>
  <c r="D157"/>
  <c r="D118"/>
  <c r="D97"/>
  <c r="D132"/>
  <c r="D83"/>
  <c r="D79"/>
  <c r="D76"/>
  <c r="D71"/>
  <c r="D67"/>
  <c r="D90"/>
  <c r="D61"/>
  <c r="D56"/>
  <c r="D50"/>
  <c r="D38"/>
  <c r="D31"/>
  <c r="D30"/>
  <c r="D23"/>
  <c r="D16"/>
  <c r="D9"/>
  <c r="C21" i="73"/>
  <c r="G29"/>
  <c r="G28"/>
  <c r="G30"/>
  <c r="G19"/>
  <c r="G31"/>
  <c r="D21"/>
  <c r="D20"/>
  <c r="D30"/>
  <c r="D31"/>
  <c r="C25"/>
  <c r="C11"/>
  <c r="C10"/>
  <c r="C8"/>
  <c r="C7"/>
  <c r="C19"/>
  <c r="C20" i="61"/>
  <c r="G31"/>
  <c r="G18"/>
  <c r="G32"/>
  <c r="D20"/>
  <c r="D19"/>
  <c r="D31"/>
  <c r="D32"/>
  <c r="C25"/>
  <c r="C12"/>
  <c r="C18"/>
  <c r="D11" i="77"/>
  <c r="F45" i="63"/>
  <c r="F41"/>
  <c r="F40"/>
  <c r="F39"/>
  <c r="F38"/>
  <c r="F37"/>
  <c r="F36"/>
  <c r="F35"/>
  <c r="F34"/>
  <c r="F33"/>
  <c r="F32"/>
  <c r="F31"/>
  <c r="F30"/>
  <c r="F29"/>
  <c r="F42"/>
  <c r="F26"/>
  <c r="F27"/>
  <c r="F25"/>
  <c r="F22"/>
  <c r="F21"/>
  <c r="F20"/>
  <c r="F19"/>
  <c r="F18"/>
  <c r="F17"/>
  <c r="F16"/>
  <c r="F15"/>
  <c r="F23"/>
  <c r="F14"/>
  <c r="F13"/>
  <c r="F9"/>
  <c r="F11" i="64"/>
  <c r="F8"/>
  <c r="F7"/>
  <c r="F6"/>
  <c r="F5"/>
  <c r="F22"/>
  <c r="D149" i="3"/>
  <c r="D144"/>
  <c r="D137"/>
  <c r="D133"/>
  <c r="D157"/>
  <c r="D123"/>
  <c r="D118"/>
  <c r="D114"/>
  <c r="D101"/>
  <c r="D96"/>
  <c r="D132"/>
  <c r="D158"/>
  <c r="D82"/>
  <c r="D78"/>
  <c r="D75"/>
  <c r="D89"/>
  <c r="D90"/>
  <c r="D70"/>
  <c r="D66"/>
  <c r="D60"/>
  <c r="D55"/>
  <c r="D49"/>
  <c r="D48"/>
  <c r="D45"/>
  <c r="D42"/>
  <c r="D37"/>
  <c r="D40"/>
  <c r="D33"/>
  <c r="D30"/>
  <c r="D29"/>
  <c r="D31"/>
  <c r="D22"/>
  <c r="D15"/>
  <c r="D8"/>
  <c r="D149" i="119"/>
  <c r="D146"/>
  <c r="D144"/>
  <c r="D137"/>
  <c r="D133"/>
  <c r="D157"/>
  <c r="D123"/>
  <c r="D121"/>
  <c r="D118"/>
  <c r="D114"/>
  <c r="D113"/>
  <c r="D101"/>
  <c r="D100"/>
  <c r="D82"/>
  <c r="D78"/>
  <c r="D75"/>
  <c r="D89"/>
  <c r="D90"/>
  <c r="D70"/>
  <c r="D66"/>
  <c r="D60"/>
  <c r="D55"/>
  <c r="D49"/>
  <c r="D48"/>
  <c r="D45"/>
  <c r="D42"/>
  <c r="D37"/>
  <c r="D65"/>
  <c r="D30"/>
  <c r="D29"/>
  <c r="D22"/>
  <c r="D15"/>
  <c r="D8"/>
  <c r="D148" i="120"/>
  <c r="D143"/>
  <c r="D136"/>
  <c r="D132"/>
  <c r="D156"/>
  <c r="D122"/>
  <c r="D117"/>
  <c r="D114"/>
  <c r="D101"/>
  <c r="D96"/>
  <c r="D131"/>
  <c r="D157"/>
  <c r="D82"/>
  <c r="D78"/>
  <c r="D75"/>
  <c r="D70"/>
  <c r="D66"/>
  <c r="D89"/>
  <c r="D60"/>
  <c r="D55"/>
  <c r="D49"/>
  <c r="D37"/>
  <c r="D65"/>
  <c r="D90"/>
  <c r="D30"/>
  <c r="D29"/>
  <c r="D22"/>
  <c r="D15"/>
  <c r="D8"/>
  <c r="D146" i="121"/>
  <c r="D140"/>
  <c r="D133"/>
  <c r="D129"/>
  <c r="D154"/>
  <c r="D114"/>
  <c r="D93"/>
  <c r="D128"/>
  <c r="D82"/>
  <c r="D78"/>
  <c r="D75"/>
  <c r="D70"/>
  <c r="D66"/>
  <c r="D89"/>
  <c r="D60"/>
  <c r="D55"/>
  <c r="D49"/>
  <c r="D37"/>
  <c r="D30"/>
  <c r="D29"/>
  <c r="D22"/>
  <c r="D15"/>
  <c r="D8"/>
  <c r="F146" i="87"/>
  <c r="F141"/>
  <c r="F134"/>
  <c r="F130"/>
  <c r="F154"/>
  <c r="F120"/>
  <c r="F118"/>
  <c r="F115"/>
  <c r="F111"/>
  <c r="F93"/>
  <c r="F129"/>
  <c r="F156"/>
  <c r="F158"/>
  <c r="F98"/>
  <c r="F79"/>
  <c r="F75"/>
  <c r="F72"/>
  <c r="F86"/>
  <c r="F88"/>
  <c r="F67"/>
  <c r="F63"/>
  <c r="F57"/>
  <c r="F52"/>
  <c r="F46"/>
  <c r="F45"/>
  <c r="F42"/>
  <c r="F39"/>
  <c r="F37"/>
  <c r="F34"/>
  <c r="F30"/>
  <c r="F28"/>
  <c r="F27"/>
  <c r="F26"/>
  <c r="F19"/>
  <c r="F12"/>
  <c r="F5"/>
  <c r="F62"/>
  <c r="N70" i="24"/>
  <c r="M70"/>
  <c r="L70"/>
  <c r="K70"/>
  <c r="J70"/>
  <c r="I70"/>
  <c r="H70"/>
  <c r="G70"/>
  <c r="F70"/>
  <c r="E70"/>
  <c r="D70"/>
  <c r="C70"/>
  <c r="O70"/>
  <c r="O69"/>
  <c r="E69"/>
  <c r="N68"/>
  <c r="M68"/>
  <c r="L68"/>
  <c r="K68"/>
  <c r="J68"/>
  <c r="I68"/>
  <c r="H68"/>
  <c r="G68"/>
  <c r="F68"/>
  <c r="E68"/>
  <c r="D68"/>
  <c r="C68"/>
  <c r="O68"/>
  <c r="N67"/>
  <c r="M67"/>
  <c r="L67"/>
  <c r="K67"/>
  <c r="J67"/>
  <c r="I67"/>
  <c r="H67"/>
  <c r="G67"/>
  <c r="F67"/>
  <c r="D67"/>
  <c r="C67"/>
  <c r="O67"/>
  <c r="O66"/>
  <c r="J65"/>
  <c r="E65"/>
  <c r="O65"/>
  <c r="N64"/>
  <c r="M64"/>
  <c r="L64"/>
  <c r="K64"/>
  <c r="J64"/>
  <c r="I64"/>
  <c r="H64"/>
  <c r="G64"/>
  <c r="F64"/>
  <c r="E64"/>
  <c r="D64"/>
  <c r="C64"/>
  <c r="O64"/>
  <c r="H63"/>
  <c r="C63"/>
  <c r="O63"/>
  <c r="N62"/>
  <c r="M62"/>
  <c r="L62"/>
  <c r="K62"/>
  <c r="J62"/>
  <c r="I62"/>
  <c r="H62"/>
  <c r="G62"/>
  <c r="F62"/>
  <c r="E62"/>
  <c r="D62"/>
  <c r="C62"/>
  <c r="O62"/>
  <c r="N61"/>
  <c r="M61"/>
  <c r="L61"/>
  <c r="K61"/>
  <c r="J61"/>
  <c r="I61"/>
  <c r="H61"/>
  <c r="G61"/>
  <c r="F61"/>
  <c r="D61"/>
  <c r="C61"/>
  <c r="O61"/>
  <c r="N60"/>
  <c r="M60"/>
  <c r="M71"/>
  <c r="L60"/>
  <c r="K60"/>
  <c r="J60"/>
  <c r="I60"/>
  <c r="I71"/>
  <c r="H60"/>
  <c r="G60"/>
  <c r="F60"/>
  <c r="E71"/>
  <c r="O71"/>
  <c r="O73"/>
  <c r="D60"/>
  <c r="C60"/>
  <c r="O60"/>
  <c r="N59"/>
  <c r="N71"/>
  <c r="M59"/>
  <c r="L59"/>
  <c r="L71"/>
  <c r="K59"/>
  <c r="K71"/>
  <c r="J59"/>
  <c r="J71"/>
  <c r="I59"/>
  <c r="H59"/>
  <c r="H71"/>
  <c r="G59"/>
  <c r="G71"/>
  <c r="F59"/>
  <c r="F71"/>
  <c r="D59"/>
  <c r="D71"/>
  <c r="C59"/>
  <c r="C71"/>
  <c r="O54"/>
  <c r="O53"/>
  <c r="O52"/>
  <c r="L51"/>
  <c r="K51"/>
  <c r="J51"/>
  <c r="I51"/>
  <c r="H51"/>
  <c r="G51"/>
  <c r="F51"/>
  <c r="E51"/>
  <c r="O51"/>
  <c r="D51"/>
  <c r="C51"/>
  <c r="N50"/>
  <c r="M50"/>
  <c r="L50"/>
  <c r="K50"/>
  <c r="J50"/>
  <c r="I50"/>
  <c r="H50"/>
  <c r="G50"/>
  <c r="F50"/>
  <c r="D50"/>
  <c r="C50"/>
  <c r="O50"/>
  <c r="N49"/>
  <c r="M49"/>
  <c r="L49"/>
  <c r="K49"/>
  <c r="J49"/>
  <c r="I49"/>
  <c r="H49"/>
  <c r="G49"/>
  <c r="F49"/>
  <c r="D49"/>
  <c r="C49"/>
  <c r="O49"/>
  <c r="O48"/>
  <c r="N47"/>
  <c r="M47"/>
  <c r="L47"/>
  <c r="K47"/>
  <c r="J47"/>
  <c r="I47"/>
  <c r="H47"/>
  <c r="G47"/>
  <c r="F47"/>
  <c r="D47"/>
  <c r="C47"/>
  <c r="O47"/>
  <c r="N46"/>
  <c r="N55"/>
  <c r="M46"/>
  <c r="M55"/>
  <c r="M73"/>
  <c r="L46"/>
  <c r="L55"/>
  <c r="K46"/>
  <c r="K55"/>
  <c r="J46"/>
  <c r="J55"/>
  <c r="I46"/>
  <c r="I55"/>
  <c r="I73"/>
  <c r="H46"/>
  <c r="H55"/>
  <c r="G46"/>
  <c r="G55"/>
  <c r="F46"/>
  <c r="F55"/>
  <c r="E55"/>
  <c r="O55"/>
  <c r="D46"/>
  <c r="D55"/>
  <c r="C46"/>
  <c r="O46"/>
  <c r="C37" i="2"/>
  <c r="C35"/>
  <c r="C26"/>
  <c r="C21"/>
  <c r="C18"/>
  <c r="C9"/>
  <c r="C39"/>
  <c r="E22" i="70"/>
  <c r="C100" i="1"/>
  <c r="C105" i="116"/>
  <c r="E28" i="24"/>
  <c r="E33"/>
  <c r="G25"/>
  <c r="F25"/>
  <c r="C44" i="1"/>
  <c r="C40"/>
  <c r="C38" s="1"/>
  <c r="C66" s="1"/>
  <c r="C49" i="116"/>
  <c r="C45"/>
  <c r="C45" i="117"/>
  <c r="C41"/>
  <c r="C76" i="3"/>
  <c r="E73" i="87"/>
  <c r="J25" i="24"/>
  <c r="E25"/>
  <c r="L41" i="63"/>
  <c r="L22"/>
  <c r="L22" i="64"/>
  <c r="C121" i="1"/>
  <c r="C119"/>
  <c r="C99"/>
  <c r="C98"/>
  <c r="C63"/>
  <c r="C61"/>
  <c r="C52"/>
  <c r="C149"/>
  <c r="C146"/>
  <c r="C144"/>
  <c r="C137"/>
  <c r="C133"/>
  <c r="C123"/>
  <c r="C118"/>
  <c r="C117"/>
  <c r="C115"/>
  <c r="C114"/>
  <c r="C102"/>
  <c r="C97"/>
  <c r="C101"/>
  <c r="C83"/>
  <c r="C79"/>
  <c r="C76"/>
  <c r="C90"/>
  <c r="C71"/>
  <c r="C67"/>
  <c r="C56"/>
  <c r="C50"/>
  <c r="C49"/>
  <c r="C46"/>
  <c r="C43"/>
  <c r="C41"/>
  <c r="C37"/>
  <c r="C31"/>
  <c r="C30"/>
  <c r="C23"/>
  <c r="C21"/>
  <c r="C16"/>
  <c r="C9"/>
  <c r="C126" i="116"/>
  <c r="C124"/>
  <c r="C123" s="1"/>
  <c r="C104"/>
  <c r="C102" s="1"/>
  <c r="C103"/>
  <c r="C26"/>
  <c r="C54"/>
  <c r="C51"/>
  <c r="C46"/>
  <c r="C154"/>
  <c r="C151"/>
  <c r="C149"/>
  <c r="C142"/>
  <c r="C138"/>
  <c r="C162"/>
  <c r="C128"/>
  <c r="C122"/>
  <c r="C120"/>
  <c r="C119"/>
  <c r="C106"/>
  <c r="C42"/>
  <c r="C88"/>
  <c r="C84"/>
  <c r="C81"/>
  <c r="C95"/>
  <c r="C76"/>
  <c r="C72"/>
  <c r="C66"/>
  <c r="C61"/>
  <c r="C55"/>
  <c r="C48"/>
  <c r="C43"/>
  <c r="C36"/>
  <c r="C28"/>
  <c r="C21"/>
  <c r="C14"/>
  <c r="C150" i="117"/>
  <c r="C145"/>
  <c r="C138"/>
  <c r="C158"/>
  <c r="C134"/>
  <c r="C124"/>
  <c r="C119"/>
  <c r="C116"/>
  <c r="C103"/>
  <c r="C98"/>
  <c r="C84"/>
  <c r="C80"/>
  <c r="C77"/>
  <c r="C72"/>
  <c r="C91"/>
  <c r="C68"/>
  <c r="C62"/>
  <c r="C57"/>
  <c r="C51"/>
  <c r="C39"/>
  <c r="C32"/>
  <c r="C31"/>
  <c r="C24"/>
  <c r="C17"/>
  <c r="C10"/>
  <c r="E32" i="24"/>
  <c r="E31"/>
  <c r="E118" i="87"/>
  <c r="E116"/>
  <c r="C121" i="119"/>
  <c r="C118" s="1"/>
  <c r="C119"/>
  <c r="F29" i="73"/>
  <c r="F30"/>
  <c r="F28"/>
  <c r="D10"/>
  <c r="D12" i="61"/>
  <c r="L17" i="63"/>
  <c r="G17"/>
  <c r="C17"/>
  <c r="J40"/>
  <c r="G40"/>
  <c r="C40"/>
  <c r="C39"/>
  <c r="G39"/>
  <c r="J39"/>
  <c r="J19"/>
  <c r="G19"/>
  <c r="C19"/>
  <c r="J9"/>
  <c r="G9"/>
  <c r="C9"/>
  <c r="J36"/>
  <c r="G36"/>
  <c r="C36"/>
  <c r="J38"/>
  <c r="G38"/>
  <c r="C38"/>
  <c r="J37"/>
  <c r="I37"/>
  <c r="G37"/>
  <c r="C37"/>
  <c r="J26"/>
  <c r="G26"/>
  <c r="C26"/>
  <c r="I41"/>
  <c r="G41"/>
  <c r="C41"/>
  <c r="G22"/>
  <c r="C22"/>
  <c r="L18"/>
  <c r="G18"/>
  <c r="C18"/>
  <c r="L33"/>
  <c r="G33"/>
  <c r="C33"/>
  <c r="I17"/>
  <c r="L34"/>
  <c r="G34"/>
  <c r="C34"/>
  <c r="K35"/>
  <c r="I35"/>
  <c r="I42"/>
  <c r="I51"/>
  <c r="C35"/>
  <c r="J31"/>
  <c r="G31"/>
  <c r="C31"/>
  <c r="J32"/>
  <c r="G32"/>
  <c r="C32"/>
  <c r="I18"/>
  <c r="J16"/>
  <c r="G16"/>
  <c r="C16"/>
  <c r="J15"/>
  <c r="I15"/>
  <c r="G15"/>
  <c r="C15"/>
  <c r="J14"/>
  <c r="G14"/>
  <c r="C14"/>
  <c r="C45"/>
  <c r="J29"/>
  <c r="G29"/>
  <c r="C29"/>
  <c r="J30"/>
  <c r="I30"/>
  <c r="G30"/>
  <c r="C30"/>
  <c r="J25"/>
  <c r="G25"/>
  <c r="C25"/>
  <c r="J13"/>
  <c r="I13"/>
  <c r="G13"/>
  <c r="C13"/>
  <c r="J21"/>
  <c r="I21"/>
  <c r="L20"/>
  <c r="L23"/>
  <c r="G21"/>
  <c r="G20"/>
  <c r="C21"/>
  <c r="C20"/>
  <c r="C7" i="64"/>
  <c r="E22"/>
  <c r="H22"/>
  <c r="I10"/>
  <c r="I9"/>
  <c r="J8"/>
  <c r="G8"/>
  <c r="C8"/>
  <c r="J11"/>
  <c r="G11"/>
  <c r="C11"/>
  <c r="J5"/>
  <c r="G5"/>
  <c r="G22"/>
  <c r="C5"/>
  <c r="K22"/>
  <c r="J7"/>
  <c r="G7"/>
  <c r="J6"/>
  <c r="J22"/>
  <c r="G6"/>
  <c r="C6"/>
  <c r="C22"/>
  <c r="C149" i="3"/>
  <c r="C144"/>
  <c r="C137"/>
  <c r="C133"/>
  <c r="C123"/>
  <c r="C118"/>
  <c r="C114"/>
  <c r="C101"/>
  <c r="C96"/>
  <c r="C82"/>
  <c r="C78"/>
  <c r="C75"/>
  <c r="C89"/>
  <c r="C90"/>
  <c r="C70"/>
  <c r="C66"/>
  <c r="C60"/>
  <c r="C55"/>
  <c r="C49"/>
  <c r="C48"/>
  <c r="C45"/>
  <c r="C43"/>
  <c r="C42"/>
  <c r="C40"/>
  <c r="C39"/>
  <c r="C33"/>
  <c r="C31"/>
  <c r="C30"/>
  <c r="C29"/>
  <c r="C22"/>
  <c r="C20"/>
  <c r="C15"/>
  <c r="C8"/>
  <c r="C98" i="119"/>
  <c r="C97"/>
  <c r="C146"/>
  <c r="C144"/>
  <c r="C117"/>
  <c r="C113"/>
  <c r="C100"/>
  <c r="C48"/>
  <c r="C45"/>
  <c r="C42"/>
  <c r="C37"/>
  <c r="E17" i="87"/>
  <c r="E30"/>
  <c r="E28"/>
  <c r="E45"/>
  <c r="E37"/>
  <c r="E42"/>
  <c r="E40"/>
  <c r="E34"/>
  <c r="E39"/>
  <c r="E36"/>
  <c r="N32" i="24"/>
  <c r="M32"/>
  <c r="L32"/>
  <c r="K32"/>
  <c r="J32"/>
  <c r="I32"/>
  <c r="H32"/>
  <c r="G32"/>
  <c r="D32"/>
  <c r="C32"/>
  <c r="O32"/>
  <c r="F32"/>
  <c r="H31"/>
  <c r="N31"/>
  <c r="M31"/>
  <c r="L31"/>
  <c r="K31"/>
  <c r="J31"/>
  <c r="I31"/>
  <c r="G31"/>
  <c r="F31"/>
  <c r="D31"/>
  <c r="C31"/>
  <c r="C25"/>
  <c r="N25"/>
  <c r="M25"/>
  <c r="L25"/>
  <c r="K25"/>
  <c r="I25"/>
  <c r="H25"/>
  <c r="D25"/>
  <c r="C34"/>
  <c r="D34"/>
  <c r="E34"/>
  <c r="F34"/>
  <c r="G34"/>
  <c r="H34"/>
  <c r="I34"/>
  <c r="J34"/>
  <c r="K34"/>
  <c r="L34"/>
  <c r="M34"/>
  <c r="N34"/>
  <c r="H27"/>
  <c r="C27"/>
  <c r="E29"/>
  <c r="J29"/>
  <c r="C28"/>
  <c r="N28"/>
  <c r="M28"/>
  <c r="L28"/>
  <c r="K28"/>
  <c r="G28"/>
  <c r="F28"/>
  <c r="J28"/>
  <c r="I28"/>
  <c r="H28"/>
  <c r="O28"/>
  <c r="D28"/>
  <c r="I26"/>
  <c r="H26"/>
  <c r="G26"/>
  <c r="F26"/>
  <c r="E26"/>
  <c r="D26"/>
  <c r="C26"/>
  <c r="N26"/>
  <c r="M26"/>
  <c r="L26"/>
  <c r="K26"/>
  <c r="J26"/>
  <c r="C24"/>
  <c r="N24"/>
  <c r="L24"/>
  <c r="K24"/>
  <c r="H24"/>
  <c r="G24"/>
  <c r="F24"/>
  <c r="O24"/>
  <c r="E24"/>
  <c r="M24"/>
  <c r="J24"/>
  <c r="I24"/>
  <c r="D24"/>
  <c r="C23"/>
  <c r="N23"/>
  <c r="L23"/>
  <c r="L35"/>
  <c r="K23"/>
  <c r="H23"/>
  <c r="G23"/>
  <c r="F23"/>
  <c r="M23"/>
  <c r="D23"/>
  <c r="E23"/>
  <c r="I23"/>
  <c r="I35"/>
  <c r="J23"/>
  <c r="K15"/>
  <c r="H15"/>
  <c r="D15"/>
  <c r="O15"/>
  <c r="E15"/>
  <c r="F15"/>
  <c r="G15"/>
  <c r="I15"/>
  <c r="J15"/>
  <c r="L15"/>
  <c r="C15"/>
  <c r="H14"/>
  <c r="G14"/>
  <c r="J14"/>
  <c r="F14"/>
  <c r="M14"/>
  <c r="L14"/>
  <c r="K14"/>
  <c r="I14"/>
  <c r="E14"/>
  <c r="D14"/>
  <c r="C14"/>
  <c r="N14"/>
  <c r="N13"/>
  <c r="M13"/>
  <c r="L13"/>
  <c r="K13"/>
  <c r="J13"/>
  <c r="I13"/>
  <c r="H13"/>
  <c r="G13"/>
  <c r="F13"/>
  <c r="E13"/>
  <c r="D13"/>
  <c r="C13"/>
  <c r="O13"/>
  <c r="K12"/>
  <c r="C11"/>
  <c r="D11"/>
  <c r="J11"/>
  <c r="K11"/>
  <c r="N11"/>
  <c r="N19"/>
  <c r="M11"/>
  <c r="L11"/>
  <c r="I11"/>
  <c r="H11"/>
  <c r="O11"/>
  <c r="G11"/>
  <c r="F11"/>
  <c r="E11"/>
  <c r="E19"/>
  <c r="N10"/>
  <c r="M10"/>
  <c r="M19"/>
  <c r="L10"/>
  <c r="L19"/>
  <c r="K10"/>
  <c r="K19"/>
  <c r="J10"/>
  <c r="J19"/>
  <c r="I10"/>
  <c r="H10"/>
  <c r="G10"/>
  <c r="G19"/>
  <c r="F10"/>
  <c r="F19"/>
  <c r="E10"/>
  <c r="D10"/>
  <c r="C10"/>
  <c r="B21" i="2"/>
  <c r="E29" i="128"/>
  <c r="E33"/>
  <c r="E35"/>
  <c r="D29"/>
  <c r="D33"/>
  <c r="D35"/>
  <c r="E9"/>
  <c r="E8"/>
  <c r="E20"/>
  <c r="E22"/>
  <c r="D9"/>
  <c r="D8"/>
  <c r="D20"/>
  <c r="D22"/>
  <c r="D25" i="73"/>
  <c r="D111" i="87"/>
  <c r="E111"/>
  <c r="C111"/>
  <c r="C60" i="119"/>
  <c r="C30"/>
  <c r="C29"/>
  <c r="I38" i="63"/>
  <c r="C9" i="128"/>
  <c r="C8"/>
  <c r="C20"/>
  <c r="C22"/>
  <c r="C26"/>
  <c r="D26"/>
  <c r="E26"/>
  <c r="C29"/>
  <c r="C33"/>
  <c r="C35"/>
  <c r="D22" i="70"/>
  <c r="B9" i="2"/>
  <c r="B18"/>
  <c r="B26"/>
  <c r="B35"/>
  <c r="B37"/>
  <c r="O10" i="24"/>
  <c r="O12"/>
  <c r="I19"/>
  <c r="I37"/>
  <c r="O14"/>
  <c r="O16"/>
  <c r="O17"/>
  <c r="O18"/>
  <c r="H19"/>
  <c r="C35"/>
  <c r="G35"/>
  <c r="K35"/>
  <c r="M35"/>
  <c r="O25"/>
  <c r="O26"/>
  <c r="O27"/>
  <c r="O29"/>
  <c r="O30"/>
  <c r="O31"/>
  <c r="O33"/>
  <c r="O34"/>
  <c r="D35"/>
  <c r="F35"/>
  <c r="H35"/>
  <c r="H37"/>
  <c r="J35"/>
  <c r="J37"/>
  <c r="C30" i="88"/>
  <c r="D30"/>
  <c r="D6" i="66"/>
  <c r="E6"/>
  <c r="F6"/>
  <c r="G6"/>
  <c r="H6"/>
  <c r="I7"/>
  <c r="I8"/>
  <c r="D9"/>
  <c r="E9"/>
  <c r="F9"/>
  <c r="G9"/>
  <c r="H9"/>
  <c r="I10"/>
  <c r="I11"/>
  <c r="D12"/>
  <c r="E12"/>
  <c r="F12"/>
  <c r="G12"/>
  <c r="H12"/>
  <c r="I13"/>
  <c r="D14"/>
  <c r="E14"/>
  <c r="E18"/>
  <c r="F14"/>
  <c r="G14"/>
  <c r="H14"/>
  <c r="I14"/>
  <c r="I15"/>
  <c r="D16"/>
  <c r="E16"/>
  <c r="F16"/>
  <c r="I16"/>
  <c r="G16"/>
  <c r="H16"/>
  <c r="I17"/>
  <c r="F18"/>
  <c r="G18"/>
  <c r="C5" i="87"/>
  <c r="D5"/>
  <c r="E5"/>
  <c r="C12"/>
  <c r="D12"/>
  <c r="E12"/>
  <c r="C19"/>
  <c r="D19"/>
  <c r="E19"/>
  <c r="C27"/>
  <c r="C26"/>
  <c r="D27"/>
  <c r="D26"/>
  <c r="E27"/>
  <c r="E26"/>
  <c r="C34"/>
  <c r="D34"/>
  <c r="C46"/>
  <c r="D46"/>
  <c r="E46"/>
  <c r="C52"/>
  <c r="D52"/>
  <c r="E52"/>
  <c r="C57"/>
  <c r="D57"/>
  <c r="E57"/>
  <c r="C63"/>
  <c r="D63"/>
  <c r="E63"/>
  <c r="C67"/>
  <c r="D67"/>
  <c r="E67"/>
  <c r="C72"/>
  <c r="D72"/>
  <c r="E72"/>
  <c r="C75"/>
  <c r="D75"/>
  <c r="E75"/>
  <c r="C79"/>
  <c r="D79"/>
  <c r="E79"/>
  <c r="C91"/>
  <c r="D91"/>
  <c r="C98"/>
  <c r="C93"/>
  <c r="D98"/>
  <c r="D93"/>
  <c r="E98"/>
  <c r="E93"/>
  <c r="C120"/>
  <c r="C115"/>
  <c r="D120"/>
  <c r="D115"/>
  <c r="E120"/>
  <c r="E115"/>
  <c r="C130"/>
  <c r="C154"/>
  <c r="D130"/>
  <c r="D154"/>
  <c r="E130"/>
  <c r="C134"/>
  <c r="D134"/>
  <c r="E134"/>
  <c r="E154"/>
  <c r="C141"/>
  <c r="D141"/>
  <c r="E141"/>
  <c r="C146"/>
  <c r="D146"/>
  <c r="E146"/>
  <c r="G10" i="89"/>
  <c r="G11"/>
  <c r="G12"/>
  <c r="G13"/>
  <c r="G14"/>
  <c r="G15"/>
  <c r="C16"/>
  <c r="D16"/>
  <c r="E16"/>
  <c r="F16"/>
  <c r="G16"/>
  <c r="C8" i="121"/>
  <c r="C15"/>
  <c r="C22"/>
  <c r="C29"/>
  <c r="C30"/>
  <c r="C37"/>
  <c r="C49"/>
  <c r="C55"/>
  <c r="C60"/>
  <c r="C66"/>
  <c r="C70"/>
  <c r="C75"/>
  <c r="C78"/>
  <c r="C82"/>
  <c r="C93"/>
  <c r="C114"/>
  <c r="C128"/>
  <c r="C155"/>
  <c r="C129"/>
  <c r="C133"/>
  <c r="C154"/>
  <c r="C140"/>
  <c r="C146"/>
  <c r="C8" i="120"/>
  <c r="C15"/>
  <c r="C22"/>
  <c r="C30"/>
  <c r="C29"/>
  <c r="C37"/>
  <c r="C65"/>
  <c r="C90"/>
  <c r="C49"/>
  <c r="C55"/>
  <c r="C60"/>
  <c r="C66"/>
  <c r="C70"/>
  <c r="C75"/>
  <c r="C78"/>
  <c r="C82"/>
  <c r="C101"/>
  <c r="C96"/>
  <c r="C131"/>
  <c r="C157"/>
  <c r="C114"/>
  <c r="C122"/>
  <c r="C117"/>
  <c r="C132"/>
  <c r="C136"/>
  <c r="C143"/>
  <c r="C148"/>
  <c r="C8" i="119"/>
  <c r="C15"/>
  <c r="C22"/>
  <c r="C49"/>
  <c r="C55"/>
  <c r="C66"/>
  <c r="C70"/>
  <c r="C75"/>
  <c r="C89"/>
  <c r="C78"/>
  <c r="C82"/>
  <c r="C101"/>
  <c r="C96"/>
  <c r="C132" s="1"/>
  <c r="C158" s="1"/>
  <c r="C114"/>
  <c r="C123"/>
  <c r="C133"/>
  <c r="C137"/>
  <c r="C149"/>
  <c r="E5" i="71"/>
  <c r="E6"/>
  <c r="E7"/>
  <c r="E8"/>
  <c r="E9"/>
  <c r="E10"/>
  <c r="E12"/>
  <c r="E11"/>
  <c r="B12"/>
  <c r="C12"/>
  <c r="D12"/>
  <c r="B14"/>
  <c r="C14"/>
  <c r="D14"/>
  <c r="D27"/>
  <c r="D37"/>
  <c r="E15"/>
  <c r="E16"/>
  <c r="E17"/>
  <c r="E18"/>
  <c r="E19"/>
  <c r="E20"/>
  <c r="E21"/>
  <c r="B22"/>
  <c r="C22"/>
  <c r="D22"/>
  <c r="B27"/>
  <c r="B37"/>
  <c r="C27"/>
  <c r="C37"/>
  <c r="E28"/>
  <c r="E29"/>
  <c r="E30"/>
  <c r="E31"/>
  <c r="E32"/>
  <c r="E33"/>
  <c r="E34"/>
  <c r="B35"/>
  <c r="C35"/>
  <c r="D35"/>
  <c r="E38"/>
  <c r="E39"/>
  <c r="E40"/>
  <c r="E41"/>
  <c r="E42"/>
  <c r="E43"/>
  <c r="E44"/>
  <c r="B45"/>
  <c r="C45"/>
  <c r="D45"/>
  <c r="D52"/>
  <c r="I5" i="64"/>
  <c r="I6"/>
  <c r="I8"/>
  <c r="I11"/>
  <c r="I9" i="63"/>
  <c r="C51"/>
  <c r="I14"/>
  <c r="I16"/>
  <c r="I19"/>
  <c r="I22"/>
  <c r="I23"/>
  <c r="K23"/>
  <c r="I25"/>
  <c r="I26"/>
  <c r="C27"/>
  <c r="D27"/>
  <c r="E27"/>
  <c r="E51"/>
  <c r="J27"/>
  <c r="K27"/>
  <c r="L27"/>
  <c r="K29"/>
  <c r="I29"/>
  <c r="I31"/>
  <c r="I32"/>
  <c r="I33"/>
  <c r="I34"/>
  <c r="I36"/>
  <c r="I39"/>
  <c r="I40"/>
  <c r="C42"/>
  <c r="H42"/>
  <c r="L42"/>
  <c r="I44"/>
  <c r="I45"/>
  <c r="E45"/>
  <c r="G45"/>
  <c r="H45"/>
  <c r="J45"/>
  <c r="K45"/>
  <c r="L45"/>
  <c r="C8" i="78"/>
  <c r="C11" i="77"/>
  <c r="F6" i="62"/>
  <c r="F7"/>
  <c r="F8"/>
  <c r="F11"/>
  <c r="F9"/>
  <c r="F10"/>
  <c r="C11"/>
  <c r="D11"/>
  <c r="E11"/>
  <c r="F18" i="61"/>
  <c r="F32"/>
  <c r="D18"/>
  <c r="D25"/>
  <c r="F31"/>
  <c r="F19" i="73"/>
  <c r="F31"/>
  <c r="D19"/>
  <c r="C9" i="118"/>
  <c r="C16"/>
  <c r="C23"/>
  <c r="C66"/>
  <c r="C31"/>
  <c r="C30"/>
  <c r="C38"/>
  <c r="C50"/>
  <c r="C56"/>
  <c r="C61"/>
  <c r="C67"/>
  <c r="C71"/>
  <c r="C76"/>
  <c r="C79"/>
  <c r="C83"/>
  <c r="C97"/>
  <c r="C118"/>
  <c r="C132"/>
  <c r="C133"/>
  <c r="C137"/>
  <c r="C144"/>
  <c r="C149"/>
  <c r="N35" i="24"/>
  <c r="N37"/>
  <c r="C86" i="87"/>
  <c r="D86"/>
  <c r="C19" i="24"/>
  <c r="C37"/>
  <c r="C23" i="63"/>
  <c r="B39" i="2"/>
  <c r="E62" i="87"/>
  <c r="L37" i="24"/>
  <c r="F37"/>
  <c r="O23"/>
  <c r="E35"/>
  <c r="E37"/>
  <c r="J42" i="63"/>
  <c r="J23"/>
  <c r="J51"/>
  <c r="G27"/>
  <c r="G51"/>
  <c r="G42"/>
  <c r="G23"/>
  <c r="H51"/>
  <c r="L51"/>
  <c r="I20"/>
  <c r="I7" i="64"/>
  <c r="I22"/>
  <c r="C157" i="3"/>
  <c r="C37"/>
  <c r="C65" i="119"/>
  <c r="C90"/>
  <c r="C157" i="1"/>
  <c r="C35" i="116"/>
  <c r="C107"/>
  <c r="C71"/>
  <c r="C129" i="87"/>
  <c r="C156"/>
  <c r="D129"/>
  <c r="D156"/>
  <c r="D62"/>
  <c r="D88"/>
  <c r="C90" i="118"/>
  <c r="C91"/>
  <c r="E45" i="71"/>
  <c r="I9" i="66"/>
  <c r="C157" i="119"/>
  <c r="E86" i="87"/>
  <c r="E88"/>
  <c r="I12" i="66"/>
  <c r="C89" i="121"/>
  <c r="C65"/>
  <c r="C90"/>
  <c r="M37" i="24"/>
  <c r="C157" i="118"/>
  <c r="C158"/>
  <c r="I27" i="63"/>
  <c r="E35" i="71"/>
  <c r="E22"/>
  <c r="C156" i="120"/>
  <c r="C89"/>
  <c r="C62" i="87"/>
  <c r="C88"/>
  <c r="H18" i="66"/>
  <c r="I6"/>
  <c r="I18"/>
  <c r="D18"/>
  <c r="G37" i="24"/>
  <c r="K37"/>
  <c r="C65" i="3"/>
  <c r="D19" i="24"/>
  <c r="D37"/>
  <c r="C96" i="116"/>
  <c r="C133" i="117"/>
  <c r="C159"/>
  <c r="C67"/>
  <c r="C92"/>
  <c r="O19" i="24"/>
  <c r="C163" i="1"/>
  <c r="C132"/>
  <c r="C158"/>
  <c r="C132" i="3"/>
  <c r="C158"/>
  <c r="E129" i="87"/>
  <c r="E156"/>
  <c r="E158"/>
  <c r="O35" i="24"/>
  <c r="O37"/>
  <c r="D66" i="118"/>
  <c r="D91"/>
  <c r="D158"/>
  <c r="C20" i="73"/>
  <c r="C30"/>
  <c r="C31"/>
  <c r="C19" i="61"/>
  <c r="C31"/>
  <c r="C32"/>
  <c r="F51" i="63"/>
  <c r="D65" i="3"/>
  <c r="D65" i="121"/>
  <c r="D90"/>
  <c r="D155"/>
  <c r="F73" i="24"/>
  <c r="G73"/>
  <c r="K73"/>
  <c r="J73"/>
  <c r="N73"/>
  <c r="D73"/>
  <c r="H73"/>
  <c r="L73"/>
  <c r="O59"/>
  <c r="C55"/>
  <c r="C73"/>
  <c r="K42" i="63"/>
  <c r="K51"/>
  <c r="D66" i="1"/>
  <c r="D71" i="116"/>
  <c r="E73" i="24"/>
  <c r="D163" i="1"/>
  <c r="D91"/>
  <c r="D158"/>
  <c r="D162"/>
  <c r="C91" l="1"/>
  <c r="C162"/>
  <c r="C137" i="116"/>
  <c r="C163" s="1"/>
</calcChain>
</file>

<file path=xl/comments1.xml><?xml version="1.0" encoding="utf-8"?>
<comments xmlns="http://schemas.openxmlformats.org/spreadsheetml/2006/main">
  <authors>
    <author>penzugy3</author>
  </authors>
  <commentLis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penzugy3:</t>
        </r>
        <r>
          <rPr>
            <sz val="9"/>
            <color indexed="81"/>
            <rFont val="Tahoma"/>
            <family val="2"/>
            <charset val="238"/>
          </rPr>
          <t xml:space="preserve">
bruttó összeg eltérés
</t>
        </r>
      </text>
    </comment>
  </commentList>
</comments>
</file>

<file path=xl/sharedStrings.xml><?xml version="1.0" encoding="utf-8"?>
<sst xmlns="http://schemas.openxmlformats.org/spreadsheetml/2006/main" count="4926" uniqueCount="734">
  <si>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</si>
  <si>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</si>
  <si>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</si>
  <si>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</si>
  <si>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</si>
  <si>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</si>
  <si>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</si>
  <si>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</si>
  <si>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</si>
  <si>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</si>
  <si>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</si>
  <si>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</si>
  <si>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</si>
  <si>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</si>
  <si>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</si>
  <si>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</si>
  <si>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</si>
  <si>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</si>
  <si>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</si>
  <si>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</si>
  <si>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</si>
  <si>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</si>
  <si>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</si>
  <si>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</si>
  <si>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</si>
  <si>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</si>
  <si>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</si>
  <si>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</si>
  <si>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</si>
  <si>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</si>
  <si>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</si>
  <si>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</si>
  <si>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</si>
  <si>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</si>
  <si>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</si>
  <si>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</si>
  <si>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</si>
  <si>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</si>
  <si>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</si>
  <si>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</si>
  <si>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</si>
  <si>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</si>
  <si>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</si>
  <si>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</si>
  <si>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</si>
  <si>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</si>
  <si>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</si>
  <si>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</si>
  <si>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</si>
  <si>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</si>
  <si>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</si>
  <si>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</si>
  <si>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</si>
  <si>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</si>
  <si>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</si>
  <si>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</si>
  <si>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</si>
  <si>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</si>
  <si>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</si>
  <si>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</si>
  <si>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</si>
  <si>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</si>
  <si>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</si>
  <si>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</si>
  <si>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</si>
  <si>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</si>
  <si>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</si>
  <si>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</si>
  <si>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</si>
  <si>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</si>
  <si>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</si>
  <si>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</si>
  <si>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</si>
  <si>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</si>
  <si>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</si>
  <si>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</si>
  <si>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</si>
  <si>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</si>
  <si>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</si>
  <si>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</si>
  <si>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</si>
  <si>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</si>
  <si>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</si>
  <si>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</si>
  <si>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</si>
  <si>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</si>
  <si>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</si>
  <si>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</si>
  <si>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</si>
  <si>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</si>
  <si>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</si>
  <si>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</si>
  <si>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</si>
  <si>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</si>
  <si>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</si>
  <si>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</si>
  <si>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</si>
  <si>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</si>
  <si>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</si>
  <si>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</si>
  <si>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</si>
  <si>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</si>
  <si>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</si>
  <si>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</si>
  <si>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</si>
  <si>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</si>
  <si>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</si>
  <si>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</si>
  <si>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</si>
  <si>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</si>
  <si>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</si>
  <si>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</si>
  <si>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</si>
  <si>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</si>
  <si>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</si>
  <si>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</si>
  <si>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</si>
  <si>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</si>
  <si>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</si>
  <si>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</si>
  <si>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</si>
  <si>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</si>
  <si>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</si>
  <si>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</si>
  <si>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</si>
  <si>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</si>
  <si>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</si>
  <si>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</si>
  <si>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</si>
  <si>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</si>
  <si>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</si>
  <si>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</si>
  <si>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</si>
  <si>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</si>
  <si>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</si>
  <si>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</si>
  <si>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</si>
  <si>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</si>
  <si>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</si>
  <si>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</si>
  <si>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</si>
  <si>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</si>
  <si>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</si>
  <si>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</si>
  <si>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</si>
  <si>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</si>
  <si>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</si>
  <si>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</si>
  <si>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</si>
  <si>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</si>
  <si>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</si>
  <si>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</si>
  <si>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</si>
  <si>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</si>
  <si>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</si>
  <si>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</si>
  <si>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</si>
  <si>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</si>
  <si>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</si>
  <si>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</si>
  <si>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</si>
  <si>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</si>
  <si>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</si>
  <si>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</si>
  <si>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</si>
  <si>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</si>
  <si>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</si>
  <si>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</si>
  <si>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</si>
  <si>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</si>
  <si>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</si>
  <si>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</si>
  <si>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</si>
  <si>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</si>
  <si>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</si>
  <si>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</si>
  <si>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</si>
  <si>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</si>
  <si>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</si>
  <si>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</si>
  <si>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</si>
  <si>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</si>
  <si>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</si>
  <si>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</si>
  <si>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</si>
  <si>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</si>
  <si>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</si>
  <si>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</si>
  <si>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</si>
  <si>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</si>
  <si>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</si>
  <si>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</si>
  <si>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</si>
  <si>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</si>
  <si>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</si>
  <si>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</si>
  <si>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</si>
  <si>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</si>
  <si>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</si>
  <si>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</si>
  <si>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</si>
  <si>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</si>
  <si>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</si>
  <si>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</si>
  <si>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</si>
  <si>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</si>
  <si>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</si>
  <si>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</si>
  <si>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</si>
  <si>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</si>
  <si>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</si>
  <si>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</si>
  <si>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</si>
  <si>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</si>
  <si>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</si>
  <si>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</si>
  <si>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</si>
  <si>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</si>
  <si>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</si>
  <si>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</si>
  <si>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</si>
  <si>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</si>
  <si>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</si>
  <si>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</si>
  <si>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</si>
  <si>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</si>
  <si>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</si>
  <si>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</si>
  <si>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</si>
  <si>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</si>
  <si>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</si>
  <si>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</si>
  <si>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</si>
  <si>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</si>
  <si>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</si>
  <si>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</si>
  <si>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</si>
  <si>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</si>
  <si>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</si>
  <si>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</si>
  <si>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</si>
  <si>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</si>
  <si>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</si>
  <si>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</si>
  <si>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</si>
  <si>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</si>
  <si>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</si>
  <si>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</si>
  <si>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</si>
  <si>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</si>
  <si>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</si>
  <si>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</si>
  <si>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</si>
  <si>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</si>
  <si>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</si>
  <si>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</si>
  <si>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</si>
  <si>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</si>
  <si>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</si>
  <si>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</si>
  <si>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</si>
  <si>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</si>
  <si>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</si>
  <si>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</si>
  <si>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</si>
  <si>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</si>
  <si>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</si>
  <si>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</si>
  <si>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</si>
  <si>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</si>
  <si>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</si>
  <si>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</si>
  <si>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</si>
  <si>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</si>
  <si>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</si>
  <si>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</si>
  <si>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</si>
  <si>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</si>
  <si>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</si>
  <si>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</si>
  <si>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</si>
  <si>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</si>
  <si>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</si>
  <si>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</si>
  <si>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</si>
  <si>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</si>
  <si>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</si>
  <si>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</si>
  <si>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</si>
  <si>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</si>
  <si>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</si>
  <si>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</si>
  <si>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</si>
  <si>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</si>
  <si>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</si>
  <si>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</si>
  <si>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</si>
  <si>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</si>
  <si>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</si>
  <si>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</si>
  <si>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</si>
  <si>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</si>
  <si>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</si>
  <si>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</si>
  <si>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</si>
  <si>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</si>
  <si>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</si>
  <si>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</si>
  <si>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</si>
  <si>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</si>
  <si>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</si>
  <si>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</si>
  <si>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</si>
  <si>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</si>
  <si>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</si>
  <si>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</si>
  <si>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</si>
  <si>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</si>
  <si>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</si>
  <si>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</si>
  <si>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</si>
  <si>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</si>
  <si>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</si>
  <si>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</si>
  <si>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</si>
  <si>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</si>
  <si>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</si>
  <si>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</si>
  <si>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</si>
  <si>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</si>
  <si>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</si>
  <si>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</si>
  <si>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</si>
  <si>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</si>
  <si>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</si>
  <si>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</si>
  <si>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</si>
  <si>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</si>
  <si>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</si>
  <si>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</si>
  <si>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</si>
  <si>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</si>
  <si>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</si>
  <si>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</si>
  <si>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</si>
  <si>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</si>
  <si>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</si>
  <si>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</si>
  <si>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</si>
  <si>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</si>
  <si>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</si>
  <si>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</si>
  <si>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</si>
  <si>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</si>
  <si>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</si>
  <si>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</si>
  <si>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</si>
  <si>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</si>
  <si>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</si>
  <si>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</si>
  <si>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</si>
  <si>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</si>
  <si>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</si>
  <si>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</si>
  <si>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</si>
  <si>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</si>
  <si>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</si>
  <si>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</si>
  <si>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</si>
  <si>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</si>
  <si>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</si>
  <si>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</si>
  <si>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</si>
  <si>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</si>
  <si>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</si>
  <si>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</si>
  <si>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</si>
  <si>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</si>
  <si>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</si>
  <si>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</si>
  <si>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</si>
  <si>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</si>
  <si>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</si>
  <si>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</si>
  <si>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</si>
  <si>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</si>
  <si>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</si>
  <si>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</si>
  <si>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</si>
  <si>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</si>
  <si>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</si>
  <si>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</si>
  <si>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</si>
  <si>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</si>
  <si>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</si>
  <si>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</si>
  <si>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</si>
  <si>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</si>
  <si>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</si>
  <si>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</si>
  <si>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</si>
  <si>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</si>
  <si>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</si>
  <si>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</si>
  <si>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</si>
  <si>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</si>
  <si>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</si>
  <si>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</si>
  <si>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</si>
  <si>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</si>
  <si>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</si>
  <si>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</si>
  <si>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</si>
  <si>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</si>
  <si>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</si>
  <si>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</si>
  <si>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</si>
  <si>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</si>
  <si>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</si>
  <si>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</si>
  <si>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</si>
  <si>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</si>
  <si>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</si>
  <si>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</si>
  <si>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</si>
  <si>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</si>
  <si>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</si>
  <si>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</si>
  <si>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</si>
  <si>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</si>
  <si>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</si>
  <si>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</si>
  <si>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</si>
  <si>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</si>
  <si>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</si>
  <si>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</si>
  <si>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</si>
  <si>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</si>
  <si>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</si>
  <si>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</si>
  <si>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</si>
  <si>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</si>
  <si>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</si>
  <si>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</si>
  <si>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</si>
  <si>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</si>
  <si>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</si>
  <si>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</si>
  <si>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</si>
  <si>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</si>
  <si>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</si>
  <si>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</si>
  <si>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</si>
  <si>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</si>
  <si>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</si>
  <si>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</si>
  <si>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</si>
  <si>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</si>
  <si>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</si>
  <si>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</si>
  <si>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</si>
  <si>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</si>
  <si>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</si>
  <si>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</si>
  <si>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</si>
  <si>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</si>
  <si>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</si>
  <si>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</si>
  <si>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</si>
  <si>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</si>
  <si>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</si>
  <si>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</si>
  <si>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</si>
  <si>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</si>
  <si>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</si>
  <si>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</si>
  <si>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</si>
  <si>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</si>
  <si>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</si>
  <si>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</si>
  <si>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</si>
  <si>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</si>
  <si>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</si>
  <si>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</si>
  <si>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</si>
  <si>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</si>
  <si>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</si>
  <si>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</si>
  <si>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</si>
  <si>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</si>
  <si>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</si>
  <si>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</si>
  <si>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</si>
  <si>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</si>
  <si>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</si>
  <si>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</si>
  <si>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</si>
  <si>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</si>
  <si>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</si>
  <si>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</si>
  <si>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</si>
  <si>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</si>
  <si>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</si>
  <si>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</si>
  <si>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</si>
  <si>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</si>
  <si>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</si>
  <si>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</si>
  <si>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</si>
  <si>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</si>
  <si>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</si>
  <si>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</si>
  <si>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</si>
  <si>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</si>
  <si>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</si>
  <si>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</si>
  <si>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</si>
  <si>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</si>
  <si>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</si>
  <si>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</si>
  <si>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</si>
  <si>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</si>
  <si>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</si>
  <si>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</si>
  <si>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</si>
  <si>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</si>
  <si>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</si>
  <si>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</si>
  <si>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</si>
  <si>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</si>
  <si>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</si>
  <si>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</si>
  <si>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</si>
  <si>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</si>
  <si>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</si>
  <si>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</si>
  <si>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</si>
  <si>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</si>
  <si>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</si>
  <si>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</si>
  <si>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</si>
  <si>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</si>
  <si>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</si>
  <si>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</si>
  <si>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</si>
  <si>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</si>
  <si>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</si>
  <si>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</si>
  <si>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</si>
  <si>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</si>
  <si>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</si>
  <si>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</si>
  <si>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</si>
  <si>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</si>
  <si>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</si>
  <si>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</si>
  <si>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</si>
  <si>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</si>
  <si>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</si>
  <si>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</si>
  <si>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</si>
  <si>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</si>
  <si>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</si>
  <si>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</si>
  <si>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</si>
  <si>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</si>
  <si>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</si>
  <si>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</si>
  <si>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</si>
  <si>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</si>
  <si>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</si>
  <si>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</si>
  <si>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</si>
  <si>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</si>
  <si>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</si>
  <si>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</si>
  <si>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</si>
  <si>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</si>
  <si>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Sorszám</t>
  </si>
  <si>
    <t>Len-Ki Baba Kft</t>
  </si>
  <si>
    <t xml:space="preserve">K I M U T A T Á S </t>
  </si>
  <si>
    <t>Ft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</si>
  <si>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</si>
  <si>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</si>
  <si>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</si>
  <si>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</si>
  <si>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</si>
  <si>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</si>
  <si>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2018.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</si>
  <si>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</si>
  <si>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</si>
  <si>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</si>
  <si>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</si>
  <si>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</si>
  <si>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</si>
  <si>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2019.</t>
  </si>
  <si>
    <t>2020.</t>
  </si>
  <si>
    <t>Hozzájárulás  (Ft)</t>
  </si>
  <si>
    <t>Eszközbeszerzés-gép,berendezés (Polgármester)</t>
  </si>
  <si>
    <t>Eszközbeszerzés-informatikai (Polgármester)</t>
  </si>
  <si>
    <t>Eszközbeszerzés-informatikai (Gyermekorvos)</t>
  </si>
  <si>
    <t>Eszközbeszerzés-gép,berendezés (védőnő)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</si>
  <si>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</si>
  <si>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</si>
  <si>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</si>
  <si>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</si>
  <si>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</si>
  <si>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</si>
  <si>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</si>
  <si>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</si>
  <si>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</si>
  <si>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</si>
  <si>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</si>
  <si>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</si>
  <si>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</si>
  <si>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</si>
  <si>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</si>
  <si>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</si>
  <si>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</si>
  <si>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</si>
  <si>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</si>
  <si>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</si>
  <si>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Védőnő</t>
  </si>
  <si>
    <t>Eszközbeszerzés-gép,berendezés (gyermekorvos)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</si>
  <si>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</si>
  <si>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</si>
  <si>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</si>
  <si>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</si>
  <si>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Város-és községgazd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</si>
  <si>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</si>
  <si>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</si>
  <si>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</si>
  <si>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</si>
  <si>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</si>
  <si>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</si>
  <si>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</si>
  <si>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</si>
  <si>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 xml:space="preserve">Vonyarcvashegy Sportegyesület </t>
  </si>
  <si>
    <t>Lakossági víz-csatornaszolgáltatási támogatás</t>
  </si>
  <si>
    <t>Kiegészítő, központosított előirányzat</t>
  </si>
  <si>
    <t>Egyéb kulturális támogatás (könyvtári érdekeltségnövelő támogatás)</t>
  </si>
  <si>
    <t>Temetői kőkeresztek felújítása</t>
  </si>
  <si>
    <t>Közös Hivatal felújítása</t>
  </si>
  <si>
    <t>Szociális tűzifa támogatás</t>
  </si>
  <si>
    <t>Morzsa Állatvédelmi Alapítvány</t>
  </si>
  <si>
    <t>VONYARVASHEGY NAGYKÖZSÉG ÖNKORMÁNYZAT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</si>
  <si>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</si>
  <si>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</si>
  <si>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</si>
  <si>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</si>
  <si>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</si>
  <si>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</si>
  <si>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2018. év utáni szükséglet</t>
  </si>
  <si>
    <t>Polgármesteri illetmény támogatása</t>
  </si>
  <si>
    <t>Járdafelújítás (strand)</t>
  </si>
  <si>
    <t>Műfüves pálya labdafogó hálótartó oszlopok</t>
  </si>
  <si>
    <t>Önkorm.vagyonnal való gazd.</t>
  </si>
  <si>
    <t>Kisajátítás-kártalanítás (Mondák Háza)</t>
  </si>
  <si>
    <t>Emléktábla (Tóvölgyi László)</t>
  </si>
  <si>
    <t>Beruházás (ingatlan)(strand)</t>
  </si>
  <si>
    <t>Kamerarendszer (temető)</t>
  </si>
  <si>
    <t>4. tájékoztató tábla</t>
  </si>
  <si>
    <t>2020. évi</t>
  </si>
  <si>
    <t>2021. évi</t>
  </si>
  <si>
    <t>Forintban</t>
  </si>
  <si>
    <t xml:space="preserve">                              ebből: Közművelődési érdekeltségnövelő pályázati önerő</t>
  </si>
  <si>
    <t>Külterületi utak fejlesztése (külterületi utak pályázat)</t>
  </si>
  <si>
    <t>Belterületi utak</t>
  </si>
  <si>
    <t>Szoftver (strand)</t>
  </si>
  <si>
    <t>felhalmozási c.támogatás (eszközbeszerzés)</t>
  </si>
  <si>
    <t>Felhalmozási célú támogatások</t>
  </si>
  <si>
    <t>Tálcacsúszda (önkorm.étkeztetési fejlesztések támog.pályázat)</t>
  </si>
  <si>
    <t>Gyermekétkeztetés</t>
  </si>
  <si>
    <t>Tálcakocsi, tálca (önkorm.étkeztetési fejlesztések támog.pályázat)</t>
  </si>
  <si>
    <t>2019. ÉVI KÖLTSÉGVETÉSÉNEK ÖSSZEVONT MÉRLEGE</t>
  </si>
  <si>
    <t>Vonyarcvashegy Nagyközség Önkormányzata  2019. évi adósságot keletkeztető fejlesztési céljai</t>
  </si>
  <si>
    <t>Felhasználás 2018.12.31-ig</t>
  </si>
  <si>
    <t>2020.után</t>
  </si>
  <si>
    <t>Önkormányzaton kívüli EU-s projektekhez történő hozzájárulás 2019. évi előirányzat</t>
  </si>
  <si>
    <t>Vonyarcvashegy, 2019. .......................... hó .....nap</t>
  </si>
  <si>
    <t>2017. évi tény</t>
  </si>
  <si>
    <t>2018. évi várható</t>
  </si>
  <si>
    <t>2018. év előtti kifizetés</t>
  </si>
  <si>
    <t>2020. után</t>
  </si>
  <si>
    <t>2022. évi</t>
  </si>
  <si>
    <t>a 2019. évben céljelleggel juttatott támogatásokról</t>
  </si>
  <si>
    <t>Támogatás összege (2019.01)</t>
  </si>
  <si>
    <t>A 2019. évi működési és felhalmozási feladatok állami támogatásának alakulása jogcímenként</t>
  </si>
  <si>
    <t>2019. évi támogatás (2019.01)</t>
  </si>
  <si>
    <t>Előirányzat-felhasználási terv 2019. évre</t>
  </si>
  <si>
    <t>(2019.01)</t>
  </si>
  <si>
    <t>2019. év utáni szükséglet</t>
  </si>
  <si>
    <t>Eredeti előirányzat (2019.01)</t>
  </si>
  <si>
    <t>2019. ÉVI KÖLTSÉGVETÉSÉNEK MÉRLEGE</t>
  </si>
  <si>
    <t>Bérkompenzáció (2019. év)</t>
  </si>
  <si>
    <t>2018. évi pótigény</t>
  </si>
  <si>
    <t>Csalogány utca aszfaltozás, padka építés</t>
  </si>
  <si>
    <t>2019-2019</t>
  </si>
  <si>
    <t>Településfejlesztés</t>
  </si>
  <si>
    <t>2018-2019</t>
  </si>
  <si>
    <t>Eszközfelújítás (strand)</t>
  </si>
  <si>
    <t>Eszközbeszerzés (kandelláber, lámpatestek)</t>
  </si>
  <si>
    <t>Részesedés beszerzés</t>
  </si>
  <si>
    <t xml:space="preserve">Óvoda étkező bejárati ajtaja </t>
  </si>
  <si>
    <t>Bölcsöde építése (tervezési díj)</t>
  </si>
  <si>
    <t>Eszközbeszerzés-gép,berendezés (város-községgazdálkodás)(pl. tűzoltóautó, utánfutó)</t>
  </si>
  <si>
    <t>Színpad (pályázat-színpad)</t>
  </si>
  <si>
    <t>Eszközbeszerzés-gép,berendezés (háziorvos, iskolaorvos)</t>
  </si>
  <si>
    <t>Háziorvos, Ifjuság-eü.gond.</t>
  </si>
  <si>
    <t>Eszközbeszerzés-gép,berendezés (strand)(pl. röplabdapálya fejlesztése, elektromos autó)</t>
  </si>
  <si>
    <t>BERUHÁZÁSi (felhalmozási) kiadások előirányzata beruházásonként</t>
  </si>
  <si>
    <t>FELÚJÍTÁSi kiadások előirányzata felújításonként</t>
  </si>
  <si>
    <t>Éves eredeti kiadási előirányzat: 1.154.843.483 Ft</t>
  </si>
  <si>
    <t>Keszthely és Környéke Egészségügyéért Alapítvány</t>
  </si>
  <si>
    <t>Támogatás összege (2019.03)</t>
  </si>
  <si>
    <t>2019. évi támogatás (2019.03)</t>
  </si>
  <si>
    <t>(2019.03)</t>
  </si>
  <si>
    <t>Módosított előirányzat (2019.03)</t>
  </si>
  <si>
    <t>Kiegyenlítő bérrendezési alap</t>
  </si>
  <si>
    <t>Szabályozási terv (településrendezési terv) módosítása</t>
  </si>
  <si>
    <t xml:space="preserve"> 1.2. melléklet a 5/2019. (III.28.) önkormányzati rendelethez</t>
  </si>
  <si>
    <t>2.1. melléklet a 5/2019. (III.28.) önkormányzati rendelethez</t>
  </si>
  <si>
    <t>2.2. melléklet a 5/2019. (III.28.) önkormányzati rendelethez</t>
  </si>
  <si>
    <t>6. melléklet a 5/2019. (III.28.) önkormányzati rendelethez</t>
  </si>
  <si>
    <t>9.1. melléklet a 5/2019. (III.28.) önkormányzati rendelethez</t>
  </si>
  <si>
    <t>9.1.1. melléklet a 5/2019. (III.28.) önkormányzati rendelethez</t>
  </si>
  <si>
    <t>9.1.2. melléklet a 5/2019. (III.28.) önkormányzati rendelethez</t>
  </si>
  <si>
    <t>9.1.3. melléklet a 5/2019. (III.28.) önkormányzati rendelethez</t>
  </si>
  <si>
    <t>9.2. melléklet a 5/2019. (III.28.) önkormányzati rendelethez</t>
  </si>
  <si>
    <t>9.2.(2-1) melléklet a 5/2019. (III.28.) önkormányzati rendelethez</t>
  </si>
  <si>
    <t>9.2.(2-2) melléklet a 5/2019. (III.28.) önkormányzati rendelethez</t>
  </si>
  <si>
    <t>9.2.1. melléklet a 5/2019. (III.28.) önkormányzati rendelethez</t>
  </si>
  <si>
    <t>9.2.2. melléklet a 5/2019. (III.28.) önkormányzati rendelethez</t>
  </si>
  <si>
    <t>9.2.3. melléklet a 5/2019. (III.28.)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</si>
</sst>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75">
    <xf numFmtId="0" fontId="0" fillId="0" borderId="0" xfId="0"/>
    <xf numFmtId="166" fontId="9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 indent="1"/>
    </xf>
    <xf numFmtId="0" fontId="18" fillId="0" borderId="11" xfId="4" applyFont="1" applyBorder="1" applyAlignment="1">
      <alignment horizontal="left" vertical="center" wrapText="1" indent="1"/>
    </xf>
    <xf numFmtId="0" fontId="18" fillId="0" borderId="12" xfId="4" applyFont="1" applyBorder="1" applyAlignment="1">
      <alignment horizontal="left" vertical="center" wrapText="1" indent="1"/>
    </xf>
    <xf numFmtId="0" fontId="18" fillId="0" borderId="13" xfId="4" applyFont="1" applyBorder="1" applyAlignment="1">
      <alignment horizontal="left" vertical="center" wrapText="1" indent="1"/>
    </xf>
    <xf numFmtId="0" fontId="16" fillId="0" borderId="7" xfId="4" applyFont="1" applyBorder="1" applyAlignment="1">
      <alignment horizontal="left" vertical="center" wrapText="1" indent="1"/>
    </xf>
    <xf numFmtId="166" fontId="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66" fontId="15" fillId="0" borderId="0" xfId="0" applyNumberFormat="1" applyFont="1" applyAlignment="1">
      <alignment horizontal="right" vertical="center" wrapText="1" indent="1"/>
    </xf>
    <xf numFmtId="0" fontId="15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6" fontId="6" fillId="0" borderId="17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3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4"/>
    <xf numFmtId="0" fontId="11" fillId="0" borderId="6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5" fillId="0" borderId="19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8" fillId="0" borderId="0" xfId="4" applyFont="1"/>
    <xf numFmtId="0" fontId="15" fillId="0" borderId="6" xfId="4" applyFont="1" applyBorder="1" applyAlignment="1">
      <alignment horizontal="left" vertical="center" wrapText="1" indent="1"/>
    </xf>
    <xf numFmtId="0" fontId="15" fillId="0" borderId="7" xfId="4" applyFont="1" applyBorder="1" applyAlignment="1">
      <alignment horizontal="left" vertical="center" wrapText="1" indent="1"/>
    </xf>
    <xf numFmtId="166" fontId="15" fillId="0" borderId="8" xfId="4" applyNumberFormat="1" applyFont="1" applyBorder="1" applyAlignment="1">
      <alignment horizontal="right" vertical="center" wrapText="1" indent="1"/>
    </xf>
    <xf numFmtId="0" fontId="24" fillId="0" borderId="0" xfId="4" applyFont="1"/>
    <xf numFmtId="49" fontId="18" fillId="0" borderId="20" xfId="4" applyNumberFormat="1" applyFont="1" applyBorder="1" applyAlignment="1">
      <alignment horizontal="left" vertical="center" wrapText="1" indent="1"/>
    </xf>
    <xf numFmtId="0" fontId="25" fillId="0" borderId="13" xfId="0" applyFont="1" applyBorder="1" applyAlignment="1">
      <alignment horizontal="left" wrapText="1" indent="1"/>
    </xf>
    <xf numFmtId="166" fontId="18" fillId="0" borderId="14" xfId="4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4" applyNumberFormat="1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wrapText="1" indent="1"/>
    </xf>
    <xf numFmtId="166" fontId="18" fillId="0" borderId="17" xfId="4" applyNumberFormat="1" applyFont="1" applyBorder="1" applyAlignment="1" applyProtection="1">
      <alignment horizontal="right" vertical="center" wrapText="1" indent="1"/>
      <protection locked="0"/>
    </xf>
    <xf numFmtId="0" fontId="25" fillId="0" borderId="11" xfId="0" applyFont="1" applyBorder="1" applyAlignment="1">
      <alignment horizontal="left" vertical="center" wrapText="1" indent="1"/>
    </xf>
    <xf numFmtId="49" fontId="18" fillId="0" borderId="22" xfId="4" applyNumberFormat="1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166" fontId="18" fillId="0" borderId="24" xfId="4" applyNumberFormat="1" applyFont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>
      <alignment horizontal="left" wrapText="1" indent="1"/>
    </xf>
    <xf numFmtId="166" fontId="16" fillId="0" borderId="8" xfId="4" applyNumberFormat="1" applyFont="1" applyBorder="1" applyAlignment="1">
      <alignment horizontal="right" vertical="center" wrapText="1" indent="1"/>
    </xf>
    <xf numFmtId="166" fontId="18" fillId="0" borderId="14" xfId="4" applyNumberFormat="1" applyFont="1" applyBorder="1" applyAlignment="1">
      <alignment horizontal="right" vertical="center" wrapText="1" indent="1"/>
    </xf>
    <xf numFmtId="0" fontId="25" fillId="0" borderId="11" xfId="0" quotePrefix="1" applyFont="1" applyBorder="1" applyAlignment="1">
      <alignment horizontal="left" wrapText="1" indent="1"/>
    </xf>
    <xf numFmtId="166" fontId="6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6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6" fillId="0" borderId="14" xfId="4" applyNumberFormat="1" applyFont="1" applyBorder="1" applyAlignment="1" applyProtection="1">
      <alignment horizontal="right" vertical="center" wrapText="1" indent="1"/>
      <protection locked="0"/>
    </xf>
    <xf numFmtId="0" fontId="15" fillId="0" borderId="6" xfId="4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0" xfId="0" applyFont="1" applyBorder="1" applyAlignment="1">
      <alignment wrapText="1"/>
    </xf>
    <xf numFmtId="0" fontId="25" fillId="0" borderId="21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166" fontId="15" fillId="0" borderId="8" xfId="4" applyNumberFormat="1" applyFont="1" applyBorder="1" applyAlignment="1" applyProtection="1">
      <alignment horizontal="right" vertical="center" wrapText="1" indent="1"/>
      <protection locked="0"/>
    </xf>
    <xf numFmtId="0" fontId="20" fillId="0" borderId="7" xfId="0" applyFont="1" applyBorder="1" applyAlignment="1">
      <alignment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wrapText="1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5" fillId="0" borderId="19" xfId="4" applyFont="1" applyBorder="1" applyAlignment="1">
      <alignment horizontal="left" vertical="center" wrapText="1" indent="1"/>
    </xf>
    <xf numFmtId="0" fontId="15" fillId="0" borderId="5" xfId="4" applyFont="1" applyBorder="1" applyAlignment="1">
      <alignment vertical="center" wrapText="1"/>
    </xf>
    <xf numFmtId="166" fontId="15" fillId="0" borderId="27" xfId="4" applyNumberFormat="1" applyFont="1" applyBorder="1" applyAlignment="1">
      <alignment horizontal="right" vertical="center" wrapText="1" indent="1"/>
    </xf>
    <xf numFmtId="49" fontId="18" fillId="0" borderId="28" xfId="4" applyNumberFormat="1" applyFont="1" applyBorder="1" applyAlignment="1">
      <alignment horizontal="left" vertical="center" wrapText="1" indent="1"/>
    </xf>
    <xf numFmtId="166" fontId="18" fillId="0" borderId="29" xfId="4" applyNumberFormat="1" applyFont="1" applyBorder="1" applyAlignment="1" applyProtection="1">
      <alignment horizontal="right" vertical="center" wrapText="1" indent="1"/>
      <protection locked="0"/>
    </xf>
    <xf numFmtId="0" fontId="18" fillId="0" borderId="30" xfId="4" applyFont="1" applyBorder="1" applyAlignment="1">
      <alignment horizontal="left" vertical="center" wrapText="1" indent="1"/>
    </xf>
    <xf numFmtId="0" fontId="18" fillId="0" borderId="0" xfId="4" applyFont="1" applyAlignment="1">
      <alignment horizontal="left" vertical="center" wrapText="1" indent="1"/>
    </xf>
    <xf numFmtId="0" fontId="18" fillId="0" borderId="23" xfId="4" applyFont="1" applyBorder="1" applyAlignment="1">
      <alignment horizontal="left" vertical="center" wrapText="1" indent="6"/>
    </xf>
    <xf numFmtId="0" fontId="18" fillId="0" borderId="11" xfId="4" applyFont="1" applyBorder="1" applyAlignment="1">
      <alignment horizontal="left" indent="6"/>
    </xf>
    <xf numFmtId="0" fontId="18" fillId="0" borderId="11" xfId="4" applyFont="1" applyBorder="1" applyAlignment="1">
      <alignment horizontal="left" vertical="center" wrapText="1" indent="6"/>
    </xf>
    <xf numFmtId="49" fontId="18" fillId="0" borderId="31" xfId="4" applyNumberFormat="1" applyFont="1" applyBorder="1" applyAlignment="1">
      <alignment horizontal="left" vertical="center" wrapText="1" indent="1"/>
    </xf>
    <xf numFmtId="49" fontId="18" fillId="0" borderId="32" xfId="4" applyNumberFormat="1" applyFont="1" applyBorder="1" applyAlignment="1">
      <alignment horizontal="left" vertical="center" wrapText="1" indent="1"/>
    </xf>
    <xf numFmtId="0" fontId="18" fillId="0" borderId="3" xfId="4" applyFont="1" applyBorder="1" applyAlignment="1">
      <alignment horizontal="left" vertical="center" wrapText="1" indent="7"/>
    </xf>
    <xf numFmtId="166" fontId="18" fillId="0" borderId="15" xfId="4" applyNumberFormat="1" applyFont="1" applyBorder="1" applyAlignment="1" applyProtection="1">
      <alignment horizontal="right" vertical="center" wrapText="1" indent="1"/>
      <protection locked="0"/>
    </xf>
    <xf numFmtId="0" fontId="15" fillId="0" borderId="25" xfId="4" applyFont="1" applyBorder="1" applyAlignment="1">
      <alignment horizontal="left" vertical="center" wrapText="1" indent="1"/>
    </xf>
    <xf numFmtId="0" fontId="15" fillId="0" borderId="26" xfId="4" applyFont="1" applyBorder="1" applyAlignment="1">
      <alignment vertical="center" wrapText="1"/>
    </xf>
    <xf numFmtId="0" fontId="18" fillId="0" borderId="23" xfId="4" applyFont="1" applyBorder="1" applyAlignment="1">
      <alignment horizontal="left" vertical="center" wrapText="1" indent="1"/>
    </xf>
    <xf numFmtId="166" fontId="18" fillId="0" borderId="33" xfId="4" applyNumberFormat="1" applyFont="1" applyBorder="1" applyAlignment="1" applyProtection="1">
      <alignment horizontal="right" vertical="center" wrapText="1" indent="1"/>
      <protection locked="0"/>
    </xf>
    <xf numFmtId="0" fontId="18" fillId="0" borderId="13" xfId="4" applyFont="1" applyBorder="1" applyAlignment="1">
      <alignment horizontal="left" vertical="center" wrapText="1" indent="6"/>
    </xf>
    <xf numFmtId="166" fontId="18" fillId="0" borderId="34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8" xfId="0" applyNumberFormat="1" applyFont="1" applyBorder="1" applyAlignment="1">
      <alignment horizontal="right" vertical="center" wrapText="1" indent="1"/>
    </xf>
    <xf numFmtId="166" fontId="21" fillId="0" borderId="8" xfId="0" quotePrefix="1" applyNumberFormat="1" applyFont="1" applyBorder="1" applyAlignment="1">
      <alignment horizontal="right" vertical="center" wrapText="1" indent="1"/>
    </xf>
    <xf numFmtId="0" fontId="7" fillId="0" borderId="0" xfId="4" applyFont="1"/>
    <xf numFmtId="0" fontId="20" fillId="0" borderId="25" xfId="0" applyFont="1" applyBorder="1" applyAlignment="1">
      <alignment horizontal="left" vertical="center" wrapText="1" indent="1"/>
    </xf>
    <xf numFmtId="0" fontId="21" fillId="0" borderId="26" xfId="0" applyFont="1" applyBorder="1" applyAlignment="1">
      <alignment horizontal="left" vertical="center" wrapText="1" indent="1"/>
    </xf>
    <xf numFmtId="0" fontId="15" fillId="0" borderId="7" xfId="4" applyFont="1" applyBorder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29" xfId="0" quotePrefix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35" xfId="0" applyFont="1" applyBorder="1" applyAlignment="1">
      <alignment vertical="center"/>
    </xf>
    <xf numFmtId="49" fontId="11" fillId="0" borderId="36" xfId="0" applyNumberFormat="1" applyFont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6" fontId="11" fillId="0" borderId="34" xfId="0" applyNumberFormat="1" applyFont="1" applyBorder="1" applyAlignment="1">
      <alignment horizontal="right" vertical="center" wrapText="1" indent="1"/>
    </xf>
    <xf numFmtId="0" fontId="27" fillId="0" borderId="13" xfId="0" applyFont="1" applyBorder="1" applyAlignment="1">
      <alignment horizontal="left" wrapText="1" indent="1"/>
    </xf>
    <xf numFmtId="0" fontId="27" fillId="0" borderId="11" xfId="0" applyFont="1" applyBorder="1" applyAlignment="1">
      <alignment horizontal="left" wrapText="1" indent="1"/>
    </xf>
    <xf numFmtId="0" fontId="27" fillId="0" borderId="11" xfId="0" quotePrefix="1" applyFont="1" applyBorder="1" applyAlignment="1">
      <alignment horizontal="left" wrapText="1" indent="1"/>
    </xf>
    <xf numFmtId="0" fontId="27" fillId="0" borderId="23" xfId="0" applyFont="1" applyBorder="1" applyAlignment="1">
      <alignment horizontal="left" wrapText="1" indent="1"/>
    </xf>
    <xf numFmtId="0" fontId="18" fillId="0" borderId="11" xfId="4" applyFont="1" applyBorder="1" applyAlignment="1">
      <alignment horizontal="left" vertical="center" wrapText="1" indent="7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9" fillId="0" borderId="0" xfId="4" applyFont="1"/>
    <xf numFmtId="166" fontId="29" fillId="0" borderId="0" xfId="4" applyNumberFormat="1" applyFont="1" applyAlignment="1">
      <alignment horizontal="centerContinuous" vertical="center"/>
    </xf>
    <xf numFmtId="0" fontId="30" fillId="0" borderId="0" xfId="0" applyFont="1" applyAlignment="1">
      <alignment horizontal="right"/>
    </xf>
    <xf numFmtId="0" fontId="31" fillId="0" borderId="0" xfId="0" applyFont="1"/>
    <xf numFmtId="0" fontId="15" fillId="0" borderId="28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0" borderId="29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28" xfId="4" applyFont="1" applyBorder="1" applyAlignment="1">
      <alignment horizontal="center" vertical="center"/>
    </xf>
    <xf numFmtId="0" fontId="18" fillId="0" borderId="2" xfId="4" applyFont="1" applyBorder="1" applyProtection="1">
      <protection locked="0"/>
    </xf>
    <xf numFmtId="168" fontId="18" fillId="0" borderId="29" xfId="1" applyNumberFormat="1" applyFont="1" applyBorder="1" applyProtection="1">
      <protection locked="0"/>
    </xf>
    <xf numFmtId="0" fontId="18" fillId="0" borderId="21" xfId="4" applyFont="1" applyBorder="1" applyAlignment="1">
      <alignment horizontal="center" vertical="center"/>
    </xf>
    <xf numFmtId="0" fontId="18" fillId="0" borderId="11" xfId="4" applyFont="1" applyBorder="1" applyProtection="1">
      <protection locked="0"/>
    </xf>
    <xf numFmtId="168" fontId="18" fillId="0" borderId="17" xfId="1" applyNumberFormat="1" applyFont="1" applyBorder="1" applyProtection="1">
      <protection locked="0"/>
    </xf>
    <xf numFmtId="0" fontId="18" fillId="0" borderId="22" xfId="4" applyFont="1" applyBorder="1" applyAlignment="1">
      <alignment horizontal="center" vertical="center"/>
    </xf>
    <xf numFmtId="0" fontId="18" fillId="0" borderId="23" xfId="4" applyFont="1" applyBorder="1" applyProtection="1">
      <protection locked="0"/>
    </xf>
    <xf numFmtId="168" fontId="18" fillId="0" borderId="24" xfId="1" applyNumberFormat="1" applyFont="1" applyBorder="1" applyProtection="1">
      <protection locked="0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left" vertical="center" wrapText="1"/>
    </xf>
    <xf numFmtId="168" fontId="15" fillId="0" borderId="8" xfId="1" applyNumberFormat="1" applyFont="1" applyBorder="1"/>
    <xf numFmtId="0" fontId="29" fillId="0" borderId="0" xfId="4" applyFont="1"/>
    <xf numFmtId="0" fontId="16" fillId="0" borderId="28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0" fontId="6" fillId="0" borderId="13" xfId="4" applyFont="1" applyBorder="1"/>
    <xf numFmtId="0" fontId="6" fillId="0" borderId="21" xfId="4" applyFont="1" applyBorder="1" applyAlignment="1">
      <alignment horizontal="center" vertical="center"/>
    </xf>
    <xf numFmtId="0" fontId="10" fillId="0" borderId="11" xfId="0" applyFont="1" applyBorder="1" applyAlignment="1">
      <alignment horizontal="justify" wrapText="1"/>
    </xf>
    <xf numFmtId="0" fontId="10" fillId="0" borderId="11" xfId="0" applyFont="1" applyBorder="1" applyAlignment="1">
      <alignment wrapText="1"/>
    </xf>
    <xf numFmtId="0" fontId="6" fillId="0" borderId="22" xfId="4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24" fillId="0" borderId="6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24" fillId="0" borderId="13" xfId="4" applyFont="1" applyBorder="1" applyProtection="1">
      <protection locked="0"/>
    </xf>
    <xf numFmtId="0" fontId="24" fillId="0" borderId="21" xfId="4" applyFont="1" applyBorder="1" applyAlignment="1">
      <alignment horizontal="center" vertical="center"/>
    </xf>
    <xf numFmtId="0" fontId="24" fillId="0" borderId="11" xfId="4" applyFont="1" applyBorder="1" applyProtection="1">
      <protection locked="0"/>
    </xf>
    <xf numFmtId="0" fontId="24" fillId="0" borderId="22" xfId="4" applyFont="1" applyBorder="1" applyAlignment="1">
      <alignment horizontal="center" vertical="center"/>
    </xf>
    <xf numFmtId="0" fontId="24" fillId="0" borderId="23" xfId="4" applyFont="1" applyBorder="1" applyProtection="1">
      <protection locked="0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/>
    <xf numFmtId="49" fontId="3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Continuous" vertical="center" wrapText="1"/>
    </xf>
    <xf numFmtId="166" fontId="32" fillId="0" borderId="6" xfId="0" applyNumberFormat="1" applyFont="1" applyBorder="1" applyAlignment="1">
      <alignment horizontal="centerContinuous" vertical="center" wrapText="1"/>
    </xf>
    <xf numFmtId="166" fontId="32" fillId="0" borderId="6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  <xf numFmtId="166" fontId="16" fillId="0" borderId="37" xfId="0" applyNumberFormat="1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left" vertical="center" wrapText="1" indent="1"/>
    </xf>
    <xf numFmtId="166" fontId="6" fillId="0" borderId="21" xfId="0" applyNumberFormat="1" applyFont="1" applyBorder="1" applyAlignment="1">
      <alignment horizontal="left" vertical="center" wrapText="1" indent="1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21" xfId="0" quotePrefix="1" applyNumberFormat="1" applyFont="1" applyBorder="1" applyAlignment="1" applyProtection="1">
      <alignment horizontal="left" vertical="center" wrapText="1" indent="6"/>
      <protection locked="0"/>
    </xf>
    <xf numFmtId="166" fontId="6" fillId="0" borderId="21" xfId="0" applyNumberFormat="1" applyFont="1" applyBorder="1" applyAlignment="1" applyProtection="1">
      <alignment horizontal="left" vertical="center" wrapText="1" indent="1"/>
      <protection locked="0"/>
    </xf>
    <xf numFmtId="166" fontId="6" fillId="0" borderId="21" xfId="0" quotePrefix="1" applyNumberFormat="1" applyFont="1" applyBorder="1" applyAlignment="1" applyProtection="1">
      <alignment horizontal="left" vertical="center" wrapText="1" indent="3"/>
      <protection locked="0"/>
    </xf>
    <xf numFmtId="166" fontId="6" fillId="0" borderId="31" xfId="0" applyNumberFormat="1" applyFont="1" applyBorder="1" applyAlignment="1" applyProtection="1">
      <alignment horizontal="left" vertical="center" wrapText="1" indent="1"/>
      <protection locked="0"/>
    </xf>
    <xf numFmtId="166" fontId="6" fillId="0" borderId="31" xfId="0" applyNumberFormat="1" applyFont="1" applyBorder="1" applyAlignment="1">
      <alignment horizontal="left" vertical="center" wrapText="1" indent="1"/>
    </xf>
    <xf numFmtId="166" fontId="35" fillId="0" borderId="37" xfId="0" applyNumberFormat="1" applyFont="1" applyBorder="1" applyAlignment="1">
      <alignment horizontal="left" vertical="center" wrapText="1" indent="1"/>
    </xf>
    <xf numFmtId="166" fontId="16" fillId="0" borderId="6" xfId="0" applyNumberFormat="1" applyFont="1" applyBorder="1" applyAlignment="1">
      <alignment horizontal="left" vertical="center" wrapText="1" indent="1"/>
    </xf>
    <xf numFmtId="166" fontId="36" fillId="0" borderId="31" xfId="0" applyNumberFormat="1" applyFont="1" applyBorder="1" applyAlignment="1">
      <alignment horizontal="left" vertical="center" wrapText="1" indent="1"/>
    </xf>
    <xf numFmtId="166" fontId="6" fillId="0" borderId="21" xfId="0" applyNumberFormat="1" applyFont="1" applyBorder="1" applyAlignment="1">
      <alignment horizontal="left" vertical="center" wrapText="1" indent="2"/>
    </xf>
    <xf numFmtId="166" fontId="6" fillId="0" borderId="11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1"/>
    </xf>
    <xf numFmtId="166" fontId="6" fillId="0" borderId="20" xfId="0" applyNumberFormat="1" applyFont="1" applyBorder="1" applyAlignment="1" applyProtection="1">
      <alignment horizontal="left" vertical="center" wrapText="1" indent="1"/>
      <protection locked="0"/>
    </xf>
    <xf numFmtId="166" fontId="6" fillId="0" borderId="20" xfId="0" applyNumberFormat="1" applyFont="1" applyBorder="1" applyAlignment="1">
      <alignment horizontal="left" vertical="center" wrapText="1" indent="2"/>
    </xf>
    <xf numFmtId="166" fontId="6" fillId="0" borderId="22" xfId="0" applyNumberFormat="1" applyFont="1" applyBorder="1" applyAlignment="1">
      <alignment horizontal="left" vertical="center" wrapText="1" indent="2"/>
    </xf>
    <xf numFmtId="166" fontId="35" fillId="0" borderId="6" xfId="0" applyNumberFormat="1" applyFont="1" applyBorder="1" applyAlignment="1">
      <alignment horizontal="left" vertical="center" wrapText="1" indent="1"/>
    </xf>
    <xf numFmtId="166" fontId="16" fillId="0" borderId="0" xfId="0" applyNumberFormat="1" applyFont="1" applyAlignment="1">
      <alignment horizontal="center" vertical="center" wrapText="1"/>
    </xf>
    <xf numFmtId="166" fontId="6" fillId="0" borderId="38" xfId="0" applyNumberFormat="1" applyFont="1" applyBorder="1" applyAlignment="1">
      <alignment horizontal="left" vertical="center" wrapText="1" indent="1"/>
    </xf>
    <xf numFmtId="3" fontId="7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49" fontId="18" fillId="0" borderId="20" xfId="4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8" fillId="0" borderId="21" xfId="4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8" fillId="0" borderId="22" xfId="4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5" fillId="0" borderId="23" xfId="0" applyFont="1" applyBorder="1" applyAlignment="1">
      <alignment wrapText="1"/>
    </xf>
    <xf numFmtId="0" fontId="25" fillId="0" borderId="20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49" fontId="18" fillId="0" borderId="28" xfId="4" applyNumberFormat="1" applyFont="1" applyBorder="1" applyAlignment="1">
      <alignment horizontal="center" vertical="center" wrapText="1"/>
    </xf>
    <xf numFmtId="49" fontId="18" fillId="0" borderId="31" xfId="4" applyNumberFormat="1" applyFont="1" applyBorder="1" applyAlignment="1">
      <alignment horizontal="center" vertical="center" wrapText="1"/>
    </xf>
    <xf numFmtId="49" fontId="18" fillId="0" borderId="32" xfId="4" applyNumberFormat="1" applyFont="1" applyBorder="1" applyAlignment="1">
      <alignment horizontal="center" vertical="center" wrapText="1"/>
    </xf>
    <xf numFmtId="0" fontId="18" fillId="0" borderId="3" xfId="4" applyFont="1" applyBorder="1" applyAlignment="1">
      <alignment horizontal="left" vertical="center" wrapText="1" indent="6"/>
    </xf>
    <xf numFmtId="49" fontId="16" fillId="0" borderId="6" xfId="4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166" fontId="35" fillId="0" borderId="6" xfId="0" applyNumberFormat="1" applyFont="1" applyBorder="1" applyAlignment="1">
      <alignment horizontal="center" vertical="center" wrapText="1"/>
    </xf>
    <xf numFmtId="166" fontId="35" fillId="0" borderId="18" xfId="0" applyNumberFormat="1" applyFont="1" applyBorder="1" applyAlignment="1">
      <alignment horizontal="center" vertical="center" wrapText="1"/>
    </xf>
    <xf numFmtId="166" fontId="35" fillId="0" borderId="25" xfId="0" applyNumberFormat="1" applyFont="1" applyBorder="1" applyAlignment="1">
      <alignment horizontal="center" vertical="center" wrapText="1"/>
    </xf>
    <xf numFmtId="166" fontId="35" fillId="0" borderId="39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166" fontId="35" fillId="0" borderId="0" xfId="0" applyNumberFormat="1" applyFont="1" applyAlignment="1">
      <alignment vertical="center" wrapText="1"/>
    </xf>
    <xf numFmtId="0" fontId="14" fillId="0" borderId="6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left" vertical="center" wrapText="1" indent="1"/>
    </xf>
    <xf numFmtId="0" fontId="14" fillId="0" borderId="7" xfId="4" applyFont="1" applyBorder="1" applyAlignment="1">
      <alignment horizontal="left" vertical="center" wrapText="1" indent="1"/>
    </xf>
    <xf numFmtId="49" fontId="24" fillId="0" borderId="20" xfId="4" applyNumberFormat="1" applyFont="1" applyBorder="1" applyAlignment="1">
      <alignment horizontal="left" vertical="center" wrapText="1" indent="1"/>
    </xf>
    <xf numFmtId="49" fontId="24" fillId="0" borderId="21" xfId="4" applyNumberFormat="1" applyFont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49" fontId="24" fillId="0" borderId="22" xfId="4" applyNumberFormat="1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left" vertical="center" wrapText="1" indent="1"/>
    </xf>
    <xf numFmtId="0" fontId="38" fillId="0" borderId="7" xfId="0" applyFont="1" applyBorder="1" applyAlignment="1">
      <alignment horizontal="left" vertical="center" wrapText="1" indent="1"/>
    </xf>
    <xf numFmtId="0" fontId="14" fillId="0" borderId="6" xfId="4" applyFont="1" applyBorder="1" applyAlignment="1">
      <alignment horizontal="left" vertical="center" wrapText="1"/>
    </xf>
    <xf numFmtId="0" fontId="38" fillId="0" borderId="6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20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22" xfId="0" applyFont="1" applyBorder="1" applyAlignment="1">
      <alignment wrapText="1"/>
    </xf>
    <xf numFmtId="0" fontId="38" fillId="0" borderId="7" xfId="0" applyFont="1" applyBorder="1" applyAlignment="1">
      <alignment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wrapText="1"/>
    </xf>
    <xf numFmtId="0" fontId="14" fillId="0" borderId="19" xfId="4" applyFont="1" applyBorder="1" applyAlignment="1">
      <alignment horizontal="left" vertical="center" wrapText="1" indent="1"/>
    </xf>
    <xf numFmtId="0" fontId="14" fillId="0" borderId="5" xfId="4" applyFont="1" applyBorder="1" applyAlignment="1">
      <alignment vertical="center" wrapText="1"/>
    </xf>
    <xf numFmtId="49" fontId="24" fillId="0" borderId="28" xfId="4" applyNumberFormat="1" applyFont="1" applyBorder="1" applyAlignment="1">
      <alignment horizontal="left" vertical="center" wrapText="1" indent="1"/>
    </xf>
    <xf numFmtId="0" fontId="24" fillId="0" borderId="2" xfId="4" applyFont="1" applyBorder="1" applyAlignment="1">
      <alignment horizontal="left" vertical="center" wrapText="1" indent="1"/>
    </xf>
    <xf numFmtId="0" fontId="24" fillId="0" borderId="11" xfId="4" applyFont="1" applyBorder="1" applyAlignment="1">
      <alignment horizontal="left" vertical="center" wrapText="1" indent="1"/>
    </xf>
    <xf numFmtId="0" fontId="24" fillId="0" borderId="30" xfId="4" applyFont="1" applyBorder="1" applyAlignment="1">
      <alignment horizontal="left" vertical="center" wrapText="1" indent="1"/>
    </xf>
    <xf numFmtId="0" fontId="24" fillId="0" borderId="0" xfId="4" applyFont="1" applyAlignment="1">
      <alignment horizontal="left" vertical="center" wrapText="1" indent="1"/>
    </xf>
    <xf numFmtId="0" fontId="24" fillId="0" borderId="23" xfId="4" applyFont="1" applyBorder="1" applyAlignment="1">
      <alignment horizontal="left" vertical="center" wrapText="1" indent="6"/>
    </xf>
    <xf numFmtId="0" fontId="24" fillId="0" borderId="11" xfId="4" applyFont="1" applyBorder="1" applyAlignment="1">
      <alignment horizontal="left" indent="6"/>
    </xf>
    <xf numFmtId="0" fontId="24" fillId="0" borderId="11" xfId="4" applyFont="1" applyBorder="1" applyAlignment="1">
      <alignment horizontal="left" vertical="center" wrapText="1" indent="6"/>
    </xf>
    <xf numFmtId="49" fontId="24" fillId="0" borderId="31" xfId="4" applyNumberFormat="1" applyFont="1" applyBorder="1" applyAlignment="1">
      <alignment horizontal="left" vertical="center" wrapText="1" indent="1"/>
    </xf>
    <xf numFmtId="49" fontId="24" fillId="0" borderId="32" xfId="4" applyNumberFormat="1" applyFont="1" applyBorder="1" applyAlignment="1">
      <alignment horizontal="left" vertical="center" wrapText="1" indent="1"/>
    </xf>
    <xf numFmtId="0" fontId="24" fillId="0" borderId="3" xfId="4" applyFont="1" applyBorder="1" applyAlignment="1">
      <alignment horizontal="left" vertical="center" wrapText="1" indent="7"/>
    </xf>
    <xf numFmtId="0" fontId="14" fillId="0" borderId="25" xfId="4" applyFont="1" applyBorder="1" applyAlignment="1">
      <alignment horizontal="left" vertical="center" wrapText="1" indent="1"/>
    </xf>
    <xf numFmtId="0" fontId="14" fillId="0" borderId="26" xfId="4" applyFont="1" applyBorder="1" applyAlignment="1">
      <alignment vertical="center" wrapText="1"/>
    </xf>
    <xf numFmtId="0" fontId="24" fillId="0" borderId="23" xfId="4" applyFont="1" applyBorder="1" applyAlignment="1">
      <alignment horizontal="left" vertical="center" wrapText="1" indent="1"/>
    </xf>
    <xf numFmtId="0" fontId="24" fillId="0" borderId="13" xfId="4" applyFont="1" applyBorder="1" applyAlignment="1">
      <alignment horizontal="left" vertical="center" wrapText="1" indent="6"/>
    </xf>
    <xf numFmtId="0" fontId="35" fillId="0" borderId="7" xfId="4" applyFont="1" applyBorder="1" applyAlignment="1">
      <alignment horizontal="left" vertical="center" wrapText="1" indent="1"/>
    </xf>
    <xf numFmtId="0" fontId="24" fillId="0" borderId="13" xfId="4" applyFont="1" applyBorder="1" applyAlignment="1">
      <alignment horizontal="left" vertical="center" wrapText="1" indent="1"/>
    </xf>
    <xf numFmtId="0" fontId="24" fillId="0" borderId="12" xfId="4" applyFont="1" applyBorder="1" applyAlignment="1">
      <alignment horizontal="left" vertical="center" wrapText="1" indent="1"/>
    </xf>
    <xf numFmtId="0" fontId="35" fillId="0" borderId="26" xfId="4" applyFont="1" applyBorder="1" applyAlignment="1">
      <alignment horizontal="left" vertical="center" wrapText="1" indent="1"/>
    </xf>
    <xf numFmtId="0" fontId="38" fillId="0" borderId="25" xfId="0" applyFont="1" applyBorder="1" applyAlignment="1">
      <alignment horizontal="left" vertical="center" wrapText="1" indent="1"/>
    </xf>
    <xf numFmtId="0" fontId="38" fillId="0" borderId="26" xfId="0" applyFont="1" applyBorder="1" applyAlignment="1">
      <alignment horizontal="left" vertical="center" wrapText="1" indent="1"/>
    </xf>
    <xf numFmtId="0" fontId="8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40" fillId="0" borderId="0" xfId="0" applyFont="1"/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6" fontId="6" fillId="0" borderId="13" xfId="0" applyNumberFormat="1" applyFont="1" applyBorder="1" applyAlignment="1" applyProtection="1">
      <alignment vertical="center"/>
      <protection locked="0"/>
    </xf>
    <xf numFmtId="166" fontId="16" fillId="0" borderId="14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66" fontId="6" fillId="0" borderId="11" xfId="0" applyNumberFormat="1" applyFont="1" applyBorder="1" applyAlignment="1" applyProtection="1">
      <alignment vertical="center"/>
      <protection locked="0"/>
    </xf>
    <xf numFmtId="166" fontId="16" fillId="0" borderId="17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6" fontId="6" fillId="0" borderId="23" xfId="0" applyNumberFormat="1" applyFont="1" applyBorder="1" applyAlignment="1" applyProtection="1">
      <alignment vertical="center"/>
      <protection locked="0"/>
    </xf>
    <xf numFmtId="166" fontId="16" fillId="0" borderId="24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vertical="center" wrapText="1"/>
    </xf>
    <xf numFmtId="166" fontId="16" fillId="0" borderId="7" xfId="0" applyNumberFormat="1" applyFont="1" applyBorder="1" applyAlignment="1">
      <alignment vertical="center"/>
    </xf>
    <xf numFmtId="166" fontId="16" fillId="0" borderId="8" xfId="0" applyNumberFormat="1" applyFont="1" applyBorder="1" applyAlignment="1">
      <alignment vertical="center"/>
    </xf>
    <xf numFmtId="0" fontId="35" fillId="0" borderId="0" xfId="0" applyFont="1"/>
    <xf numFmtId="0" fontId="0" fillId="0" borderId="40" xfId="0" applyBorder="1"/>
    <xf numFmtId="0" fontId="34" fillId="0" borderId="40" xfId="0" applyFont="1" applyBorder="1" applyAlignment="1">
      <alignment horizontal="center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right"/>
    </xf>
    <xf numFmtId="166" fontId="39" fillId="0" borderId="0" xfId="0" applyNumberFormat="1" applyFont="1" applyAlignment="1">
      <alignment vertical="center"/>
    </xf>
    <xf numFmtId="166" fontId="32" fillId="0" borderId="41" xfId="0" applyNumberFormat="1" applyFont="1" applyBorder="1" applyAlignment="1">
      <alignment horizontal="center" vertical="center"/>
    </xf>
    <xf numFmtId="166" fontId="32" fillId="0" borderId="15" xfId="0" applyNumberFormat="1" applyFont="1" applyBorder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 wrapText="1"/>
    </xf>
    <xf numFmtId="166" fontId="16" fillId="0" borderId="42" xfId="0" applyNumberFormat="1" applyFont="1" applyBorder="1" applyAlignment="1">
      <alignment horizontal="center" vertical="center" wrapText="1"/>
    </xf>
    <xf numFmtId="166" fontId="16" fillId="0" borderId="43" xfId="0" applyNumberFormat="1" applyFont="1" applyBorder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 wrapText="1"/>
    </xf>
    <xf numFmtId="166" fontId="16" fillId="0" borderId="37" xfId="0" applyNumberFormat="1" applyFont="1" applyBorder="1" applyAlignment="1">
      <alignment horizontal="left" vertical="center" wrapText="1" inden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166" fontId="6" fillId="0" borderId="37" xfId="0" applyNumberFormat="1" applyFont="1" applyBorder="1" applyAlignment="1">
      <alignment vertical="center" wrapText="1"/>
    </xf>
    <xf numFmtId="166" fontId="6" fillId="0" borderId="6" xfId="0" applyNumberFormat="1" applyFont="1" applyBorder="1" applyAlignment="1">
      <alignment vertical="center" wrapText="1"/>
    </xf>
    <xf numFmtId="166" fontId="6" fillId="0" borderId="7" xfId="0" applyNumberFormat="1" applyFont="1" applyBorder="1" applyAlignment="1">
      <alignment vertical="center" wrapText="1"/>
    </xf>
    <xf numFmtId="166" fontId="6" fillId="0" borderId="8" xfId="0" applyNumberFormat="1" applyFont="1" applyBorder="1" applyAlignment="1">
      <alignment vertical="center" wrapText="1"/>
    </xf>
    <xf numFmtId="166" fontId="16" fillId="0" borderId="21" xfId="0" applyNumberFormat="1" applyFont="1" applyBorder="1" applyAlignment="1">
      <alignment horizontal="center" vertical="center" wrapText="1"/>
    </xf>
    <xf numFmtId="166" fontId="6" fillId="0" borderId="44" xfId="0" applyNumberFormat="1" applyFont="1" applyBorder="1" applyAlignment="1" applyProtection="1">
      <alignment horizontal="left" vertical="center" wrapText="1" indent="1"/>
      <protection locked="0"/>
    </xf>
    <xf numFmtId="166" fontId="6" fillId="0" borderId="44" xfId="0" applyNumberFormat="1" applyFont="1" applyBorder="1" applyAlignment="1" applyProtection="1">
      <alignment vertical="center" wrapText="1"/>
      <protection locked="0"/>
    </xf>
    <xf numFmtId="166" fontId="6" fillId="0" borderId="21" xfId="0" applyNumberFormat="1" applyFont="1" applyBorder="1" applyAlignment="1" applyProtection="1">
      <alignment vertical="center" wrapText="1"/>
      <protection locked="0"/>
    </xf>
    <xf numFmtId="166" fontId="6" fillId="0" borderId="11" xfId="0" applyNumberFormat="1" applyFont="1" applyBorder="1" applyAlignment="1" applyProtection="1">
      <alignment vertical="center" wrapText="1"/>
      <protection locked="0"/>
    </xf>
    <xf numFmtId="166" fontId="6" fillId="0" borderId="17" xfId="0" applyNumberFormat="1" applyFont="1" applyBorder="1" applyAlignment="1" applyProtection="1">
      <alignment vertical="center" wrapText="1"/>
      <protection locked="0"/>
    </xf>
    <xf numFmtId="166" fontId="6" fillId="0" borderId="44" xfId="0" applyNumberFormat="1" applyFont="1" applyBorder="1" applyAlignment="1">
      <alignment vertic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166" fontId="16" fillId="0" borderId="22" xfId="0" applyNumberFormat="1" applyFont="1" applyBorder="1" applyAlignment="1">
      <alignment horizontal="center" vertical="center" wrapText="1"/>
    </xf>
    <xf numFmtId="166" fontId="6" fillId="0" borderId="45" xfId="0" applyNumberFormat="1" applyFont="1" applyBorder="1" applyAlignment="1" applyProtection="1">
      <alignment horizontal="left" vertical="center" wrapText="1" indent="1"/>
      <protection locked="0"/>
    </xf>
    <xf numFmtId="166" fontId="6" fillId="0" borderId="45" xfId="0" applyNumberFormat="1" applyFont="1" applyBorder="1" applyAlignment="1" applyProtection="1">
      <alignment vertical="center" wrapText="1"/>
      <protection locked="0"/>
    </xf>
    <xf numFmtId="166" fontId="6" fillId="0" borderId="22" xfId="0" applyNumberFormat="1" applyFont="1" applyBorder="1" applyAlignment="1" applyProtection="1">
      <alignment vertical="center" wrapText="1"/>
      <protection locked="0"/>
    </xf>
    <xf numFmtId="166" fontId="6" fillId="0" borderId="23" xfId="0" applyNumberFormat="1" applyFont="1" applyBorder="1" applyAlignment="1" applyProtection="1">
      <alignment vertical="center" wrapText="1"/>
      <protection locked="0"/>
    </xf>
    <xf numFmtId="166" fontId="6" fillId="0" borderId="24" xfId="0" applyNumberFormat="1" applyFont="1" applyBorder="1" applyAlignment="1" applyProtection="1">
      <alignment vertical="center" wrapText="1"/>
      <protection locked="0"/>
    </xf>
    <xf numFmtId="166" fontId="6" fillId="0" borderId="45" xfId="0" applyNumberFormat="1" applyFont="1" applyBorder="1" applyAlignment="1">
      <alignment vertical="center" wrapText="1"/>
    </xf>
    <xf numFmtId="166" fontId="16" fillId="0" borderId="31" xfId="0" applyNumberFormat="1" applyFont="1" applyBorder="1" applyAlignment="1">
      <alignment horizontal="center" vertical="center" wrapText="1"/>
    </xf>
    <xf numFmtId="166" fontId="6" fillId="0" borderId="46" xfId="0" applyNumberFormat="1" applyFont="1" applyBorder="1" applyAlignment="1" applyProtection="1">
      <alignment horizontal="left" vertical="center" wrapText="1" indent="1"/>
      <protection locked="0"/>
    </xf>
    <xf numFmtId="49" fontId="0" fillId="0" borderId="47" xfId="0" applyNumberFormat="1" applyBorder="1" applyAlignment="1" applyProtection="1">
      <alignment horizontal="center" vertical="center" wrapText="1"/>
      <protection locked="0"/>
    </xf>
    <xf numFmtId="166" fontId="6" fillId="0" borderId="43" xfId="0" applyNumberFormat="1" applyFont="1" applyBorder="1" applyAlignment="1" applyProtection="1">
      <alignment vertical="center" wrapText="1"/>
      <protection locked="0"/>
    </xf>
    <xf numFmtId="166" fontId="6" fillId="0" borderId="31" xfId="0" applyNumberFormat="1" applyFont="1" applyBorder="1" applyAlignment="1" applyProtection="1">
      <alignment vertical="center" wrapText="1"/>
      <protection locked="0"/>
    </xf>
    <xf numFmtId="166" fontId="6" fillId="0" borderId="12" xfId="0" applyNumberFormat="1" applyFont="1" applyBorder="1" applyAlignment="1" applyProtection="1">
      <alignment vertical="center" wrapText="1"/>
      <protection locked="0"/>
    </xf>
    <xf numFmtId="166" fontId="6" fillId="0" borderId="48" xfId="0" applyNumberFormat="1" applyFont="1" applyBorder="1" applyAlignment="1" applyProtection="1">
      <alignment vertical="center" wrapText="1"/>
      <protection locked="0"/>
    </xf>
    <xf numFmtId="166" fontId="6" fillId="0" borderId="43" xfId="0" applyNumberFormat="1" applyFont="1" applyBorder="1" applyAlignment="1">
      <alignment vertical="center" wrapText="1"/>
    </xf>
    <xf numFmtId="166" fontId="0" fillId="2" borderId="42" xfId="0" applyNumberFormat="1" applyFill="1" applyBorder="1" applyAlignment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66" fontId="13" fillId="0" borderId="0" xfId="0" applyNumberFormat="1" applyFont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left" vertical="center" wrapText="1" indent="1"/>
    </xf>
    <xf numFmtId="166" fontId="6" fillId="0" borderId="49" xfId="0" applyNumberFormat="1" applyFont="1" applyBorder="1" applyAlignment="1" applyProtection="1">
      <alignment horizontal="right" vertical="center" wrapText="1" indent="1"/>
      <protection locked="0"/>
    </xf>
    <xf numFmtId="0" fontId="6" fillId="0" borderId="2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 indent="1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0" fontId="25" fillId="0" borderId="30" xfId="0" applyFont="1" applyBorder="1" applyAlignment="1">
      <alignment horizontal="left" vertical="center" wrapText="1" indent="8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166" fontId="6" fillId="0" borderId="3" xfId="0" applyNumberFormat="1" applyFont="1" applyBorder="1" applyAlignment="1" applyProtection="1">
      <alignment horizontal="right" vertical="center" wrapText="1" indent="1"/>
      <protection locked="0"/>
    </xf>
    <xf numFmtId="0" fontId="16" fillId="0" borderId="6" xfId="0" applyFont="1" applyBorder="1" applyAlignment="1">
      <alignment horizontal="center" vertical="center" wrapText="1"/>
    </xf>
    <xf numFmtId="0" fontId="32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166" fontId="16" fillId="0" borderId="50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12" fillId="0" borderId="51" xfId="4" applyFont="1" applyBorder="1" applyAlignment="1">
      <alignment horizontal="center" vertical="center" wrapText="1"/>
    </xf>
    <xf numFmtId="0" fontId="12" fillId="0" borderId="51" xfId="4" applyFont="1" applyBorder="1" applyAlignment="1">
      <alignment vertical="center" wrapText="1"/>
    </xf>
    <xf numFmtId="0" fontId="16" fillId="0" borderId="26" xfId="4" applyFont="1" applyBorder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7" fillId="0" borderId="0" xfId="4" applyFont="1" applyAlignment="1">
      <alignment horizontal="center"/>
    </xf>
    <xf numFmtId="49" fontId="3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4" applyFont="1" applyAlignment="1">
      <alignment horizontal="center"/>
    </xf>
    <xf numFmtId="0" fontId="24" fillId="0" borderId="11" xfId="4" applyFont="1" applyBorder="1" applyAlignment="1" applyProtection="1">
      <alignment wrapText="1"/>
      <protection locked="0"/>
    </xf>
    <xf numFmtId="0" fontId="35" fillId="0" borderId="19" xfId="0" applyFon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49" fontId="33" fillId="0" borderId="21" xfId="0" quotePrefix="1" applyNumberFormat="1" applyFont="1" applyBorder="1" applyAlignment="1">
      <alignment horizontal="left" vertical="center" indent="1"/>
    </xf>
    <xf numFmtId="3" fontId="33" fillId="0" borderId="11" xfId="0" applyNumberFormat="1" applyFont="1" applyBorder="1" applyAlignment="1" applyProtection="1">
      <alignment vertical="center"/>
      <protection locked="0"/>
    </xf>
    <xf numFmtId="3" fontId="33" fillId="0" borderId="17" xfId="0" applyNumberFormat="1" applyFont="1" applyBorder="1" applyAlignment="1">
      <alignment vertical="center"/>
    </xf>
    <xf numFmtId="49" fontId="35" fillId="0" borderId="6" xfId="0" applyNumberFormat="1" applyFont="1" applyBorder="1" applyAlignment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166" fontId="33" fillId="0" borderId="21" xfId="0" applyNumberFormat="1" applyFont="1" applyBorder="1" applyAlignment="1" applyProtection="1">
      <alignment vertical="center" wrapText="1"/>
      <protection locked="0"/>
    </xf>
    <xf numFmtId="166" fontId="33" fillId="0" borderId="30" xfId="0" applyNumberFormat="1" applyFont="1" applyBorder="1" applyAlignment="1" applyProtection="1">
      <alignment vertical="center" wrapText="1"/>
      <protection locked="0"/>
    </xf>
    <xf numFmtId="166" fontId="33" fillId="0" borderId="0" xfId="0" applyNumberFormat="1" applyFont="1" applyAlignment="1">
      <alignment vertical="center" wrapText="1"/>
    </xf>
    <xf numFmtId="166" fontId="34" fillId="0" borderId="0" xfId="0" applyNumberFormat="1" applyFont="1" applyAlignment="1">
      <alignment vertical="center" wrapText="1"/>
    </xf>
    <xf numFmtId="166" fontId="35" fillId="0" borderId="6" xfId="0" applyNumberFormat="1" applyFont="1" applyBorder="1" applyAlignment="1">
      <alignment horizontal="left" vertical="center" wrapText="1"/>
    </xf>
    <xf numFmtId="166" fontId="35" fillId="0" borderId="18" xfId="0" applyNumberFormat="1" applyFont="1" applyBorder="1" applyAlignment="1">
      <alignment horizontal="left" vertical="center" wrapText="1"/>
    </xf>
    <xf numFmtId="3" fontId="2" fillId="0" borderId="21" xfId="0" applyNumberFormat="1" applyFont="1" applyBorder="1" applyAlignment="1" applyProtection="1">
      <alignment vertical="center" wrapText="1"/>
      <protection locked="0"/>
    </xf>
    <xf numFmtId="3" fontId="2" fillId="0" borderId="30" xfId="0" applyNumberFormat="1" applyFont="1" applyBorder="1" applyAlignment="1" applyProtection="1">
      <alignment vertical="center" wrapText="1"/>
      <protection locked="0"/>
    </xf>
    <xf numFmtId="3" fontId="8" fillId="0" borderId="21" xfId="0" applyNumberFormat="1" applyFont="1" applyBorder="1" applyAlignment="1" applyProtection="1">
      <alignment vertical="center" wrapText="1"/>
      <protection locked="0"/>
    </xf>
    <xf numFmtId="3" fontId="8" fillId="0" borderId="30" xfId="0" applyNumberFormat="1" applyFont="1" applyBorder="1" applyAlignment="1" applyProtection="1">
      <alignment vertical="center" wrapText="1"/>
      <protection locked="0"/>
    </xf>
    <xf numFmtId="3" fontId="8" fillId="0" borderId="0" xfId="0" applyNumberFormat="1" applyFont="1" applyAlignment="1">
      <alignment vertical="center" wrapText="1"/>
    </xf>
    <xf numFmtId="3" fontId="7" fillId="0" borderId="6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left" vertical="center" wrapText="1"/>
    </xf>
    <xf numFmtId="0" fontId="28" fillId="0" borderId="0" xfId="4" applyFont="1"/>
    <xf numFmtId="0" fontId="45" fillId="0" borderId="0" xfId="5" applyFont="1"/>
    <xf numFmtId="0" fontId="45" fillId="0" borderId="0" xfId="5" applyFont="1" applyProtection="1">
      <protection locked="0"/>
    </xf>
    <xf numFmtId="0" fontId="41" fillId="0" borderId="0" xfId="5" applyFont="1"/>
    <xf numFmtId="0" fontId="5" fillId="0" borderId="0" xfId="0" applyFont="1"/>
    <xf numFmtId="49" fontId="5" fillId="0" borderId="28" xfId="0" applyNumberFormat="1" applyFont="1" applyBorder="1" applyAlignment="1">
      <alignment vertical="center"/>
    </xf>
    <xf numFmtId="3" fontId="5" fillId="0" borderId="2" xfId="0" applyNumberFormat="1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3" fontId="5" fillId="0" borderId="11" xfId="0" applyNumberFormat="1" applyFont="1" applyBorder="1" applyAlignment="1" applyProtection="1">
      <alignment vertical="center"/>
      <protection locked="0"/>
    </xf>
    <xf numFmtId="3" fontId="5" fillId="0" borderId="17" xfId="0" applyNumberFormat="1" applyFont="1" applyBorder="1" applyAlignment="1">
      <alignment vertical="center"/>
    </xf>
    <xf numFmtId="49" fontId="5" fillId="0" borderId="22" xfId="0" applyNumberFormat="1" applyFont="1" applyBorder="1" applyAlignment="1" applyProtection="1">
      <alignment vertical="center"/>
      <protection locked="0"/>
    </xf>
    <xf numFmtId="3" fontId="5" fillId="0" borderId="23" xfId="0" applyNumberFormat="1" applyFont="1" applyBorder="1" applyAlignment="1" applyProtection="1">
      <alignment vertical="center"/>
      <protection locked="0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 applyProtection="1">
      <alignment vertical="center"/>
      <protection locked="0"/>
    </xf>
    <xf numFmtId="166" fontId="0" fillId="0" borderId="37" xfId="0" applyNumberFormat="1" applyBorder="1" applyAlignment="1">
      <alignment vertical="center" wrapText="1"/>
    </xf>
    <xf numFmtId="0" fontId="10" fillId="0" borderId="0" xfId="0" applyFont="1" applyAlignment="1">
      <alignment horizontal="right" vertical="top"/>
    </xf>
    <xf numFmtId="0" fontId="11" fillId="0" borderId="3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 indent="1"/>
    </xf>
    <xf numFmtId="0" fontId="6" fillId="0" borderId="11" xfId="4" applyFont="1" applyBorder="1" applyAlignment="1">
      <alignment horizontal="left" vertical="center" wrapText="1" indent="1"/>
    </xf>
    <xf numFmtId="0" fontId="6" fillId="0" borderId="26" xfId="4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5" fillId="0" borderId="0" xfId="4" applyFont="1"/>
    <xf numFmtId="166" fontId="0" fillId="0" borderId="21" xfId="0" applyNumberFormat="1" applyBorder="1" applyAlignment="1" applyProtection="1">
      <alignment vertical="center" wrapText="1"/>
      <protection locked="0"/>
    </xf>
    <xf numFmtId="166" fontId="0" fillId="0" borderId="30" xfId="0" applyNumberFormat="1" applyBorder="1" applyAlignment="1" applyProtection="1">
      <alignment vertical="center" wrapText="1"/>
      <protection locked="0"/>
    </xf>
    <xf numFmtId="166" fontId="0" fillId="0" borderId="22" xfId="0" applyNumberFormat="1" applyBorder="1" applyAlignment="1" applyProtection="1">
      <alignment vertical="center" wrapText="1"/>
      <protection locked="0"/>
    </xf>
    <xf numFmtId="166" fontId="0" fillId="0" borderId="52" xfId="0" applyNumberFormat="1" applyBorder="1" applyAlignment="1" applyProtection="1">
      <alignment vertical="center" wrapText="1"/>
      <protection locked="0"/>
    </xf>
    <xf numFmtId="166" fontId="0" fillId="0" borderId="0" xfId="0" applyNumberFormat="1" applyAlignment="1">
      <alignment horizontal="centerContinuous" vertical="center"/>
    </xf>
    <xf numFmtId="166" fontId="0" fillId="0" borderId="46" xfId="0" applyNumberFormat="1" applyBorder="1" applyAlignment="1">
      <alignment horizontal="left" vertical="center" wrapText="1" indent="1"/>
    </xf>
    <xf numFmtId="166" fontId="0" fillId="0" borderId="44" xfId="0" applyNumberFormat="1" applyBorder="1" applyAlignment="1">
      <alignment horizontal="left" vertical="center" wrapText="1" indent="1"/>
    </xf>
    <xf numFmtId="166" fontId="0" fillId="0" borderId="43" xfId="0" applyNumberFormat="1" applyBorder="1" applyAlignment="1">
      <alignment horizontal="left" vertical="center" wrapText="1" indent="1"/>
    </xf>
    <xf numFmtId="0" fontId="45" fillId="0" borderId="0" xfId="0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vertical="center"/>
    </xf>
    <xf numFmtId="0" fontId="45" fillId="0" borderId="11" xfId="0" applyFont="1" applyBorder="1" applyAlignment="1" applyProtection="1">
      <alignment horizontal="left" vertical="center" wrapText="1"/>
      <protection locked="0"/>
    </xf>
    <xf numFmtId="0" fontId="45" fillId="0" borderId="11" xfId="0" applyFont="1" applyBorder="1" applyAlignment="1" applyProtection="1">
      <alignment horizontal="right" vertical="center" wrapText="1"/>
      <protection locked="0"/>
    </xf>
    <xf numFmtId="0" fontId="41" fillId="0" borderId="11" xfId="0" applyFont="1" applyBorder="1" applyAlignment="1" applyProtection="1">
      <alignment horizontal="center" vertical="center" wrapText="1"/>
      <protection locked="0"/>
    </xf>
    <xf numFmtId="0" fontId="45" fillId="0" borderId="11" xfId="0" applyFont="1" applyBorder="1" applyAlignment="1" applyProtection="1">
      <alignment vertical="center" wrapText="1"/>
      <protection locked="0"/>
    </xf>
    <xf numFmtId="166" fontId="45" fillId="0" borderId="11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Alignment="1">
      <alignment vertical="center"/>
    </xf>
    <xf numFmtId="0" fontId="41" fillId="0" borderId="11" xfId="0" applyFont="1" applyBorder="1" applyAlignment="1">
      <alignment vertical="center" wrapText="1"/>
    </xf>
    <xf numFmtId="0" fontId="2" fillId="0" borderId="0" xfId="4" applyAlignment="1">
      <alignment horizontal="right" vertical="center" indent="1"/>
    </xf>
    <xf numFmtId="166" fontId="15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Border="1" applyAlignment="1">
      <alignment horizontal="right" vertical="center" wrapText="1" indent="1"/>
    </xf>
    <xf numFmtId="166" fontId="18" fillId="0" borderId="13" xfId="4" applyNumberFormat="1" applyFont="1" applyBorder="1" applyAlignment="1">
      <alignment horizontal="right" vertical="center" wrapText="1" indent="1"/>
    </xf>
    <xf numFmtId="166" fontId="18" fillId="0" borderId="11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23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2" fillId="0" borderId="51" xfId="4" applyNumberFormat="1" applyFont="1" applyBorder="1" applyAlignment="1">
      <alignment horizontal="right" vertical="center" wrapText="1" indent="1"/>
    </xf>
    <xf numFmtId="166" fontId="16" fillId="0" borderId="26" xfId="4" applyNumberFormat="1" applyFont="1" applyBorder="1" applyAlignment="1">
      <alignment horizontal="right" vertical="center" wrapText="1" indent="1"/>
    </xf>
    <xf numFmtId="166" fontId="18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15" fillId="0" borderId="7" xfId="4" applyNumberFormat="1" applyFont="1" applyBorder="1" applyAlignment="1">
      <alignment horizontal="right" vertical="center" wrapText="1" indent="1"/>
    </xf>
    <xf numFmtId="166" fontId="21" fillId="0" borderId="7" xfId="0" quotePrefix="1" applyNumberFormat="1" applyFont="1" applyBorder="1" applyAlignment="1" applyProtection="1">
      <alignment horizontal="right" vertical="center" wrapText="1" indent="1"/>
      <protection locked="0"/>
    </xf>
    <xf numFmtId="166" fontId="21" fillId="0" borderId="7" xfId="0" quotePrefix="1" applyNumberFormat="1" applyFont="1" applyBorder="1" applyAlignment="1">
      <alignment horizontal="right" vertical="center" wrapText="1" indent="1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7" fillId="0" borderId="27" xfId="0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0" fontId="42" fillId="0" borderId="0" xfId="0" applyFont="1" applyAlignment="1">
      <alignment horizontal="right"/>
    </xf>
    <xf numFmtId="166" fontId="41" fillId="0" borderId="11" xfId="0" applyNumberFormat="1" applyFont="1" applyBorder="1" applyAlignment="1">
      <alignment horizontal="right" vertical="center" wrapText="1"/>
    </xf>
    <xf numFmtId="166" fontId="45" fillId="0" borderId="11" xfId="0" applyNumberFormat="1" applyFont="1" applyBorder="1" applyAlignment="1" applyProtection="1">
      <alignment horizontal="right" vertical="center" wrapText="1"/>
      <protection locked="0"/>
    </xf>
    <xf numFmtId="166" fontId="46" fillId="0" borderId="11" xfId="0" applyNumberFormat="1" applyFont="1" applyBorder="1" applyAlignment="1" applyProtection="1">
      <alignment horizontal="right" vertical="center" wrapText="1"/>
      <protection locked="0"/>
    </xf>
    <xf numFmtId="3" fontId="45" fillId="0" borderId="11" xfId="0" applyNumberFormat="1" applyFont="1" applyBorder="1" applyAlignment="1" applyProtection="1">
      <alignment horizontal="right" vertical="center" wrapText="1"/>
      <protection locked="0"/>
    </xf>
    <xf numFmtId="166" fontId="41" fillId="0" borderId="11" xfId="0" applyNumberFormat="1" applyFont="1" applyBorder="1" applyAlignment="1" applyProtection="1">
      <alignment horizontal="right" vertical="center" wrapText="1"/>
      <protection locked="0"/>
    </xf>
    <xf numFmtId="166" fontId="45" fillId="0" borderId="11" xfId="0" applyNumberFormat="1" applyFont="1" applyBorder="1" applyAlignment="1" applyProtection="1">
      <alignment vertical="center" wrapText="1"/>
      <protection locked="0"/>
    </xf>
    <xf numFmtId="3" fontId="45" fillId="0" borderId="11" xfId="0" applyNumberFormat="1" applyFont="1" applyBorder="1"/>
    <xf numFmtId="3" fontId="41" fillId="0" borderId="11" xfId="0" applyNumberFormat="1" applyFont="1" applyBorder="1" applyAlignment="1" applyProtection="1">
      <alignment horizontal="right" vertical="center" wrapText="1"/>
      <protection locked="0"/>
    </xf>
    <xf numFmtId="0" fontId="41" fillId="0" borderId="0" xfId="5" applyFont="1" applyAlignment="1">
      <alignment horizontal="center" wrapText="1"/>
    </xf>
    <xf numFmtId="0" fontId="41" fillId="0" borderId="19" xfId="5" applyFont="1" applyBorder="1" applyAlignment="1">
      <alignment horizontal="center" vertical="center" wrapText="1"/>
    </xf>
    <xf numFmtId="0" fontId="41" fillId="0" borderId="5" xfId="5" applyFont="1" applyBorder="1" applyAlignment="1">
      <alignment horizontal="center" vertical="center"/>
    </xf>
    <xf numFmtId="0" fontId="41" fillId="0" borderId="27" xfId="5" applyFont="1" applyBorder="1" applyAlignment="1">
      <alignment horizontal="center" vertical="center"/>
    </xf>
    <xf numFmtId="0" fontId="41" fillId="0" borderId="6" xfId="5" applyFont="1" applyBorder="1" applyAlignment="1">
      <alignment horizontal="left" vertical="center" indent="1"/>
    </xf>
    <xf numFmtId="0" fontId="41" fillId="0" borderId="0" xfId="5" applyFont="1" applyAlignment="1">
      <alignment vertical="center"/>
    </xf>
    <xf numFmtId="0" fontId="45" fillId="0" borderId="21" xfId="5" applyFont="1" applyBorder="1" applyAlignment="1">
      <alignment horizontal="left" vertical="center" indent="1"/>
    </xf>
    <xf numFmtId="0" fontId="45" fillId="0" borderId="11" xfId="5" applyFont="1" applyBorder="1" applyAlignment="1">
      <alignment horizontal="left" vertical="center" indent="1"/>
    </xf>
    <xf numFmtId="166" fontId="45" fillId="0" borderId="11" xfId="5" applyNumberFormat="1" applyFont="1" applyBorder="1" applyAlignment="1" applyProtection="1">
      <alignment vertical="center"/>
      <protection locked="0"/>
    </xf>
    <xf numFmtId="166" fontId="41" fillId="0" borderId="17" xfId="5" applyNumberFormat="1" applyFont="1" applyBorder="1" applyAlignment="1">
      <alignment vertical="center"/>
    </xf>
    <xf numFmtId="0" fontId="45" fillId="0" borderId="0" xfId="5" applyFont="1" applyAlignment="1" applyProtection="1">
      <alignment vertical="center"/>
      <protection locked="0"/>
    </xf>
    <xf numFmtId="0" fontId="45" fillId="0" borderId="6" xfId="5" applyFont="1" applyBorder="1" applyAlignment="1">
      <alignment horizontal="left" vertical="center" indent="1"/>
    </xf>
    <xf numFmtId="0" fontId="41" fillId="0" borderId="7" xfId="5" applyFont="1" applyBorder="1" applyAlignment="1">
      <alignment horizontal="left" vertical="center" indent="1"/>
    </xf>
    <xf numFmtId="166" fontId="41" fillId="0" borderId="7" xfId="5" applyNumberFormat="1" applyFont="1" applyBorder="1" applyAlignment="1">
      <alignment vertical="center"/>
    </xf>
    <xf numFmtId="166" fontId="41" fillId="0" borderId="8" xfId="5" applyNumberFormat="1" applyFont="1" applyBorder="1" applyAlignment="1">
      <alignment vertical="center"/>
    </xf>
    <xf numFmtId="0" fontId="45" fillId="0" borderId="0" xfId="5" applyFont="1" applyAlignment="1">
      <alignment vertical="center"/>
    </xf>
    <xf numFmtId="0" fontId="45" fillId="0" borderId="51" xfId="5" applyFont="1" applyBorder="1" applyAlignment="1">
      <alignment horizontal="left" vertical="center" indent="1"/>
    </xf>
    <xf numFmtId="0" fontId="41" fillId="0" borderId="51" xfId="5" applyFont="1" applyBorder="1" applyAlignment="1">
      <alignment horizontal="left" vertical="center" indent="1"/>
    </xf>
    <xf numFmtId="166" fontId="41" fillId="0" borderId="51" xfId="5" applyNumberFormat="1" applyFont="1" applyBorder="1" applyAlignment="1">
      <alignment vertical="center"/>
    </xf>
    <xf numFmtId="0" fontId="45" fillId="0" borderId="0" xfId="5" applyFont="1" applyAlignment="1">
      <alignment horizontal="left" vertical="center" indent="1"/>
    </xf>
    <xf numFmtId="0" fontId="41" fillId="0" borderId="0" xfId="5" applyFont="1" applyAlignment="1">
      <alignment horizontal="left" vertical="center" indent="1"/>
    </xf>
    <xf numFmtId="166" fontId="41" fillId="0" borderId="0" xfId="5" applyNumberFormat="1" applyFont="1" applyAlignment="1">
      <alignment vertical="center"/>
    </xf>
    <xf numFmtId="0" fontId="41" fillId="0" borderId="25" xfId="5" applyFont="1" applyBorder="1" applyAlignment="1">
      <alignment horizontal="left" vertical="center" indent="1"/>
    </xf>
    <xf numFmtId="0" fontId="45" fillId="0" borderId="53" xfId="5" applyFont="1" applyBorder="1" applyAlignment="1">
      <alignment horizontal="left" vertical="center" indent="1"/>
    </xf>
    <xf numFmtId="0" fontId="41" fillId="0" borderId="16" xfId="5" applyFont="1" applyBorder="1" applyAlignment="1">
      <alignment horizontal="left" vertical="center" indent="1"/>
    </xf>
    <xf numFmtId="166" fontId="41" fillId="0" borderId="16" xfId="5" applyNumberFormat="1" applyFont="1" applyBorder="1" applyAlignment="1">
      <alignment vertical="center"/>
    </xf>
    <xf numFmtId="0" fontId="13" fillId="0" borderId="54" xfId="0" applyFont="1" applyBorder="1" applyAlignment="1">
      <alignment horizontal="right" vertical="center"/>
    </xf>
    <xf numFmtId="166" fontId="35" fillId="0" borderId="7" xfId="0" applyNumberFormat="1" applyFont="1" applyBorder="1" applyAlignment="1">
      <alignment horizontal="center" vertical="center" wrapText="1"/>
    </xf>
    <xf numFmtId="0" fontId="14" fillId="0" borderId="55" xfId="4" applyFont="1" applyBorder="1" applyAlignment="1">
      <alignment horizontal="center" vertical="center" wrapText="1"/>
    </xf>
    <xf numFmtId="166" fontId="14" fillId="0" borderId="8" xfId="4" applyNumberFormat="1" applyFont="1" applyBorder="1" applyAlignment="1">
      <alignment horizontal="right" vertical="center" wrapText="1"/>
    </xf>
    <xf numFmtId="166" fontId="24" fillId="0" borderId="14" xfId="4" applyNumberFormat="1" applyFont="1" applyBorder="1" applyAlignment="1" applyProtection="1">
      <alignment horizontal="right" vertical="center" wrapText="1"/>
      <protection locked="0"/>
    </xf>
    <xf numFmtId="166" fontId="24" fillId="0" borderId="17" xfId="4" applyNumberFormat="1" applyFont="1" applyBorder="1" applyAlignment="1" applyProtection="1">
      <alignment horizontal="right" vertical="center" wrapText="1"/>
      <protection locked="0"/>
    </xf>
    <xf numFmtId="166" fontId="24" fillId="0" borderId="24" xfId="4" applyNumberFormat="1" applyFont="1" applyBorder="1" applyAlignment="1" applyProtection="1">
      <alignment horizontal="right" vertical="center" wrapText="1"/>
      <protection locked="0"/>
    </xf>
    <xf numFmtId="166" fontId="24" fillId="0" borderId="14" xfId="4" applyNumberFormat="1" applyFont="1" applyBorder="1" applyAlignment="1">
      <alignment horizontal="right" vertical="center" wrapText="1"/>
    </xf>
    <xf numFmtId="166" fontId="14" fillId="0" borderId="8" xfId="4" applyNumberFormat="1" applyFont="1" applyBorder="1" applyAlignment="1" applyProtection="1">
      <alignment horizontal="right" vertical="center" wrapText="1"/>
      <protection locked="0"/>
    </xf>
    <xf numFmtId="166" fontId="14" fillId="0" borderId="7" xfId="4" applyNumberFormat="1" applyFont="1" applyBorder="1" applyAlignment="1">
      <alignment horizontal="right" vertical="center" wrapText="1"/>
    </xf>
    <xf numFmtId="166" fontId="14" fillId="0" borderId="27" xfId="4" applyNumberFormat="1" applyFont="1" applyBorder="1" applyAlignment="1">
      <alignment horizontal="right" vertical="center" wrapText="1" indent="1"/>
    </xf>
    <xf numFmtId="166" fontId="24" fillId="0" borderId="29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1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15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50" xfId="4" applyNumberFormat="1" applyFont="1" applyBorder="1" applyAlignment="1">
      <alignment horizontal="right" vertical="center" wrapText="1" indent="1"/>
    </xf>
    <xf numFmtId="166" fontId="24" fillId="0" borderId="14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3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4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8" xfId="4" applyNumberFormat="1" applyFont="1" applyBorder="1" applyAlignment="1">
      <alignment horizontal="right" vertical="center" wrapText="1" indent="1"/>
    </xf>
    <xf numFmtId="166" fontId="35" fillId="0" borderId="8" xfId="4" applyNumberFormat="1" applyFont="1" applyBorder="1" applyAlignment="1">
      <alignment horizontal="right" vertical="center" wrapText="1" indent="1"/>
    </xf>
    <xf numFmtId="166" fontId="38" fillId="0" borderId="8" xfId="0" applyNumberFormat="1" applyFont="1" applyBorder="1" applyAlignment="1">
      <alignment horizontal="right" vertical="center" wrapText="1" indent="1"/>
    </xf>
    <xf numFmtId="166" fontId="38" fillId="0" borderId="8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8" xfId="0" quotePrefix="1" applyNumberFormat="1" applyFont="1" applyBorder="1" applyAlignment="1">
      <alignment horizontal="right" vertical="center" wrapText="1" indent="1"/>
    </xf>
    <xf numFmtId="166" fontId="38" fillId="0" borderId="7" xfId="0" quotePrefix="1" applyNumberFormat="1" applyFont="1" applyBorder="1" applyAlignment="1">
      <alignment horizontal="right" vertical="center" wrapText="1" indent="1"/>
    </xf>
    <xf numFmtId="166" fontId="5" fillId="0" borderId="0" xfId="4" applyNumberFormat="1" applyFont="1"/>
    <xf numFmtId="49" fontId="11" fillId="0" borderId="29" xfId="0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right" vertical="center"/>
    </xf>
    <xf numFmtId="166" fontId="11" fillId="0" borderId="34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right" vertical="center" wrapText="1" indent="1"/>
    </xf>
    <xf numFmtId="166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5" xfId="0" applyNumberFormat="1" applyFont="1" applyBorder="1" applyAlignment="1">
      <alignment horizontal="right" vertical="center" wrapText="1" indent="1"/>
    </xf>
    <xf numFmtId="166" fontId="15" fillId="0" borderId="55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6" fontId="15" fillId="0" borderId="8" xfId="0" applyNumberFormat="1" applyFont="1" applyBorder="1" applyAlignment="1">
      <alignment horizontal="right" vertical="center" wrapText="1" indent="1"/>
    </xf>
    <xf numFmtId="166" fontId="24" fillId="0" borderId="0" xfId="0" applyNumberFormat="1" applyFont="1" applyAlignment="1">
      <alignment horizontal="left" vertical="center" wrapText="1"/>
    </xf>
    <xf numFmtId="0" fontId="47" fillId="0" borderId="0" xfId="0" applyFont="1" applyAlignment="1" applyProtection="1">
      <alignment horizontal="right" vertical="top"/>
      <protection locked="0"/>
    </xf>
    <xf numFmtId="166" fontId="24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5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4" applyFont="1"/>
    <xf numFmtId="0" fontId="14" fillId="0" borderId="19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38" fillId="0" borderId="25" xfId="0" applyFont="1" applyBorder="1" applyAlignment="1">
      <alignment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vertical="center" wrapText="1"/>
    </xf>
    <xf numFmtId="0" fontId="24" fillId="0" borderId="11" xfId="4" applyFont="1" applyBorder="1" applyAlignment="1">
      <alignment horizontal="left" vertical="center" wrapText="1" indent="7"/>
    </xf>
    <xf numFmtId="0" fontId="14" fillId="0" borderId="29" xfId="0" quotePrefix="1" applyFont="1" applyBorder="1" applyAlignment="1">
      <alignment horizontal="right" vertical="center" indent="1"/>
    </xf>
    <xf numFmtId="49" fontId="14" fillId="0" borderId="36" xfId="0" applyNumberFormat="1" applyFont="1" applyBorder="1" applyAlignment="1">
      <alignment horizontal="right" vertical="center" indent="1"/>
    </xf>
    <xf numFmtId="0" fontId="14" fillId="0" borderId="27" xfId="0" applyFont="1" applyBorder="1" applyAlignment="1">
      <alignment horizontal="right" vertical="center" wrapText="1" indent="1"/>
    </xf>
    <xf numFmtId="0" fontId="14" fillId="0" borderId="27" xfId="4" applyFont="1" applyBorder="1" applyAlignment="1">
      <alignment horizontal="center" vertical="center" wrapText="1"/>
    </xf>
    <xf numFmtId="166" fontId="24" fillId="0" borderId="14" xfId="4" applyNumberFormat="1" applyFont="1" applyBorder="1" applyAlignment="1">
      <alignment horizontal="right" vertical="center" wrapText="1" indent="1"/>
    </xf>
    <xf numFmtId="166" fontId="0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0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8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0" xfId="4" applyNumberFormat="1" applyFont="1" applyAlignment="1">
      <alignment horizontal="right" vertical="center" wrapText="1" indent="1"/>
    </xf>
    <xf numFmtId="0" fontId="13" fillId="0" borderId="54" xfId="0" applyFont="1" applyBorder="1" applyAlignment="1">
      <alignment horizontal="right"/>
    </xf>
    <xf numFmtId="0" fontId="14" fillId="0" borderId="8" xfId="4" applyFont="1" applyBorder="1" applyAlignment="1">
      <alignment horizontal="center" vertical="center" wrapText="1"/>
    </xf>
    <xf numFmtId="166" fontId="24" fillId="0" borderId="0" xfId="4" applyNumberFormat="1" applyFont="1"/>
    <xf numFmtId="0" fontId="11" fillId="0" borderId="27" xfId="0" applyFont="1" applyBorder="1" applyAlignment="1">
      <alignment horizontal="right" vertical="center" wrapText="1" indent="1"/>
    </xf>
    <xf numFmtId="0" fontId="15" fillId="0" borderId="27" xfId="4" applyFont="1" applyBorder="1" applyAlignment="1">
      <alignment horizontal="center" vertical="center" wrapText="1"/>
    </xf>
    <xf numFmtId="166" fontId="12" fillId="0" borderId="0" xfId="4" applyNumberFormat="1" applyFont="1" applyAlignment="1">
      <alignment horizontal="right" vertical="center" wrapText="1" indent="1"/>
    </xf>
    <xf numFmtId="0" fontId="15" fillId="0" borderId="8" xfId="4" applyFont="1" applyBorder="1" applyAlignment="1">
      <alignment horizontal="center" vertical="center" wrapText="1"/>
    </xf>
    <xf numFmtId="166" fontId="15" fillId="0" borderId="50" xfId="4" applyNumberFormat="1" applyFont="1" applyBorder="1" applyAlignment="1">
      <alignment horizontal="right" vertical="center" wrapText="1" indent="1"/>
    </xf>
    <xf numFmtId="166" fontId="20" fillId="0" borderId="8" xfId="0" applyNumberFormat="1" applyFont="1" applyBorder="1" applyAlignment="1" applyProtection="1">
      <alignment horizontal="right" vertical="center" wrapText="1" indent="1"/>
      <protection locked="0"/>
    </xf>
    <xf numFmtId="166" fontId="14" fillId="0" borderId="51" xfId="4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4" applyFont="1" applyBorder="1" applyAlignment="1">
      <alignment vertical="center" wrapText="1"/>
    </xf>
    <xf numFmtId="166" fontId="38" fillId="0" borderId="51" xfId="0" quotePrefix="1" applyNumberFormat="1" applyFont="1" applyBorder="1" applyAlignment="1">
      <alignment horizontal="right" vertical="center" wrapText="1" indent="1"/>
    </xf>
    <xf numFmtId="0" fontId="14" fillId="0" borderId="8" xfId="0" applyFont="1" applyBorder="1" applyAlignment="1">
      <alignment horizontal="center" vertical="center" wrapText="1"/>
    </xf>
    <xf numFmtId="166" fontId="14" fillId="0" borderId="34" xfId="0" applyNumberFormat="1" applyFont="1" applyBorder="1" applyAlignment="1">
      <alignment horizontal="right" vertical="center" wrapText="1" indent="1"/>
    </xf>
    <xf numFmtId="3" fontId="14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33" fillId="0" borderId="11" xfId="0" applyNumberFormat="1" applyFont="1" applyBorder="1" applyAlignment="1" applyProtection="1">
      <alignment vertical="center" wrapText="1"/>
      <protection locked="0"/>
    </xf>
    <xf numFmtId="49" fontId="33" fillId="0" borderId="11" xfId="0" applyNumberFormat="1" applyFont="1" applyBorder="1" applyAlignment="1" applyProtection="1">
      <alignment horizontal="center" vertical="center" wrapText="1"/>
      <protection locked="0"/>
    </xf>
    <xf numFmtId="166" fontId="33" fillId="0" borderId="17" xfId="0" applyNumberFormat="1" applyFont="1" applyBorder="1" applyAlignment="1">
      <alignment vertical="center" wrapText="1"/>
    </xf>
    <xf numFmtId="166" fontId="0" fillId="0" borderId="56" xfId="0" applyNumberFormat="1" applyBorder="1" applyAlignment="1" applyProtection="1">
      <alignment vertical="center" wrapText="1"/>
      <protection locked="0"/>
    </xf>
    <xf numFmtId="166" fontId="34" fillId="0" borderId="0" xfId="0" applyNumberFormat="1" applyFont="1" applyAlignment="1">
      <alignment horizontal="right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 wrapText="1"/>
    </xf>
    <xf numFmtId="166" fontId="35" fillId="0" borderId="42" xfId="0" applyNumberFormat="1" applyFont="1" applyBorder="1" applyAlignment="1">
      <alignment horizontal="center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166" fontId="34" fillId="0" borderId="7" xfId="0" applyNumberFormat="1" applyFont="1" applyBorder="1" applyAlignment="1">
      <alignment horizontal="center" vertical="center" wrapText="1"/>
    </xf>
    <xf numFmtId="166" fontId="35" fillId="0" borderId="26" xfId="0" applyNumberFormat="1" applyFont="1" applyBorder="1" applyAlignment="1">
      <alignment horizontal="center" vertical="center" wrapText="1"/>
    </xf>
    <xf numFmtId="166" fontId="35" fillId="0" borderId="50" xfId="0" applyNumberFormat="1" applyFont="1" applyBorder="1" applyAlignment="1">
      <alignment horizontal="center" vertical="center" wrapText="1"/>
    </xf>
    <xf numFmtId="166" fontId="35" fillId="0" borderId="57" xfId="0" applyNumberFormat="1" applyFont="1" applyBorder="1" applyAlignment="1">
      <alignment horizontal="center" vertical="center" wrapText="1"/>
    </xf>
    <xf numFmtId="166" fontId="35" fillId="0" borderId="58" xfId="0" applyNumberFormat="1" applyFont="1" applyBorder="1" applyAlignment="1">
      <alignment horizontal="center" vertical="center" wrapText="1"/>
    </xf>
    <xf numFmtId="166" fontId="33" fillId="0" borderId="56" xfId="0" applyNumberFormat="1" applyFont="1" applyBorder="1" applyAlignment="1" applyProtection="1">
      <alignment vertical="center" wrapText="1"/>
      <protection locked="0"/>
    </xf>
    <xf numFmtId="166" fontId="0" fillId="0" borderId="11" xfId="0" applyNumberFormat="1" applyBorder="1" applyAlignment="1" applyProtection="1">
      <alignment vertical="center" wrapText="1"/>
      <protection locked="0"/>
    </xf>
    <xf numFmtId="166" fontId="0" fillId="0" borderId="17" xfId="0" applyNumberFormat="1" applyBorder="1" applyAlignment="1">
      <alignment vertical="center" wrapText="1"/>
    </xf>
    <xf numFmtId="166" fontId="0" fillId="0" borderId="23" xfId="0" applyNumberFormat="1" applyBorder="1" applyAlignment="1" applyProtection="1">
      <alignment vertical="center" wrapText="1"/>
      <protection locked="0"/>
    </xf>
    <xf numFmtId="166" fontId="0" fillId="0" borderId="24" xfId="0" applyNumberFormat="1" applyBorder="1" applyAlignment="1">
      <alignment vertical="center" wrapText="1"/>
    </xf>
    <xf numFmtId="166" fontId="34" fillId="0" borderId="56" xfId="0" applyNumberFormat="1" applyFont="1" applyBorder="1" applyAlignment="1" applyProtection="1">
      <alignment vertical="center" wrapText="1"/>
      <protection locked="0"/>
    </xf>
    <xf numFmtId="166" fontId="35" fillId="0" borderId="7" xfId="0" applyNumberFormat="1" applyFont="1" applyBorder="1" applyAlignment="1">
      <alignment vertical="center" wrapText="1"/>
    </xf>
    <xf numFmtId="174" fontId="14" fillId="0" borderId="23" xfId="4" applyNumberFormat="1" applyFont="1" applyBorder="1" applyAlignment="1">
      <alignment horizontal="center" vertical="center" wrapText="1"/>
    </xf>
    <xf numFmtId="0" fontId="24" fillId="0" borderId="8" xfId="4" applyFont="1" applyBorder="1" applyAlignment="1">
      <alignment horizontal="center" vertical="center"/>
    </xf>
    <xf numFmtId="168" fontId="24" fillId="0" borderId="13" xfId="1" applyNumberFormat="1" applyFont="1" applyBorder="1" applyProtection="1">
      <protection locked="0"/>
    </xf>
    <xf numFmtId="168" fontId="24" fillId="0" borderId="14" xfId="1" applyNumberFormat="1" applyFont="1" applyBorder="1"/>
    <xf numFmtId="168" fontId="24" fillId="0" borderId="11" xfId="1" applyNumberFormat="1" applyFont="1" applyBorder="1" applyProtection="1">
      <protection locked="0"/>
    </xf>
    <xf numFmtId="168" fontId="24" fillId="0" borderId="17" xfId="1" applyNumberFormat="1" applyFont="1" applyBorder="1"/>
    <xf numFmtId="168" fontId="24" fillId="0" borderId="23" xfId="1" applyNumberFormat="1" applyFont="1" applyBorder="1" applyProtection="1">
      <protection locked="0"/>
    </xf>
    <xf numFmtId="168" fontId="14" fillId="0" borderId="7" xfId="4" applyNumberFormat="1" applyFont="1" applyBorder="1"/>
    <xf numFmtId="168" fontId="14" fillId="0" borderId="8" xfId="4" applyNumberFormat="1" applyFont="1" applyBorder="1"/>
    <xf numFmtId="0" fontId="40" fillId="0" borderId="0" xfId="4" applyFont="1"/>
    <xf numFmtId="0" fontId="49" fillId="0" borderId="0" xfId="0" applyFont="1" applyAlignment="1">
      <alignment horizontal="right"/>
    </xf>
    <xf numFmtId="0" fontId="11" fillId="0" borderId="8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/>
    </xf>
    <xf numFmtId="168" fontId="6" fillId="0" borderId="59" xfId="1" applyNumberFormat="1" applyFont="1" applyBorder="1" applyProtection="1">
      <protection locked="0"/>
    </xf>
    <xf numFmtId="168" fontId="6" fillId="0" borderId="33" xfId="1" applyNumberFormat="1" applyFont="1" applyBorder="1" applyProtection="1">
      <protection locked="0"/>
    </xf>
    <xf numFmtId="168" fontId="6" fillId="0" borderId="34" xfId="1" applyNumberFormat="1" applyFont="1" applyBorder="1" applyProtection="1">
      <protection locked="0"/>
    </xf>
    <xf numFmtId="168" fontId="16" fillId="0" borderId="8" xfId="1" applyNumberFormat="1" applyFont="1" applyBorder="1"/>
    <xf numFmtId="3" fontId="2" fillId="0" borderId="11" xfId="0" applyNumberFormat="1" applyFont="1" applyBorder="1" applyAlignment="1" applyProtection="1">
      <alignment vertical="center" wrapText="1"/>
      <protection locked="0"/>
    </xf>
    <xf numFmtId="3" fontId="2" fillId="0" borderId="11" xfId="0" applyNumberFormat="1" applyFont="1" applyBorder="1" applyAlignment="1" applyProtection="1">
      <alignment horizontal="center" vertical="center" wrapText="1"/>
      <protection locked="0"/>
    </xf>
    <xf numFmtId="3" fontId="2" fillId="0" borderId="56" xfId="0" applyNumberFormat="1" applyFont="1" applyBorder="1" applyAlignment="1">
      <alignment vertical="center" wrapText="1"/>
    </xf>
    <xf numFmtId="3" fontId="7" fillId="0" borderId="56" xfId="0" applyNumberFormat="1" applyFont="1" applyBorder="1" applyAlignment="1" applyProtection="1">
      <alignment vertical="center" wrapText="1"/>
      <protection locked="0"/>
    </xf>
    <xf numFmtId="3" fontId="2" fillId="0" borderId="56" xfId="0" applyNumberFormat="1" applyFont="1" applyBorder="1" applyAlignment="1" applyProtection="1">
      <alignment vertical="center" wrapText="1"/>
      <protection locked="0"/>
    </xf>
    <xf numFmtId="3" fontId="2" fillId="0" borderId="17" xfId="0" applyNumberFormat="1" applyFont="1" applyBorder="1" applyAlignment="1">
      <alignment vertical="center" wrapText="1"/>
    </xf>
    <xf numFmtId="3" fontId="8" fillId="0" borderId="11" xfId="0" applyNumberFormat="1" applyFont="1" applyBorder="1" applyAlignment="1" applyProtection="1">
      <alignment vertical="center" wrapText="1"/>
      <protection locked="0"/>
    </xf>
    <xf numFmtId="3" fontId="8" fillId="0" borderId="11" xfId="0" applyNumberFormat="1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>
      <alignment vertical="center" wrapText="1"/>
    </xf>
    <xf numFmtId="3" fontId="8" fillId="0" borderId="56" xfId="0" applyNumberFormat="1" applyFont="1" applyBorder="1" applyAlignment="1" applyProtection="1">
      <alignment vertical="center" wrapText="1"/>
      <protection locked="0"/>
    </xf>
    <xf numFmtId="166" fontId="0" fillId="0" borderId="26" xfId="0" applyNumberFormat="1" applyBorder="1" applyAlignment="1">
      <alignment horizontal="center" vertical="center" wrapText="1"/>
    </xf>
    <xf numFmtId="3" fontId="28" fillId="0" borderId="11" xfId="0" applyNumberFormat="1" applyFont="1" applyBorder="1" applyAlignment="1" applyProtection="1">
      <alignment vertical="center" wrapText="1"/>
      <protection locked="0"/>
    </xf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3" fontId="7" fillId="0" borderId="5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vertical="center" wrapText="1"/>
    </xf>
    <xf numFmtId="166" fontId="34" fillId="0" borderId="0" xfId="0" applyNumberFormat="1" applyFont="1" applyAlignment="1">
      <alignment horizontal="right" vertical="center"/>
    </xf>
    <xf numFmtId="166" fontId="32" fillId="0" borderId="7" xfId="0" applyNumberFormat="1" applyFont="1" applyBorder="1" applyAlignment="1">
      <alignment horizontal="centerContinuous" vertical="center" wrapText="1"/>
    </xf>
    <xf numFmtId="166" fontId="32" fillId="0" borderId="8" xfId="0" applyNumberFormat="1" applyFont="1" applyBorder="1" applyAlignment="1">
      <alignment horizontal="centerContinuous" vertical="center" wrapText="1"/>
    </xf>
    <xf numFmtId="0" fontId="32" fillId="0" borderId="8" xfId="4" applyFont="1" applyBorder="1" applyAlignment="1">
      <alignment horizontal="center" vertical="center" wrapText="1"/>
    </xf>
    <xf numFmtId="166" fontId="16" fillId="0" borderId="7" xfId="0" applyNumberFormat="1" applyFont="1" applyBorder="1" applyAlignment="1">
      <alignment horizontal="center" vertical="center" wrapText="1"/>
    </xf>
    <xf numFmtId="166" fontId="6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" fillId="0" borderId="56" xfId="0" applyNumberFormat="1" applyFont="1" applyBorder="1" applyAlignment="1" applyProtection="1">
      <alignment horizontal="right" vertical="center" wrapText="1" indent="1"/>
      <protection locked="0"/>
    </xf>
    <xf numFmtId="166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0" applyNumberFormat="1" applyFont="1" applyBorder="1" applyAlignment="1">
      <alignment horizontal="right" vertical="center" wrapText="1" indent="1"/>
    </xf>
    <xf numFmtId="166" fontId="36" fillId="0" borderId="13" xfId="0" applyNumberFormat="1" applyFont="1" applyBorder="1" applyAlignment="1">
      <alignment horizontal="right" vertical="center" wrapText="1" indent="1"/>
    </xf>
    <xf numFmtId="166" fontId="36" fillId="0" borderId="11" xfId="0" applyNumberFormat="1" applyFont="1" applyBorder="1" applyAlignment="1">
      <alignment horizontal="right" vertical="center" wrapText="1" indent="1"/>
    </xf>
    <xf numFmtId="166" fontId="35" fillId="0" borderId="55" xfId="0" applyNumberFormat="1" applyFont="1" applyBorder="1" applyAlignment="1">
      <alignment horizontal="right" vertical="center" wrapText="1" indent="1"/>
    </xf>
    <xf numFmtId="166" fontId="36" fillId="0" borderId="12" xfId="0" applyNumberFormat="1" applyFont="1" applyBorder="1" applyAlignment="1">
      <alignment horizontal="right" vertical="center" wrapText="1" indent="1"/>
    </xf>
    <xf numFmtId="166" fontId="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8" fillId="0" borderId="0" xfId="4" applyFont="1" applyAlignment="1">
      <alignment horizontal="right"/>
    </xf>
    <xf numFmtId="166" fontId="5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5" fillId="0" borderId="24" xfId="4" applyNumberFormat="1" applyFont="1" applyBorder="1" applyAlignment="1" applyProtection="1">
      <alignment horizontal="right" vertical="center" wrapText="1" indent="1"/>
      <protection locked="0"/>
    </xf>
    <xf numFmtId="166" fontId="5" fillId="0" borderId="14" xfId="4" applyNumberFormat="1" applyFont="1" applyBorder="1" applyAlignment="1" applyProtection="1">
      <alignment horizontal="right" vertical="center" wrapText="1" indent="1"/>
      <protection locked="0"/>
    </xf>
    <xf numFmtId="0" fontId="5" fillId="0" borderId="0" xfId="0" applyFont="1" applyAlignment="1">
      <alignment horizontal="right" vertical="center" wrapText="1" indent="1"/>
    </xf>
    <xf numFmtId="166" fontId="34" fillId="0" borderId="54" xfId="4" applyNumberFormat="1" applyFont="1" applyBorder="1" applyAlignment="1">
      <alignment horizontal="left" vertical="center"/>
    </xf>
    <xf numFmtId="0" fontId="28" fillId="0" borderId="0" xfId="4" applyFont="1" applyAlignment="1">
      <alignment horizontal="right" vertical="center" indent="1"/>
    </xf>
    <xf numFmtId="3" fontId="24" fillId="0" borderId="0" xfId="4" applyNumberFormat="1" applyFont="1"/>
    <xf numFmtId="3" fontId="18" fillId="0" borderId="24" xfId="4" applyNumberFormat="1" applyFont="1" applyBorder="1" applyAlignment="1" applyProtection="1">
      <alignment horizontal="right" vertical="center" wrapText="1" indent="1"/>
      <protection locked="0"/>
    </xf>
    <xf numFmtId="0" fontId="35" fillId="0" borderId="0" xfId="4" applyFont="1" applyAlignment="1">
      <alignment horizontal="center"/>
    </xf>
    <xf numFmtId="3" fontId="24" fillId="0" borderId="24" xfId="4" applyNumberFormat="1" applyFont="1" applyBorder="1" applyAlignment="1" applyProtection="1">
      <alignment horizontal="right" vertical="center" wrapText="1" indent="1"/>
      <protection locked="0"/>
    </xf>
    <xf numFmtId="0" fontId="35" fillId="0" borderId="0" xfId="4" applyFont="1"/>
    <xf numFmtId="0" fontId="5" fillId="0" borderId="0" xfId="4" applyFont="1" applyAlignment="1">
      <alignment horizontal="right" vertical="center" indent="1"/>
    </xf>
    <xf numFmtId="3" fontId="5" fillId="0" borderId="0" xfId="4" applyNumberFormat="1" applyFont="1"/>
    <xf numFmtId="166" fontId="24" fillId="0" borderId="13" xfId="4" applyNumberFormat="1" applyFont="1" applyBorder="1" applyAlignment="1" applyProtection="1">
      <alignment horizontal="right" vertical="center" wrapText="1"/>
      <protection locked="0"/>
    </xf>
    <xf numFmtId="166" fontId="24" fillId="0" borderId="11" xfId="4" applyNumberFormat="1" applyFont="1" applyBorder="1" applyAlignment="1" applyProtection="1">
      <alignment horizontal="right" vertical="center" wrapText="1"/>
      <protection locked="0"/>
    </xf>
    <xf numFmtId="166" fontId="24" fillId="0" borderId="23" xfId="4" applyNumberFormat="1" applyFont="1" applyBorder="1" applyAlignment="1" applyProtection="1">
      <alignment horizontal="right" vertical="center" wrapText="1"/>
      <protection locked="0"/>
    </xf>
    <xf numFmtId="166" fontId="24" fillId="0" borderId="13" xfId="4" applyNumberFormat="1" applyFont="1" applyBorder="1" applyAlignment="1">
      <alignment horizontal="right" vertical="center" wrapText="1"/>
    </xf>
    <xf numFmtId="166" fontId="14" fillId="0" borderId="7" xfId="4" applyNumberFormat="1" applyFont="1" applyBorder="1" applyAlignment="1" applyProtection="1">
      <alignment horizontal="right" vertical="center" wrapText="1"/>
      <protection locked="0"/>
    </xf>
    <xf numFmtId="166" fontId="14" fillId="0" borderId="5" xfId="4" applyNumberFormat="1" applyFont="1" applyBorder="1" applyAlignment="1">
      <alignment horizontal="right" vertical="center" wrapText="1" indent="1"/>
    </xf>
    <xf numFmtId="166" fontId="24" fillId="0" borderId="2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23" xfId="4" applyNumberFormat="1" applyFont="1" applyBorder="1" applyAlignment="1" applyProtection="1">
      <alignment horizontal="right" vertical="center" wrapText="1" indent="1"/>
      <protection locked="0"/>
    </xf>
    <xf numFmtId="166" fontId="24" fillId="0" borderId="3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26" xfId="4" applyNumberFormat="1" applyFont="1" applyBorder="1" applyAlignment="1">
      <alignment horizontal="right" vertical="center" wrapText="1" indent="1"/>
    </xf>
    <xf numFmtId="166" fontId="24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14" fillId="0" borderId="7" xfId="4" applyNumberFormat="1" applyFont="1" applyBorder="1" applyAlignment="1">
      <alignment horizontal="right" vertical="center" wrapText="1" indent="1"/>
    </xf>
    <xf numFmtId="166" fontId="35" fillId="0" borderId="7" xfId="4" applyNumberFormat="1" applyFont="1" applyBorder="1" applyAlignment="1">
      <alignment horizontal="right" vertical="center" wrapText="1" indent="1"/>
    </xf>
    <xf numFmtId="166" fontId="38" fillId="0" borderId="7" xfId="0" applyNumberFormat="1" applyFont="1" applyBorder="1" applyAlignment="1">
      <alignment horizontal="right" vertical="center" wrapText="1" indent="1"/>
    </xf>
    <xf numFmtId="166" fontId="38" fillId="0" borderId="7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4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166" fontId="2" fillId="0" borderId="0" xfId="4" applyNumberFormat="1"/>
    <xf numFmtId="166" fontId="34" fillId="0" borderId="54" xfId="4" applyNumberFormat="1" applyFont="1" applyBorder="1" applyAlignment="1">
      <alignment horizontal="left" vertical="center"/>
    </xf>
    <xf numFmtId="166" fontId="14" fillId="0" borderId="0" xfId="4" applyNumberFormat="1" applyFont="1" applyAlignment="1">
      <alignment horizontal="center" vertical="center"/>
    </xf>
    <xf numFmtId="166" fontId="34" fillId="0" borderId="54" xfId="4" applyNumberFormat="1" applyFont="1" applyBorder="1" applyAlignment="1">
      <alignment horizontal="left"/>
    </xf>
    <xf numFmtId="166" fontId="12" fillId="0" borderId="0" xfId="4" applyNumberFormat="1" applyFont="1" applyAlignment="1">
      <alignment horizontal="center" vertical="center"/>
    </xf>
    <xf numFmtId="166" fontId="23" fillId="0" borderId="54" xfId="4" applyNumberFormat="1" applyFont="1" applyBorder="1" applyAlignment="1">
      <alignment horizontal="left" vertical="center"/>
    </xf>
    <xf numFmtId="166" fontId="23" fillId="0" borderId="54" xfId="4" applyNumberFormat="1" applyFont="1" applyBorder="1" applyAlignment="1">
      <alignment horizontal="left"/>
    </xf>
    <xf numFmtId="166" fontId="32" fillId="0" borderId="60" xfId="0" applyNumberFormat="1" applyFont="1" applyBorder="1" applyAlignment="1">
      <alignment horizontal="center" vertical="center" wrapText="1"/>
    </xf>
    <xf numFmtId="166" fontId="32" fillId="0" borderId="61" xfId="0" applyNumberFormat="1" applyFont="1" applyBorder="1" applyAlignment="1">
      <alignment horizontal="center" vertical="center" wrapText="1"/>
    </xf>
    <xf numFmtId="166" fontId="37" fillId="0" borderId="51" xfId="0" applyNumberFormat="1" applyFont="1" applyBorder="1" applyAlignment="1">
      <alignment horizontal="center" vertical="center" wrapText="1"/>
    </xf>
    <xf numFmtId="166" fontId="32" fillId="0" borderId="62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29" fillId="0" borderId="0" xfId="4" applyNumberFormat="1" applyFont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14" fillId="0" borderId="29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8" xfId="4" applyFont="1" applyBorder="1" applyAlignment="1">
      <alignment horizontal="center" vertical="center" wrapText="1"/>
    </xf>
    <xf numFmtId="0" fontId="14" fillId="0" borderId="22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23" xfId="4" applyFont="1" applyBorder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32" fillId="0" borderId="6" xfId="4" applyFont="1" applyBorder="1" applyAlignment="1">
      <alignment horizontal="left"/>
    </xf>
    <xf numFmtId="0" fontId="32" fillId="0" borderId="7" xfId="4" applyFont="1" applyBorder="1" applyAlignment="1">
      <alignment horizontal="left"/>
    </xf>
    <xf numFmtId="0" fontId="18" fillId="0" borderId="51" xfId="4" applyFont="1" applyBorder="1" applyAlignment="1">
      <alignment horizontal="justify" vertical="center" wrapText="1"/>
    </xf>
    <xf numFmtId="3" fontId="7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35" fillId="0" borderId="4" xfId="0" applyFont="1" applyBorder="1" applyAlignment="1">
      <alignment horizontal="left" indent="1"/>
    </xf>
    <xf numFmtId="0" fontId="35" fillId="0" borderId="16" xfId="0" applyFont="1" applyBorder="1" applyAlignment="1">
      <alignment horizontal="left" indent="1"/>
    </xf>
    <xf numFmtId="0" fontId="35" fillId="0" borderId="18" xfId="0" applyFont="1" applyBorder="1" applyAlignment="1">
      <alignment horizontal="left" indent="1"/>
    </xf>
    <xf numFmtId="0" fontId="5" fillId="0" borderId="2" xfId="0" applyFont="1" applyBorder="1" applyAlignment="1" applyProtection="1">
      <alignment horizontal="right" indent="1"/>
      <protection locked="0"/>
    </xf>
    <xf numFmtId="0" fontId="5" fillId="0" borderId="29" xfId="0" applyFont="1" applyBorder="1" applyAlignment="1" applyProtection="1">
      <alignment horizontal="right" indent="1"/>
      <protection locked="0"/>
    </xf>
    <xf numFmtId="0" fontId="5" fillId="0" borderId="23" xfId="0" applyFont="1" applyBorder="1" applyAlignment="1" applyProtection="1">
      <alignment horizontal="right" indent="1"/>
      <protection locked="0"/>
    </xf>
    <xf numFmtId="0" fontId="5" fillId="0" borderId="24" xfId="0" applyFont="1" applyBorder="1" applyAlignment="1" applyProtection="1">
      <alignment horizontal="right" indent="1"/>
      <protection locked="0"/>
    </xf>
    <xf numFmtId="0" fontId="35" fillId="0" borderId="7" xfId="0" applyFont="1" applyBorder="1" applyAlignment="1">
      <alignment horizontal="right" indent="1"/>
    </xf>
    <xf numFmtId="0" fontId="35" fillId="0" borderId="8" xfId="0" applyFont="1" applyBorder="1" applyAlignment="1">
      <alignment horizontal="right" indent="1"/>
    </xf>
    <xf numFmtId="0" fontId="35" fillId="0" borderId="5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5" fillId="0" borderId="1" xfId="0" applyFont="1" applyBorder="1" applyAlignment="1" applyProtection="1">
      <alignment horizontal="left" indent="1"/>
      <protection locked="0"/>
    </xf>
    <xf numFmtId="0" fontId="5" fillId="0" borderId="66" xfId="0" applyFont="1" applyBorder="1" applyAlignment="1" applyProtection="1">
      <alignment horizontal="left" indent="1"/>
      <protection locked="0"/>
    </xf>
    <xf numFmtId="0" fontId="5" fillId="0" borderId="67" xfId="0" applyFont="1" applyBorder="1" applyAlignment="1" applyProtection="1">
      <alignment horizontal="left" indent="1"/>
      <protection locked="0"/>
    </xf>
    <xf numFmtId="0" fontId="5" fillId="0" borderId="9" xfId="0" applyFont="1" applyBorder="1" applyAlignment="1" applyProtection="1">
      <alignment horizontal="left" indent="1"/>
      <protection locked="0"/>
    </xf>
    <xf numFmtId="0" fontId="5" fillId="0" borderId="10" xfId="0" applyFont="1" applyBorder="1" applyAlignment="1" applyProtection="1">
      <alignment horizontal="left" indent="1"/>
      <protection locked="0"/>
    </xf>
    <xf numFmtId="0" fontId="5" fillId="0" borderId="52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 wrapText="1"/>
    </xf>
    <xf numFmtId="166" fontId="7" fillId="0" borderId="0" xfId="0" applyNumberFormat="1" applyFont="1" applyAlignment="1">
      <alignment horizontal="center" vertical="center" wrapText="1"/>
    </xf>
    <xf numFmtId="166" fontId="32" fillId="0" borderId="4" xfId="0" applyNumberFormat="1" applyFont="1" applyBorder="1" applyAlignment="1">
      <alignment horizontal="left" vertical="center" wrapText="1" indent="2"/>
    </xf>
    <xf numFmtId="166" fontId="32" fillId="0" borderId="55" xfId="0" applyNumberFormat="1" applyFont="1" applyBorder="1" applyAlignment="1">
      <alignment horizontal="left" vertical="center" wrapText="1" indent="2"/>
    </xf>
    <xf numFmtId="166" fontId="32" fillId="0" borderId="60" xfId="0" applyNumberFormat="1" applyFont="1" applyBorder="1" applyAlignment="1">
      <alignment horizontal="center" vertical="center"/>
    </xf>
    <xf numFmtId="166" fontId="32" fillId="0" borderId="61" xfId="0" applyNumberFormat="1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166" fontId="32" fillId="0" borderId="66" xfId="0" applyNumberFormat="1" applyFont="1" applyBorder="1" applyAlignment="1">
      <alignment horizontal="center" vertical="center"/>
    </xf>
    <xf numFmtId="166" fontId="32" fillId="0" borderId="59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justify" vertical="center" wrapText="1"/>
    </xf>
    <xf numFmtId="0" fontId="41" fillId="0" borderId="0" xfId="0" applyFont="1" applyAlignment="1">
      <alignment horizontal="center" wrapText="1"/>
    </xf>
    <xf numFmtId="0" fontId="46" fillId="0" borderId="0" xfId="5" applyFont="1" applyAlignment="1" applyProtection="1">
      <alignment horizontal="center"/>
      <protection locked="0"/>
    </xf>
    <xf numFmtId="0" fontId="41" fillId="0" borderId="0" xfId="5" applyFont="1" applyAlignment="1">
      <alignment horizontal="center" wrapText="1"/>
    </xf>
    <xf numFmtId="0" fontId="41" fillId="0" borderId="0" xfId="5" applyFont="1" applyAlignment="1">
      <alignment horizontal="center"/>
    </xf>
    <xf numFmtId="0" fontId="42" fillId="0" borderId="42" xfId="5" applyFont="1" applyBorder="1" applyAlignment="1">
      <alignment horizontal="left" vertical="center" indent="1"/>
    </xf>
    <xf numFmtId="0" fontId="42" fillId="0" borderId="16" xfId="5" applyFont="1" applyBorder="1" applyAlignment="1">
      <alignment horizontal="left" vertical="center" indent="1"/>
    </xf>
    <xf numFmtId="0" fontId="42" fillId="0" borderId="55" xfId="5" applyFont="1" applyBorder="1" applyAlignment="1">
      <alignment horizontal="left" vertical="center" indent="1"/>
    </xf>
    <xf numFmtId="0" fontId="42" fillId="0" borderId="57" xfId="5" applyFont="1" applyBorder="1" applyAlignment="1">
      <alignment horizontal="left" vertical="center" indent="1"/>
    </xf>
    <xf numFmtId="0" fontId="42" fillId="0" borderId="54" xfId="5" applyFont="1" applyBorder="1" applyAlignment="1">
      <alignment horizontal="left" vertical="center" indent="1"/>
    </xf>
    <xf numFmtId="0" fontId="42" fillId="0" borderId="36" xfId="5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2"/>
    </xf>
    <xf numFmtId="0" fontId="7" fillId="0" borderId="18" xfId="0" applyFont="1" applyBorder="1" applyAlignment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G163"/>
  <sheetViews>
    <sheetView view="pageLayout" topLeftCell="A92" zoomScaleNormal="98" zoomScaleSheetLayoutView="100" workbookViewId="0">
      <selection activeCell="D106" sqref="D106"/>
    </sheetView>
  </sheetViews>
  <sheetFormatPr defaultRowHeight="12.75"/>
  <cols>
    <col min="1" max="1" width="9.5" style="435" customWidth="1"/>
    <col min="2" max="2" width="77.5" style="435" bestFit="1" customWidth="1"/>
    <col min="3" max="3" width="19" style="682" bestFit="1" customWidth="1"/>
    <col min="4" max="4" width="21.6640625" style="682" bestFit="1" customWidth="1"/>
    <col min="5" max="5" width="13" style="683" bestFit="1" customWidth="1"/>
    <col min="6" max="6" width="9.33203125" style="683"/>
    <col min="7" max="7" width="13" style="683" bestFit="1" customWidth="1"/>
    <col min="8" max="16384" width="9.33203125" style="435"/>
  </cols>
  <sheetData>
    <row r="1" spans="1:7">
      <c r="B1" s="679" t="s">
        <v>645</v>
      </c>
    </row>
    <row r="2" spans="1:7">
      <c r="B2" s="679" t="s">
        <v>674</v>
      </c>
    </row>
    <row r="5" spans="1:7">
      <c r="A5" s="703" t="s">
        <v>11</v>
      </c>
      <c r="B5" s="703"/>
      <c r="C5" s="435"/>
      <c r="D5" s="435"/>
    </row>
    <row r="6" spans="1:7" ht="14.25" thickBot="1">
      <c r="A6" s="702" t="s">
        <v>142</v>
      </c>
      <c r="B6" s="702"/>
      <c r="C6" s="506" t="s">
        <v>581</v>
      </c>
      <c r="D6" s="506" t="s">
        <v>581</v>
      </c>
    </row>
    <row r="7" spans="1:7" ht="26.25" thickBot="1">
      <c r="A7" s="224" t="s">
        <v>64</v>
      </c>
      <c r="B7" s="225" t="s">
        <v>13</v>
      </c>
      <c r="C7" s="575" t="s">
        <v>692</v>
      </c>
      <c r="D7" s="625" t="s">
        <v>717</v>
      </c>
    </row>
    <row r="8" spans="1:7" s="42" customFormat="1" ht="13.5" thickBot="1">
      <c r="A8" s="558" t="s">
        <v>483</v>
      </c>
      <c r="B8" s="559" t="s">
        <v>484</v>
      </c>
      <c r="C8" s="567" t="s">
        <v>485</v>
      </c>
      <c r="D8" s="567" t="s">
        <v>485</v>
      </c>
      <c r="E8" s="677"/>
      <c r="F8" s="677"/>
      <c r="G8" s="677"/>
    </row>
    <row r="9" spans="1:7" s="42" customFormat="1" ht="13.5" thickBot="1">
      <c r="A9" s="226" t="s">
        <v>14</v>
      </c>
      <c r="B9" s="227" t="s">
        <v>241</v>
      </c>
      <c r="C9" s="526">
        <f>+C10+C11+C12+C13+C14+C15</f>
        <v>223966276</v>
      </c>
      <c r="D9" s="526">
        <f>+D10+D11+D12+D13+D14+D15</f>
        <v>233099072</v>
      </c>
      <c r="E9" s="677"/>
      <c r="F9" s="677"/>
      <c r="G9" s="677"/>
    </row>
    <row r="10" spans="1:7" s="42" customFormat="1">
      <c r="A10" s="228" t="s">
        <v>93</v>
      </c>
      <c r="B10" s="110" t="s">
        <v>242</v>
      </c>
      <c r="C10" s="523">
        <v>118506104</v>
      </c>
      <c r="D10" s="523">
        <f>118774024</f>
        <v>118774024</v>
      </c>
      <c r="E10" s="677"/>
      <c r="F10" s="677"/>
      <c r="G10" s="677"/>
    </row>
    <row r="11" spans="1:7" s="42" customFormat="1">
      <c r="A11" s="229" t="s">
        <v>94</v>
      </c>
      <c r="B11" s="111" t="s">
        <v>243</v>
      </c>
      <c r="C11" s="518">
        <v>64532484</v>
      </c>
      <c r="D11" s="518">
        <f>64532484</f>
        <v>64532484</v>
      </c>
      <c r="E11" s="677"/>
      <c r="F11" s="677"/>
      <c r="G11" s="677"/>
    </row>
    <row r="12" spans="1:7" s="42" customFormat="1">
      <c r="A12" s="229" t="s">
        <v>95</v>
      </c>
      <c r="B12" s="111" t="s">
        <v>244</v>
      </c>
      <c r="C12" s="518">
        <v>37842188</v>
      </c>
      <c r="D12" s="518">
        <f>37842188</f>
        <v>37842188</v>
      </c>
      <c r="E12" s="677"/>
      <c r="F12" s="677"/>
      <c r="G12" s="677"/>
    </row>
    <row r="13" spans="1:7" s="42" customFormat="1">
      <c r="A13" s="229" t="s">
        <v>96</v>
      </c>
      <c r="B13" s="111" t="s">
        <v>245</v>
      </c>
      <c r="C13" s="518">
        <v>3085500</v>
      </c>
      <c r="D13" s="518">
        <f>3430376</f>
        <v>3430376</v>
      </c>
      <c r="E13" s="677"/>
      <c r="F13" s="677"/>
      <c r="G13" s="677"/>
    </row>
    <row r="14" spans="1:7" s="42" customFormat="1">
      <c r="A14" s="229" t="s">
        <v>139</v>
      </c>
      <c r="B14" s="230" t="s">
        <v>426</v>
      </c>
      <c r="C14" s="518"/>
      <c r="D14" s="518">
        <f>8520000</f>
        <v>8520000</v>
      </c>
      <c r="E14" s="677"/>
      <c r="F14" s="677"/>
      <c r="G14" s="677"/>
    </row>
    <row r="15" spans="1:7" s="42" customFormat="1" ht="13.5" thickBot="1">
      <c r="A15" s="231" t="s">
        <v>97</v>
      </c>
      <c r="B15" s="232" t="s">
        <v>427</v>
      </c>
      <c r="C15" s="518"/>
      <c r="D15" s="518"/>
      <c r="E15" s="677"/>
      <c r="F15" s="677"/>
      <c r="G15" s="677"/>
    </row>
    <row r="16" spans="1:7" s="42" customFormat="1" ht="13.5" thickBot="1">
      <c r="A16" s="226" t="s">
        <v>15</v>
      </c>
      <c r="B16" s="233" t="s">
        <v>246</v>
      </c>
      <c r="C16" s="526">
        <f>+C17+C18+C19+C20+C21</f>
        <v>75745329</v>
      </c>
      <c r="D16" s="526">
        <f>+D17+D18+D19+D20+D21</f>
        <v>80592522</v>
      </c>
      <c r="E16" s="677"/>
      <c r="F16" s="677"/>
      <c r="G16" s="677"/>
    </row>
    <row r="17" spans="1:7" s="42" customFormat="1">
      <c r="A17" s="228" t="s">
        <v>99</v>
      </c>
      <c r="B17" s="110" t="s">
        <v>247</v>
      </c>
      <c r="C17" s="523"/>
      <c r="D17" s="523"/>
      <c r="E17" s="677"/>
      <c r="F17" s="677"/>
      <c r="G17" s="677"/>
    </row>
    <row r="18" spans="1:7" s="42" customFormat="1">
      <c r="A18" s="229" t="s">
        <v>100</v>
      </c>
      <c r="B18" s="111" t="s">
        <v>248</v>
      </c>
      <c r="C18" s="518"/>
      <c r="D18" s="518"/>
      <c r="E18" s="677"/>
      <c r="F18" s="677"/>
      <c r="G18" s="677"/>
    </row>
    <row r="19" spans="1:7" s="42" customFormat="1">
      <c r="A19" s="229" t="s">
        <v>101</v>
      </c>
      <c r="B19" s="111" t="s">
        <v>416</v>
      </c>
      <c r="C19" s="518"/>
      <c r="D19" s="518"/>
      <c r="E19" s="677"/>
      <c r="F19" s="677"/>
      <c r="G19" s="677"/>
    </row>
    <row r="20" spans="1:7" s="42" customFormat="1">
      <c r="A20" s="229" t="s">
        <v>102</v>
      </c>
      <c r="B20" s="111" t="s">
        <v>417</v>
      </c>
      <c r="C20" s="518"/>
      <c r="D20" s="518"/>
      <c r="E20" s="677"/>
      <c r="F20" s="677"/>
      <c r="G20" s="677"/>
    </row>
    <row r="21" spans="1:7" s="42" customFormat="1">
      <c r="A21" s="229" t="s">
        <v>103</v>
      </c>
      <c r="B21" s="111" t="s">
        <v>249</v>
      </c>
      <c r="C21" s="518">
        <f>75066371+678958</f>
        <v>75745329</v>
      </c>
      <c r="D21" s="518">
        <f>79913564+678958</f>
        <v>80592522</v>
      </c>
      <c r="E21" s="677"/>
      <c r="F21" s="677"/>
      <c r="G21" s="677"/>
    </row>
    <row r="22" spans="1:7" s="42" customFormat="1" ht="13.5" thickBot="1">
      <c r="A22" s="231" t="s">
        <v>112</v>
      </c>
      <c r="B22" s="232" t="s">
        <v>250</v>
      </c>
      <c r="C22" s="519"/>
      <c r="D22" s="519"/>
      <c r="E22" s="677"/>
      <c r="F22" s="677"/>
      <c r="G22" s="677"/>
    </row>
    <row r="23" spans="1:7" s="42" customFormat="1" ht="13.5" thickBot="1">
      <c r="A23" s="226" t="s">
        <v>16</v>
      </c>
      <c r="B23" s="227" t="s">
        <v>251</v>
      </c>
      <c r="C23" s="526">
        <f>+C24+C25+C26+C27+C28</f>
        <v>39844721</v>
      </c>
      <c r="D23" s="526">
        <f>+D24+D25+D26+D27+D28</f>
        <v>32531109</v>
      </c>
      <c r="E23" s="677"/>
      <c r="F23" s="677"/>
      <c r="G23" s="677"/>
    </row>
    <row r="24" spans="1:7" s="42" customFormat="1">
      <c r="A24" s="228" t="s">
        <v>82</v>
      </c>
      <c r="B24" s="110" t="s">
        <v>252</v>
      </c>
      <c r="C24" s="523"/>
      <c r="D24" s="523"/>
      <c r="E24" s="677"/>
      <c r="F24" s="677"/>
      <c r="G24" s="677"/>
    </row>
    <row r="25" spans="1:7" s="42" customFormat="1">
      <c r="A25" s="229" t="s">
        <v>83</v>
      </c>
      <c r="B25" s="111" t="s">
        <v>253</v>
      </c>
      <c r="C25" s="518"/>
      <c r="D25" s="518"/>
      <c r="E25" s="677"/>
      <c r="F25" s="677"/>
      <c r="G25" s="677"/>
    </row>
    <row r="26" spans="1:7" s="42" customFormat="1">
      <c r="A26" s="229" t="s">
        <v>84</v>
      </c>
      <c r="B26" s="111" t="s">
        <v>418</v>
      </c>
      <c r="C26" s="518"/>
      <c r="D26" s="518"/>
      <c r="E26" s="677"/>
      <c r="F26" s="677"/>
      <c r="G26" s="677"/>
    </row>
    <row r="27" spans="1:7" s="42" customFormat="1">
      <c r="A27" s="229" t="s">
        <v>85</v>
      </c>
      <c r="B27" s="111" t="s">
        <v>419</v>
      </c>
      <c r="C27" s="518"/>
      <c r="D27" s="518"/>
      <c r="E27" s="677"/>
      <c r="F27" s="677"/>
      <c r="G27" s="677"/>
    </row>
    <row r="28" spans="1:7" s="42" customFormat="1">
      <c r="A28" s="229" t="s">
        <v>160</v>
      </c>
      <c r="B28" s="111" t="s">
        <v>254</v>
      </c>
      <c r="C28" s="518">
        <v>39844721</v>
      </c>
      <c r="D28" s="518">
        <f>32531109</f>
        <v>32531109</v>
      </c>
      <c r="E28" s="677"/>
      <c r="F28" s="677"/>
      <c r="G28" s="677"/>
    </row>
    <row r="29" spans="1:7" s="42" customFormat="1" ht="13.5" thickBot="1">
      <c r="A29" s="231" t="s">
        <v>161</v>
      </c>
      <c r="B29" s="113" t="s">
        <v>255</v>
      </c>
      <c r="C29" s="519"/>
      <c r="D29" s="519"/>
      <c r="E29" s="677"/>
      <c r="F29" s="677"/>
      <c r="G29" s="677"/>
    </row>
    <row r="30" spans="1:7" s="42" customFormat="1" ht="13.5" thickBot="1">
      <c r="A30" s="226" t="s">
        <v>162</v>
      </c>
      <c r="B30" s="227" t="s">
        <v>256</v>
      </c>
      <c r="C30" s="527">
        <f>+C31+C35+C36+C37</f>
        <v>137750000</v>
      </c>
      <c r="D30" s="527">
        <f>+D31+D35+D36+D37</f>
        <v>137750000</v>
      </c>
      <c r="E30" s="677"/>
      <c r="F30" s="677"/>
      <c r="G30" s="677"/>
    </row>
    <row r="31" spans="1:7" s="42" customFormat="1">
      <c r="A31" s="228" t="s">
        <v>257</v>
      </c>
      <c r="B31" s="110" t="s">
        <v>433</v>
      </c>
      <c r="C31" s="568">
        <f>+C32+C33+C34</f>
        <v>100000000</v>
      </c>
      <c r="D31" s="568">
        <f>+D32+D33+D34</f>
        <v>100000000</v>
      </c>
      <c r="E31" s="677"/>
      <c r="F31" s="677"/>
      <c r="G31" s="677"/>
    </row>
    <row r="32" spans="1:7" s="42" customFormat="1">
      <c r="A32" s="229" t="s">
        <v>258</v>
      </c>
      <c r="B32" s="111" t="s">
        <v>263</v>
      </c>
      <c r="C32" s="518">
        <v>58000000</v>
      </c>
      <c r="D32" s="518">
        <v>58000000</v>
      </c>
      <c r="E32" s="677"/>
      <c r="F32" s="677"/>
      <c r="G32" s="677"/>
    </row>
    <row r="33" spans="1:7" s="42" customFormat="1">
      <c r="A33" s="229" t="s">
        <v>259</v>
      </c>
      <c r="B33" s="111" t="s">
        <v>264</v>
      </c>
      <c r="C33" s="518"/>
      <c r="D33" s="518"/>
      <c r="E33" s="677"/>
      <c r="F33" s="677"/>
      <c r="G33" s="677"/>
    </row>
    <row r="34" spans="1:7" s="42" customFormat="1">
      <c r="A34" s="229" t="s">
        <v>431</v>
      </c>
      <c r="B34" s="112" t="s">
        <v>432</v>
      </c>
      <c r="C34" s="518">
        <v>42000000</v>
      </c>
      <c r="D34" s="518">
        <v>42000000</v>
      </c>
      <c r="E34" s="677"/>
      <c r="F34" s="677"/>
      <c r="G34" s="677"/>
    </row>
    <row r="35" spans="1:7" s="42" customFormat="1">
      <c r="A35" s="229" t="s">
        <v>260</v>
      </c>
      <c r="B35" s="111" t="s">
        <v>265</v>
      </c>
      <c r="C35" s="518">
        <v>9000000</v>
      </c>
      <c r="D35" s="518">
        <v>9000000</v>
      </c>
      <c r="E35" s="677"/>
      <c r="F35" s="677"/>
      <c r="G35" s="677"/>
    </row>
    <row r="36" spans="1:7" s="42" customFormat="1">
      <c r="A36" s="229" t="s">
        <v>261</v>
      </c>
      <c r="B36" s="111" t="s">
        <v>266</v>
      </c>
      <c r="C36" s="518">
        <v>27500000</v>
      </c>
      <c r="D36" s="518">
        <v>27500000</v>
      </c>
      <c r="E36" s="677"/>
      <c r="F36" s="677"/>
      <c r="G36" s="677"/>
    </row>
    <row r="37" spans="1:7" s="42" customFormat="1" ht="13.5" thickBot="1">
      <c r="A37" s="231" t="s">
        <v>262</v>
      </c>
      <c r="B37" s="113" t="s">
        <v>267</v>
      </c>
      <c r="C37" s="519">
        <f>200000+1050000</f>
        <v>1250000</v>
      </c>
      <c r="D37" s="519">
        <f>200000+1050000</f>
        <v>1250000</v>
      </c>
      <c r="E37" s="677"/>
      <c r="F37" s="677"/>
      <c r="G37" s="677"/>
    </row>
    <row r="38" spans="1:7" s="42" customFormat="1" ht="13.5" thickBot="1">
      <c r="A38" s="226" t="s">
        <v>18</v>
      </c>
      <c r="B38" s="227" t="s">
        <v>428</v>
      </c>
      <c r="C38" s="526">
        <f>SUM(C39:C49)</f>
        <v>133382632</v>
      </c>
      <c r="D38" s="526">
        <f>SUM(D39:D49)</f>
        <v>133598589</v>
      </c>
      <c r="E38" s="677"/>
      <c r="F38" s="677"/>
      <c r="G38" s="677"/>
    </row>
    <row r="39" spans="1:7" s="42" customFormat="1">
      <c r="A39" s="228" t="s">
        <v>86</v>
      </c>
      <c r="B39" s="110" t="s">
        <v>270</v>
      </c>
      <c r="C39" s="523"/>
      <c r="D39" s="523"/>
      <c r="E39" s="677"/>
      <c r="F39" s="677"/>
      <c r="G39" s="677"/>
    </row>
    <row r="40" spans="1:7" s="42" customFormat="1">
      <c r="A40" s="229" t="s">
        <v>87</v>
      </c>
      <c r="B40" s="111" t="s">
        <v>271</v>
      </c>
      <c r="C40" s="518">
        <f>'1.3.sz.mell.'!C41+4214790+3149606+2120000</f>
        <v>101843710</v>
      </c>
      <c r="D40" s="518">
        <f>99893755+2120000</f>
        <v>102013755</v>
      </c>
      <c r="E40" s="677"/>
      <c r="F40" s="677"/>
      <c r="G40" s="677"/>
    </row>
    <row r="41" spans="1:7" s="42" customFormat="1">
      <c r="A41" s="229" t="s">
        <v>88</v>
      </c>
      <c r="B41" s="111" t="s">
        <v>272</v>
      </c>
      <c r="C41" s="518">
        <f>1650000+500000+100000</f>
        <v>2250000</v>
      </c>
      <c r="D41" s="518">
        <f>1650000+500000+100000</f>
        <v>2250000</v>
      </c>
      <c r="E41" s="677"/>
      <c r="F41" s="677"/>
      <c r="G41" s="677"/>
    </row>
    <row r="42" spans="1:7" s="42" customFormat="1">
      <c r="A42" s="229" t="s">
        <v>164</v>
      </c>
      <c r="B42" s="111" t="s">
        <v>273</v>
      </c>
      <c r="C42" s="518"/>
      <c r="D42" s="518"/>
      <c r="E42" s="677"/>
      <c r="F42" s="677"/>
      <c r="G42" s="677"/>
    </row>
    <row r="43" spans="1:7" s="42" customFormat="1">
      <c r="A43" s="229" t="s">
        <v>165</v>
      </c>
      <c r="B43" s="111" t="s">
        <v>274</v>
      </c>
      <c r="C43" s="518">
        <f>1500000</f>
        <v>1500000</v>
      </c>
      <c r="D43" s="518">
        <f>1500000</f>
        <v>1500000</v>
      </c>
      <c r="E43" s="677"/>
      <c r="F43" s="677"/>
      <c r="G43" s="677"/>
    </row>
    <row r="44" spans="1:7" s="42" customFormat="1">
      <c r="A44" s="229" t="s">
        <v>166</v>
      </c>
      <c r="B44" s="111" t="s">
        <v>275</v>
      </c>
      <c r="C44" s="518">
        <f>'1.3.sz.mell.'!C45+850394+1137993</f>
        <v>27775902</v>
      </c>
      <c r="D44" s="518">
        <f>27821814</f>
        <v>27821814</v>
      </c>
      <c r="E44" s="677"/>
      <c r="F44" s="677"/>
      <c r="G44" s="677"/>
    </row>
    <row r="45" spans="1:7" s="42" customFormat="1">
      <c r="A45" s="229" t="s">
        <v>167</v>
      </c>
      <c r="B45" s="111" t="s">
        <v>276</v>
      </c>
      <c r="C45" s="518"/>
      <c r="D45" s="518"/>
      <c r="E45" s="677"/>
      <c r="F45" s="677"/>
      <c r="G45" s="677"/>
    </row>
    <row r="46" spans="1:7" s="42" customFormat="1">
      <c r="A46" s="229" t="s">
        <v>168</v>
      </c>
      <c r="B46" s="111" t="s">
        <v>277</v>
      </c>
      <c r="C46" s="518">
        <f>1000+10+10</f>
        <v>1020</v>
      </c>
      <c r="D46" s="518">
        <f>1000+10+10</f>
        <v>1020</v>
      </c>
      <c r="E46" s="677"/>
      <c r="F46" s="677"/>
      <c r="G46" s="677"/>
    </row>
    <row r="47" spans="1:7" s="42" customFormat="1">
      <c r="A47" s="229" t="s">
        <v>268</v>
      </c>
      <c r="B47" s="111" t="s">
        <v>278</v>
      </c>
      <c r="C47" s="671"/>
      <c r="D47" s="671"/>
      <c r="E47" s="677"/>
      <c r="F47" s="677"/>
      <c r="G47" s="677"/>
    </row>
    <row r="48" spans="1:7" s="42" customFormat="1">
      <c r="A48" s="231" t="s">
        <v>269</v>
      </c>
      <c r="B48" s="113" t="s">
        <v>430</v>
      </c>
      <c r="C48" s="672"/>
      <c r="D48" s="672"/>
      <c r="E48" s="677"/>
      <c r="F48" s="677"/>
      <c r="G48" s="677"/>
    </row>
    <row r="49" spans="1:7" s="42" customFormat="1" ht="13.5" thickBot="1">
      <c r="A49" s="231" t="s">
        <v>429</v>
      </c>
      <c r="B49" s="232" t="s">
        <v>279</v>
      </c>
      <c r="C49" s="672">
        <f>10000+1000+1000</f>
        <v>12000</v>
      </c>
      <c r="D49" s="672">
        <f>10000+1000+1000</f>
        <v>12000</v>
      </c>
      <c r="E49" s="677"/>
      <c r="F49" s="677"/>
      <c r="G49" s="677"/>
    </row>
    <row r="50" spans="1:7" s="42" customFormat="1" ht="13.5" thickBot="1">
      <c r="A50" s="226" t="s">
        <v>19</v>
      </c>
      <c r="B50" s="227" t="s">
        <v>280</v>
      </c>
      <c r="C50" s="526">
        <f>SUM(C51:C55)</f>
        <v>7000000</v>
      </c>
      <c r="D50" s="526">
        <f>SUM(D51:D55)</f>
        <v>7000000</v>
      </c>
      <c r="E50" s="677"/>
      <c r="F50" s="677"/>
      <c r="G50" s="677"/>
    </row>
    <row r="51" spans="1:7" s="42" customFormat="1">
      <c r="A51" s="228" t="s">
        <v>89</v>
      </c>
      <c r="B51" s="110" t="s">
        <v>284</v>
      </c>
      <c r="C51" s="673"/>
      <c r="D51" s="673"/>
      <c r="E51" s="677"/>
      <c r="F51" s="677"/>
      <c r="G51" s="677"/>
    </row>
    <row r="52" spans="1:7" s="42" customFormat="1">
      <c r="A52" s="229" t="s">
        <v>90</v>
      </c>
      <c r="B52" s="111" t="s">
        <v>285</v>
      </c>
      <c r="C52" s="671">
        <f>7000000</f>
        <v>7000000</v>
      </c>
      <c r="D52" s="671">
        <f>7000000</f>
        <v>7000000</v>
      </c>
      <c r="E52" s="677"/>
      <c r="F52" s="677"/>
      <c r="G52" s="677"/>
    </row>
    <row r="53" spans="1:7" s="42" customFormat="1">
      <c r="A53" s="229" t="s">
        <v>281</v>
      </c>
      <c r="B53" s="111" t="s">
        <v>286</v>
      </c>
      <c r="C53" s="671"/>
      <c r="D53" s="671"/>
      <c r="E53" s="677"/>
      <c r="F53" s="677"/>
      <c r="G53" s="677"/>
    </row>
    <row r="54" spans="1:7" s="42" customFormat="1">
      <c r="A54" s="229" t="s">
        <v>282</v>
      </c>
      <c r="B54" s="111" t="s">
        <v>287</v>
      </c>
      <c r="C54" s="671"/>
      <c r="D54" s="671"/>
      <c r="E54" s="677"/>
      <c r="F54" s="677"/>
      <c r="G54" s="677"/>
    </row>
    <row r="55" spans="1:7" s="42" customFormat="1" ht="13.5" thickBot="1">
      <c r="A55" s="231" t="s">
        <v>283</v>
      </c>
      <c r="B55" s="232" t="s">
        <v>288</v>
      </c>
      <c r="C55" s="672"/>
      <c r="D55" s="672"/>
      <c r="E55" s="677"/>
      <c r="F55" s="677"/>
      <c r="G55" s="677"/>
    </row>
    <row r="56" spans="1:7" s="42" customFormat="1" ht="13.5" thickBot="1">
      <c r="A56" s="226" t="s">
        <v>169</v>
      </c>
      <c r="B56" s="227" t="s">
        <v>289</v>
      </c>
      <c r="C56" s="526">
        <f>SUM(C57:C59)</f>
        <v>505503</v>
      </c>
      <c r="D56" s="526">
        <f>SUM(D57:D59)</f>
        <v>505503</v>
      </c>
      <c r="E56" s="677"/>
      <c r="F56" s="677"/>
      <c r="G56" s="677"/>
    </row>
    <row r="57" spans="1:7" s="42" customFormat="1">
      <c r="A57" s="228" t="s">
        <v>91</v>
      </c>
      <c r="B57" s="110" t="s">
        <v>290</v>
      </c>
      <c r="C57" s="523"/>
      <c r="D57" s="523"/>
      <c r="E57" s="677"/>
      <c r="F57" s="677"/>
      <c r="G57" s="677"/>
    </row>
    <row r="58" spans="1:7" s="42" customFormat="1">
      <c r="A58" s="229" t="s">
        <v>92</v>
      </c>
      <c r="B58" s="111" t="s">
        <v>420</v>
      </c>
      <c r="C58" s="518"/>
      <c r="D58" s="518"/>
      <c r="E58" s="677"/>
      <c r="F58" s="677"/>
      <c r="G58" s="677"/>
    </row>
    <row r="59" spans="1:7" s="42" customFormat="1">
      <c r="A59" s="229" t="s">
        <v>293</v>
      </c>
      <c r="B59" s="111" t="s">
        <v>291</v>
      </c>
      <c r="C59" s="518">
        <v>505503</v>
      </c>
      <c r="D59" s="518">
        <v>505503</v>
      </c>
      <c r="E59" s="677"/>
      <c r="F59" s="677"/>
      <c r="G59" s="677"/>
    </row>
    <row r="60" spans="1:7" s="42" customFormat="1" ht="13.5" thickBot="1">
      <c r="A60" s="231" t="s">
        <v>294</v>
      </c>
      <c r="B60" s="232" t="s">
        <v>292</v>
      </c>
      <c r="C60" s="519"/>
      <c r="D60" s="519"/>
      <c r="E60" s="677"/>
      <c r="F60" s="677"/>
      <c r="G60" s="677"/>
    </row>
    <row r="61" spans="1:7" s="42" customFormat="1" ht="13.5" thickBot="1">
      <c r="A61" s="226" t="s">
        <v>21</v>
      </c>
      <c r="B61" s="233" t="s">
        <v>295</v>
      </c>
      <c r="C61" s="526">
        <f>SUM(C62:C64)</f>
        <v>100000</v>
      </c>
      <c r="D61" s="526">
        <f>SUM(D62:D64)</f>
        <v>100000</v>
      </c>
      <c r="E61" s="677"/>
      <c r="F61" s="677"/>
      <c r="G61" s="677"/>
    </row>
    <row r="62" spans="1:7" s="42" customFormat="1">
      <c r="A62" s="228" t="s">
        <v>170</v>
      </c>
      <c r="B62" s="110" t="s">
        <v>297</v>
      </c>
      <c r="C62" s="671"/>
      <c r="D62" s="671"/>
      <c r="E62" s="677"/>
      <c r="F62" s="677"/>
      <c r="G62" s="677"/>
    </row>
    <row r="63" spans="1:7" s="42" customFormat="1">
      <c r="A63" s="229" t="s">
        <v>171</v>
      </c>
      <c r="B63" s="111" t="s">
        <v>421</v>
      </c>
      <c r="C63" s="671">
        <f>100000</f>
        <v>100000</v>
      </c>
      <c r="D63" s="671">
        <f>100000</f>
        <v>100000</v>
      </c>
      <c r="E63" s="677"/>
      <c r="F63" s="677"/>
      <c r="G63" s="677"/>
    </row>
    <row r="64" spans="1:7" s="42" customFormat="1">
      <c r="A64" s="229" t="s">
        <v>218</v>
      </c>
      <c r="B64" s="111" t="s">
        <v>298</v>
      </c>
      <c r="C64" s="671"/>
      <c r="D64" s="671"/>
      <c r="E64" s="677"/>
      <c r="F64" s="677"/>
      <c r="G64" s="677"/>
    </row>
    <row r="65" spans="1:7" s="42" customFormat="1" ht="13.5" thickBot="1">
      <c r="A65" s="231" t="s">
        <v>296</v>
      </c>
      <c r="B65" s="232" t="s">
        <v>299</v>
      </c>
      <c r="C65" s="671"/>
      <c r="D65" s="671"/>
      <c r="E65" s="677"/>
      <c r="F65" s="677"/>
      <c r="G65" s="677"/>
    </row>
    <row r="66" spans="1:7" s="42" customFormat="1" ht="13.5" thickBot="1">
      <c r="A66" s="234" t="s">
        <v>472</v>
      </c>
      <c r="B66" s="227" t="s">
        <v>300</v>
      </c>
      <c r="C66" s="527">
        <f>+C9+C16+C23+C30+C38+C50+C56+C61</f>
        <v>618294461</v>
      </c>
      <c r="D66" s="527">
        <f>+D9+D16+D23+D30+D38+D50+D56+D61</f>
        <v>625176795</v>
      </c>
      <c r="E66" s="677"/>
      <c r="F66" s="677"/>
      <c r="G66" s="677"/>
    </row>
    <row r="67" spans="1:7" s="42" customFormat="1" ht="13.5" thickBot="1">
      <c r="A67" s="235" t="s">
        <v>301</v>
      </c>
      <c r="B67" s="233" t="s">
        <v>302</v>
      </c>
      <c r="C67" s="526">
        <f>SUM(C68:C70)</f>
        <v>0</v>
      </c>
      <c r="D67" s="526">
        <f>SUM(D68:D70)</f>
        <v>0</v>
      </c>
      <c r="E67" s="677"/>
      <c r="F67" s="677"/>
      <c r="G67" s="677"/>
    </row>
    <row r="68" spans="1:7" s="42" customFormat="1">
      <c r="A68" s="228" t="s">
        <v>333</v>
      </c>
      <c r="B68" s="110" t="s">
        <v>303</v>
      </c>
      <c r="C68" s="671"/>
      <c r="D68" s="671"/>
      <c r="E68" s="677"/>
      <c r="F68" s="677"/>
      <c r="G68" s="677"/>
    </row>
    <row r="69" spans="1:7" s="42" customFormat="1">
      <c r="A69" s="229" t="s">
        <v>342</v>
      </c>
      <c r="B69" s="111" t="s">
        <v>304</v>
      </c>
      <c r="C69" s="671"/>
      <c r="D69" s="671"/>
      <c r="E69" s="677"/>
      <c r="F69" s="677"/>
      <c r="G69" s="677"/>
    </row>
    <row r="70" spans="1:7" s="42" customFormat="1" ht="13.5" thickBot="1">
      <c r="A70" s="231" t="s">
        <v>343</v>
      </c>
      <c r="B70" s="236" t="s">
        <v>457</v>
      </c>
      <c r="C70" s="671"/>
      <c r="D70" s="671"/>
      <c r="E70" s="677"/>
      <c r="F70" s="677"/>
      <c r="G70" s="677"/>
    </row>
    <row r="71" spans="1:7" s="42" customFormat="1" ht="13.5" thickBot="1">
      <c r="A71" s="235" t="s">
        <v>306</v>
      </c>
      <c r="B71" s="233" t="s">
        <v>307</v>
      </c>
      <c r="C71" s="526">
        <f>SUM(C72:C75)</f>
        <v>0</v>
      </c>
      <c r="D71" s="526">
        <f>SUM(D72:D75)</f>
        <v>0</v>
      </c>
      <c r="E71" s="677"/>
      <c r="F71" s="677"/>
      <c r="G71" s="677"/>
    </row>
    <row r="72" spans="1:7" s="42" customFormat="1">
      <c r="A72" s="228" t="s">
        <v>140</v>
      </c>
      <c r="B72" s="110" t="s">
        <v>308</v>
      </c>
      <c r="C72" s="671"/>
      <c r="D72" s="671"/>
      <c r="E72" s="677"/>
      <c r="F72" s="677"/>
      <c r="G72" s="677"/>
    </row>
    <row r="73" spans="1:7" s="42" customFormat="1">
      <c r="A73" s="229" t="s">
        <v>141</v>
      </c>
      <c r="B73" s="111" t="s">
        <v>309</v>
      </c>
      <c r="C73" s="671"/>
      <c r="D73" s="671"/>
      <c r="E73" s="677"/>
      <c r="F73" s="677"/>
      <c r="G73" s="677"/>
    </row>
    <row r="74" spans="1:7" s="42" customFormat="1">
      <c r="A74" s="229" t="s">
        <v>334</v>
      </c>
      <c r="B74" s="111" t="s">
        <v>310</v>
      </c>
      <c r="C74" s="671"/>
      <c r="D74" s="671"/>
      <c r="E74" s="677"/>
      <c r="F74" s="677"/>
      <c r="G74" s="677"/>
    </row>
    <row r="75" spans="1:7" s="42" customFormat="1" ht="13.5" thickBot="1">
      <c r="A75" s="231" t="s">
        <v>335</v>
      </c>
      <c r="B75" s="232" t="s">
        <v>311</v>
      </c>
      <c r="C75" s="671"/>
      <c r="D75" s="671"/>
      <c r="E75" s="677"/>
      <c r="F75" s="677"/>
      <c r="G75" s="677"/>
    </row>
    <row r="76" spans="1:7" s="42" customFormat="1" ht="13.5" thickBot="1">
      <c r="A76" s="235" t="s">
        <v>312</v>
      </c>
      <c r="B76" s="233" t="s">
        <v>313</v>
      </c>
      <c r="C76" s="526">
        <f>SUM(C77:C78)</f>
        <v>541000000</v>
      </c>
      <c r="D76" s="526">
        <f>SUM(D77:D78)</f>
        <v>541475499</v>
      </c>
      <c r="E76" s="677"/>
      <c r="F76" s="677"/>
      <c r="G76" s="677"/>
    </row>
    <row r="77" spans="1:7" s="42" customFormat="1">
      <c r="A77" s="228" t="s">
        <v>336</v>
      </c>
      <c r="B77" s="110" t="s">
        <v>314</v>
      </c>
      <c r="C77" s="671">
        <v>541000000</v>
      </c>
      <c r="D77" s="671">
        <f>541475499</f>
        <v>541475499</v>
      </c>
      <c r="E77" s="677"/>
      <c r="F77" s="677"/>
      <c r="G77" s="677"/>
    </row>
    <row r="78" spans="1:7" s="42" customFormat="1" ht="13.5" thickBot="1">
      <c r="A78" s="231" t="s">
        <v>337</v>
      </c>
      <c r="B78" s="232" t="s">
        <v>315</v>
      </c>
      <c r="C78" s="671"/>
      <c r="D78" s="671"/>
      <c r="E78" s="677"/>
      <c r="F78" s="677"/>
      <c r="G78" s="677"/>
    </row>
    <row r="79" spans="1:7" s="42" customFormat="1" ht="13.5" thickBot="1">
      <c r="A79" s="235" t="s">
        <v>316</v>
      </c>
      <c r="B79" s="233" t="s">
        <v>317</v>
      </c>
      <c r="C79" s="526">
        <f>SUM(C80:C82)</f>
        <v>0</v>
      </c>
      <c r="D79" s="526">
        <f>SUM(D80:D82)</f>
        <v>0</v>
      </c>
      <c r="E79" s="677"/>
      <c r="F79" s="677"/>
      <c r="G79" s="677"/>
    </row>
    <row r="80" spans="1:7" s="42" customFormat="1">
      <c r="A80" s="228" t="s">
        <v>338</v>
      </c>
      <c r="B80" s="110" t="s">
        <v>318</v>
      </c>
      <c r="C80" s="671"/>
      <c r="D80" s="671"/>
      <c r="E80" s="677"/>
      <c r="F80" s="677"/>
      <c r="G80" s="677"/>
    </row>
    <row r="81" spans="1:7" s="42" customFormat="1">
      <c r="A81" s="229" t="s">
        <v>339</v>
      </c>
      <c r="B81" s="111" t="s">
        <v>319</v>
      </c>
      <c r="C81" s="671"/>
      <c r="D81" s="671"/>
      <c r="E81" s="677"/>
      <c r="F81" s="677"/>
      <c r="G81" s="677"/>
    </row>
    <row r="82" spans="1:7" s="42" customFormat="1" ht="13.5" thickBot="1">
      <c r="A82" s="231" t="s">
        <v>340</v>
      </c>
      <c r="B82" s="232" t="s">
        <v>320</v>
      </c>
      <c r="C82" s="671"/>
      <c r="D82" s="671"/>
      <c r="E82" s="677"/>
      <c r="F82" s="677"/>
      <c r="G82" s="677"/>
    </row>
    <row r="83" spans="1:7" s="42" customFormat="1" ht="13.5" thickBot="1">
      <c r="A83" s="235" t="s">
        <v>321</v>
      </c>
      <c r="B83" s="233" t="s">
        <v>341</v>
      </c>
      <c r="C83" s="526">
        <f>SUM(C84:C87)</f>
        <v>0</v>
      </c>
      <c r="D83" s="526">
        <f>SUM(D84:D87)</f>
        <v>0</v>
      </c>
      <c r="E83" s="677"/>
      <c r="F83" s="677"/>
      <c r="G83" s="677"/>
    </row>
    <row r="84" spans="1:7" s="42" customFormat="1">
      <c r="A84" s="237" t="s">
        <v>322</v>
      </c>
      <c r="B84" s="110" t="s">
        <v>323</v>
      </c>
      <c r="C84" s="671"/>
      <c r="D84" s="671"/>
      <c r="E84" s="677"/>
      <c r="F84" s="677"/>
      <c r="G84" s="677"/>
    </row>
    <row r="85" spans="1:7" s="42" customFormat="1">
      <c r="A85" s="238" t="s">
        <v>324</v>
      </c>
      <c r="B85" s="111" t="s">
        <v>325</v>
      </c>
      <c r="C85" s="671"/>
      <c r="D85" s="671"/>
      <c r="E85" s="677"/>
      <c r="F85" s="677"/>
      <c r="G85" s="677"/>
    </row>
    <row r="86" spans="1:7" s="42" customFormat="1">
      <c r="A86" s="238" t="s">
        <v>326</v>
      </c>
      <c r="B86" s="111" t="s">
        <v>327</v>
      </c>
      <c r="C86" s="671"/>
      <c r="D86" s="671"/>
      <c r="E86" s="677"/>
      <c r="F86" s="677"/>
      <c r="G86" s="677"/>
    </row>
    <row r="87" spans="1:7" s="42" customFormat="1" ht="13.5" thickBot="1">
      <c r="A87" s="239" t="s">
        <v>328</v>
      </c>
      <c r="B87" s="232" t="s">
        <v>329</v>
      </c>
      <c r="C87" s="671"/>
      <c r="D87" s="671"/>
      <c r="E87" s="677"/>
      <c r="F87" s="677"/>
      <c r="G87" s="677"/>
    </row>
    <row r="88" spans="1:7" s="42" customFormat="1" ht="13.5" thickBot="1">
      <c r="A88" s="235" t="s">
        <v>330</v>
      </c>
      <c r="B88" s="233" t="s">
        <v>471</v>
      </c>
      <c r="C88" s="572"/>
      <c r="D88" s="572"/>
      <c r="E88" s="677"/>
      <c r="F88" s="677"/>
      <c r="G88" s="677"/>
    </row>
    <row r="89" spans="1:7" s="42" customFormat="1" ht="13.5" thickBot="1">
      <c r="A89" s="235" t="s">
        <v>332</v>
      </c>
      <c r="B89" s="233" t="s">
        <v>331</v>
      </c>
      <c r="C89" s="572"/>
      <c r="D89" s="572"/>
      <c r="E89" s="677"/>
      <c r="F89" s="677"/>
      <c r="G89" s="677"/>
    </row>
    <row r="90" spans="1:7" s="42" customFormat="1" ht="13.5" thickBot="1">
      <c r="A90" s="235" t="s">
        <v>344</v>
      </c>
      <c r="B90" s="240" t="s">
        <v>474</v>
      </c>
      <c r="C90" s="527">
        <f>+C67+C71+C76+C79+C83+C89+C88</f>
        <v>541000000</v>
      </c>
      <c r="D90" s="527">
        <f>+D67+D71+D76+D79+D83+D89+D88</f>
        <v>541475499</v>
      </c>
      <c r="E90" s="677"/>
      <c r="F90" s="677"/>
      <c r="G90" s="677"/>
    </row>
    <row r="91" spans="1:7" s="42" customFormat="1" ht="13.5" thickBot="1">
      <c r="A91" s="560" t="s">
        <v>473</v>
      </c>
      <c r="B91" s="242" t="s">
        <v>475</v>
      </c>
      <c r="C91" s="527">
        <f>+C66+C90</f>
        <v>1159294461</v>
      </c>
      <c r="D91" s="527">
        <f>+D66+D90</f>
        <v>1166652294</v>
      </c>
      <c r="E91" s="677"/>
      <c r="F91" s="677"/>
      <c r="G91" s="677"/>
    </row>
    <row r="92" spans="1:7" s="42" customFormat="1">
      <c r="A92" s="561"/>
      <c r="B92" s="562"/>
      <c r="C92" s="573"/>
      <c r="D92" s="573"/>
      <c r="E92" s="677"/>
      <c r="F92" s="677"/>
      <c r="G92" s="677"/>
    </row>
    <row r="93" spans="1:7">
      <c r="A93" s="703" t="s">
        <v>42</v>
      </c>
      <c r="B93" s="703"/>
      <c r="C93" s="435"/>
      <c r="D93" s="435"/>
    </row>
    <row r="94" spans="1:7" ht="14.25" thickBot="1">
      <c r="A94" s="704" t="s">
        <v>143</v>
      </c>
      <c r="B94" s="704"/>
      <c r="C94" s="574"/>
      <c r="D94" s="574"/>
    </row>
    <row r="95" spans="1:7" ht="26.25" thickBot="1">
      <c r="A95" s="224" t="s">
        <v>64</v>
      </c>
      <c r="B95" s="225" t="s">
        <v>43</v>
      </c>
      <c r="C95" s="575" t="s">
        <v>692</v>
      </c>
      <c r="D95" s="625" t="s">
        <v>717</v>
      </c>
    </row>
    <row r="96" spans="1:7" s="42" customFormat="1" ht="13.5" thickBot="1">
      <c r="A96" s="224" t="s">
        <v>483</v>
      </c>
      <c r="B96" s="225" t="s">
        <v>484</v>
      </c>
      <c r="C96" s="575" t="s">
        <v>485</v>
      </c>
      <c r="D96" s="575" t="s">
        <v>485</v>
      </c>
      <c r="E96" s="677"/>
      <c r="F96" s="677"/>
      <c r="G96" s="677"/>
    </row>
    <row r="97" spans="1:4" ht="13.5" thickBot="1">
      <c r="A97" s="243" t="s">
        <v>14</v>
      </c>
      <c r="B97" s="244" t="s">
        <v>631</v>
      </c>
      <c r="C97" s="516">
        <f>C98+C99+C100+C101+C102+C115</f>
        <v>753411780</v>
      </c>
      <c r="D97" s="516">
        <f>D98+D99+D100+D101+D102+D115</f>
        <v>775269838</v>
      </c>
    </row>
    <row r="98" spans="1:4">
      <c r="A98" s="245" t="s">
        <v>93</v>
      </c>
      <c r="B98" s="246" t="s">
        <v>44</v>
      </c>
      <c r="C98" s="517">
        <f>81039317+78369300+21392976</f>
        <v>180801593</v>
      </c>
      <c r="D98" s="517">
        <f>85455893+78369300+21392976</f>
        <v>185218169</v>
      </c>
    </row>
    <row r="99" spans="1:4">
      <c r="A99" s="229" t="s">
        <v>94</v>
      </c>
      <c r="B99" s="247" t="s">
        <v>172</v>
      </c>
      <c r="C99" s="518">
        <f>17133121+15968871+4668631</f>
        <v>37770623</v>
      </c>
      <c r="D99" s="518">
        <f>17563738+15968871+4668631</f>
        <v>38201240</v>
      </c>
    </row>
    <row r="100" spans="1:4">
      <c r="A100" s="229" t="s">
        <v>95</v>
      </c>
      <c r="B100" s="247" t="s">
        <v>131</v>
      </c>
      <c r="C100" s="680">
        <f>263854593+27824468+29148920</f>
        <v>320827981</v>
      </c>
      <c r="D100" s="680">
        <f>263943550+27824468+29148920</f>
        <v>320916938</v>
      </c>
    </row>
    <row r="101" spans="1:4">
      <c r="A101" s="229" t="s">
        <v>96</v>
      </c>
      <c r="B101" s="248" t="s">
        <v>173</v>
      </c>
      <c r="C101" s="519">
        <f>7330000</f>
        <v>7330000</v>
      </c>
      <c r="D101" s="519">
        <f>7330000</f>
        <v>7330000</v>
      </c>
    </row>
    <row r="102" spans="1:4">
      <c r="A102" s="229" t="s">
        <v>107</v>
      </c>
      <c r="B102" s="249" t="s">
        <v>174</v>
      </c>
      <c r="C102" s="519">
        <f>C103+C104+C105+C106+C107+C108+C109+C110+C111+C112+C113+C114</f>
        <v>173511355</v>
      </c>
      <c r="D102" s="519">
        <f>D103+D104+D105+D106+D107+D108+D109+D110+D111+D112+D113+D114</f>
        <v>176463084</v>
      </c>
    </row>
    <row r="103" spans="1:4">
      <c r="A103" s="229" t="s">
        <v>97</v>
      </c>
      <c r="B103" s="247" t="s">
        <v>438</v>
      </c>
      <c r="C103" s="519"/>
      <c r="D103" s="519"/>
    </row>
    <row r="104" spans="1:4">
      <c r="A104" s="229" t="s">
        <v>98</v>
      </c>
      <c r="B104" s="250" t="s">
        <v>437</v>
      </c>
      <c r="C104" s="519"/>
      <c r="D104" s="519"/>
    </row>
    <row r="105" spans="1:4">
      <c r="A105" s="229" t="s">
        <v>108</v>
      </c>
      <c r="B105" s="250" t="s">
        <v>436</v>
      </c>
      <c r="C105" s="519">
        <v>1505503</v>
      </c>
      <c r="D105" s="519">
        <f>4457232</f>
        <v>4457232</v>
      </c>
    </row>
    <row r="106" spans="1:4">
      <c r="A106" s="229" t="s">
        <v>109</v>
      </c>
      <c r="B106" s="251" t="s">
        <v>347</v>
      </c>
      <c r="C106" s="519"/>
      <c r="D106" s="519"/>
    </row>
    <row r="107" spans="1:4">
      <c r="A107" s="229" t="s">
        <v>110</v>
      </c>
      <c r="B107" s="252" t="s">
        <v>348</v>
      </c>
      <c r="C107" s="519"/>
      <c r="D107" s="519"/>
    </row>
    <row r="108" spans="1:4">
      <c r="A108" s="229" t="s">
        <v>111</v>
      </c>
      <c r="B108" s="252" t="s">
        <v>349</v>
      </c>
      <c r="C108" s="519"/>
      <c r="D108" s="519"/>
    </row>
    <row r="109" spans="1:4">
      <c r="A109" s="229" t="s">
        <v>113</v>
      </c>
      <c r="B109" s="251" t="s">
        <v>350</v>
      </c>
      <c r="C109" s="519">
        <v>129940852</v>
      </c>
      <c r="D109" s="519">
        <v>129940852</v>
      </c>
    </row>
    <row r="110" spans="1:4">
      <c r="A110" s="229" t="s">
        <v>175</v>
      </c>
      <c r="B110" s="251" t="s">
        <v>351</v>
      </c>
      <c r="C110" s="519"/>
      <c r="D110" s="519"/>
    </row>
    <row r="111" spans="1:4">
      <c r="A111" s="229" t="s">
        <v>345</v>
      </c>
      <c r="B111" s="252" t="s">
        <v>352</v>
      </c>
      <c r="C111" s="519"/>
      <c r="D111" s="519"/>
    </row>
    <row r="112" spans="1:4">
      <c r="A112" s="253" t="s">
        <v>346</v>
      </c>
      <c r="B112" s="250" t="s">
        <v>353</v>
      </c>
      <c r="C112" s="519"/>
      <c r="D112" s="519"/>
    </row>
    <row r="113" spans="1:4">
      <c r="A113" s="229" t="s">
        <v>434</v>
      </c>
      <c r="B113" s="250" t="s">
        <v>354</v>
      </c>
      <c r="C113" s="519"/>
      <c r="D113" s="519"/>
    </row>
    <row r="114" spans="1:4">
      <c r="A114" s="231" t="s">
        <v>435</v>
      </c>
      <c r="B114" s="250" t="s">
        <v>355</v>
      </c>
      <c r="C114" s="519">
        <f>42065000</f>
        <v>42065000</v>
      </c>
      <c r="D114" s="519">
        <f>42065000</f>
        <v>42065000</v>
      </c>
    </row>
    <row r="115" spans="1:4">
      <c r="A115" s="229" t="s">
        <v>439</v>
      </c>
      <c r="B115" s="248" t="s">
        <v>45</v>
      </c>
      <c r="C115" s="518">
        <f>C116+C117</f>
        <v>33170228</v>
      </c>
      <c r="D115" s="518">
        <f>D116+D117</f>
        <v>47140407</v>
      </c>
    </row>
    <row r="116" spans="1:4">
      <c r="A116" s="229" t="s">
        <v>440</v>
      </c>
      <c r="B116" s="247" t="s">
        <v>442</v>
      </c>
      <c r="C116" s="518">
        <v>4078482</v>
      </c>
      <c r="D116" s="518">
        <f>8497082</f>
        <v>8497082</v>
      </c>
    </row>
    <row r="117" spans="1:4" ht="13.5" thickBot="1">
      <c r="A117" s="254" t="s">
        <v>441</v>
      </c>
      <c r="B117" s="255" t="s">
        <v>443</v>
      </c>
      <c r="C117" s="521">
        <f>29091746</f>
        <v>29091746</v>
      </c>
      <c r="D117" s="521">
        <f>38643325</f>
        <v>38643325</v>
      </c>
    </row>
    <row r="118" spans="1:4" ht="13.5" thickBot="1">
      <c r="A118" s="256" t="s">
        <v>15</v>
      </c>
      <c r="B118" s="257" t="s">
        <v>632</v>
      </c>
      <c r="C118" s="522">
        <f>+C119+C121+C123</f>
        <v>397774961</v>
      </c>
      <c r="D118" s="522">
        <f>+D119+D121+D123</f>
        <v>383274736</v>
      </c>
    </row>
    <row r="119" spans="1:4">
      <c r="A119" s="228" t="s">
        <v>99</v>
      </c>
      <c r="B119" s="247" t="s">
        <v>217</v>
      </c>
      <c r="C119" s="523">
        <f>304198564+825500+2513000</f>
        <v>307537064</v>
      </c>
      <c r="D119" s="523">
        <f>289698339+825500+2513000</f>
        <v>293036839</v>
      </c>
    </row>
    <row r="120" spans="1:4">
      <c r="A120" s="228" t="s">
        <v>100</v>
      </c>
      <c r="B120" s="258" t="s">
        <v>359</v>
      </c>
      <c r="C120" s="523"/>
      <c r="D120" s="523"/>
    </row>
    <row r="121" spans="1:4">
      <c r="A121" s="228" t="s">
        <v>101</v>
      </c>
      <c r="B121" s="258" t="s">
        <v>176</v>
      </c>
      <c r="C121" s="518">
        <f>89587897</f>
        <v>89587897</v>
      </c>
      <c r="D121" s="518">
        <f>89587897</f>
        <v>89587897</v>
      </c>
    </row>
    <row r="122" spans="1:4">
      <c r="A122" s="228" t="s">
        <v>102</v>
      </c>
      <c r="B122" s="258" t="s">
        <v>360</v>
      </c>
      <c r="C122" s="524"/>
      <c r="D122" s="524"/>
    </row>
    <row r="123" spans="1:4">
      <c r="A123" s="228" t="s">
        <v>103</v>
      </c>
      <c r="B123" s="232" t="s">
        <v>219</v>
      </c>
      <c r="C123" s="524">
        <f>C124+C125+C126+C127+C128+C129+C130+C131</f>
        <v>650000</v>
      </c>
      <c r="D123" s="524">
        <f>D124+D125+D126+D127+D128+D129+D130+D131</f>
        <v>650000</v>
      </c>
    </row>
    <row r="124" spans="1:4">
      <c r="A124" s="228" t="s">
        <v>112</v>
      </c>
      <c r="B124" s="230" t="s">
        <v>422</v>
      </c>
      <c r="C124" s="524"/>
      <c r="D124" s="524"/>
    </row>
    <row r="125" spans="1:4">
      <c r="A125" s="228" t="s">
        <v>114</v>
      </c>
      <c r="B125" s="259" t="s">
        <v>365</v>
      </c>
      <c r="C125" s="524"/>
      <c r="D125" s="524"/>
    </row>
    <row r="126" spans="1:4">
      <c r="A126" s="228" t="s">
        <v>177</v>
      </c>
      <c r="B126" s="252" t="s">
        <v>349</v>
      </c>
      <c r="C126" s="524"/>
      <c r="D126" s="524"/>
    </row>
    <row r="127" spans="1:4">
      <c r="A127" s="228" t="s">
        <v>178</v>
      </c>
      <c r="B127" s="252" t="s">
        <v>364</v>
      </c>
      <c r="C127" s="524"/>
      <c r="D127" s="524"/>
    </row>
    <row r="128" spans="1:4">
      <c r="A128" s="228" t="s">
        <v>179</v>
      </c>
      <c r="B128" s="252" t="s">
        <v>363</v>
      </c>
      <c r="C128" s="524"/>
      <c r="D128" s="524"/>
    </row>
    <row r="129" spans="1:4">
      <c r="A129" s="228" t="s">
        <v>356</v>
      </c>
      <c r="B129" s="252" t="s">
        <v>352</v>
      </c>
      <c r="C129" s="524"/>
      <c r="D129" s="524"/>
    </row>
    <row r="130" spans="1:4">
      <c r="A130" s="228" t="s">
        <v>357</v>
      </c>
      <c r="B130" s="252" t="s">
        <v>362</v>
      </c>
      <c r="C130" s="524"/>
      <c r="D130" s="524"/>
    </row>
    <row r="131" spans="1:4" ht="13.5" thickBot="1">
      <c r="A131" s="253" t="s">
        <v>358</v>
      </c>
      <c r="B131" s="252" t="s">
        <v>361</v>
      </c>
      <c r="C131" s="525">
        <v>650000</v>
      </c>
      <c r="D131" s="525">
        <v>650000</v>
      </c>
    </row>
    <row r="132" spans="1:4" ht="13.5" thickBot="1">
      <c r="A132" s="226" t="s">
        <v>16</v>
      </c>
      <c r="B132" s="260" t="s">
        <v>444</v>
      </c>
      <c r="C132" s="526">
        <f>+C97+C118</f>
        <v>1151186741</v>
      </c>
      <c r="D132" s="526">
        <f>+D97+D118</f>
        <v>1158544574</v>
      </c>
    </row>
    <row r="133" spans="1:4" ht="13.5" thickBot="1">
      <c r="A133" s="226" t="s">
        <v>17</v>
      </c>
      <c r="B133" s="260" t="s">
        <v>445</v>
      </c>
      <c r="C133" s="526">
        <f>+C134+C135+C136</f>
        <v>0</v>
      </c>
      <c r="D133" s="526">
        <f>+D134+D135+D136</f>
        <v>0</v>
      </c>
    </row>
    <row r="134" spans="1:4">
      <c r="A134" s="228" t="s">
        <v>257</v>
      </c>
      <c r="B134" s="258" t="s">
        <v>452</v>
      </c>
      <c r="C134" s="524"/>
      <c r="D134" s="524"/>
    </row>
    <row r="135" spans="1:4">
      <c r="A135" s="228" t="s">
        <v>260</v>
      </c>
      <c r="B135" s="258" t="s">
        <v>453</v>
      </c>
      <c r="C135" s="524"/>
      <c r="D135" s="524"/>
    </row>
    <row r="136" spans="1:4" ht="13.5" thickBot="1">
      <c r="A136" s="253" t="s">
        <v>261</v>
      </c>
      <c r="B136" s="258" t="s">
        <v>454</v>
      </c>
      <c r="C136" s="524"/>
      <c r="D136" s="524"/>
    </row>
    <row r="137" spans="1:4" ht="13.5" thickBot="1">
      <c r="A137" s="226" t="s">
        <v>18</v>
      </c>
      <c r="B137" s="260" t="s">
        <v>446</v>
      </c>
      <c r="C137" s="526">
        <f>SUM(C138:C143)</f>
        <v>0</v>
      </c>
      <c r="D137" s="526">
        <f>SUM(D138:D143)</f>
        <v>0</v>
      </c>
    </row>
    <row r="138" spans="1:4">
      <c r="A138" s="228" t="s">
        <v>86</v>
      </c>
      <c r="B138" s="261" t="s">
        <v>455</v>
      </c>
      <c r="C138" s="524"/>
      <c r="D138" s="524"/>
    </row>
    <row r="139" spans="1:4">
      <c r="A139" s="228" t="s">
        <v>87</v>
      </c>
      <c r="B139" s="261" t="s">
        <v>447</v>
      </c>
      <c r="C139" s="524"/>
      <c r="D139" s="524"/>
    </row>
    <row r="140" spans="1:4">
      <c r="A140" s="228" t="s">
        <v>88</v>
      </c>
      <c r="B140" s="261" t="s">
        <v>448</v>
      </c>
      <c r="C140" s="524"/>
      <c r="D140" s="524"/>
    </row>
    <row r="141" spans="1:4">
      <c r="A141" s="228" t="s">
        <v>164</v>
      </c>
      <c r="B141" s="261" t="s">
        <v>449</v>
      </c>
      <c r="C141" s="524"/>
      <c r="D141" s="524"/>
    </row>
    <row r="142" spans="1:4">
      <c r="A142" s="228" t="s">
        <v>165</v>
      </c>
      <c r="B142" s="261" t="s">
        <v>450</v>
      </c>
      <c r="C142" s="524"/>
      <c r="D142" s="524"/>
    </row>
    <row r="143" spans="1:4" ht="13.5" thickBot="1">
      <c r="A143" s="253" t="s">
        <v>166</v>
      </c>
      <c r="B143" s="261" t="s">
        <v>451</v>
      </c>
      <c r="C143" s="524"/>
      <c r="D143" s="524"/>
    </row>
    <row r="144" spans="1:4" ht="13.5" thickBot="1">
      <c r="A144" s="226" t="s">
        <v>19</v>
      </c>
      <c r="B144" s="260" t="s">
        <v>459</v>
      </c>
      <c r="C144" s="527">
        <f>+C145+C146+C147+C148</f>
        <v>8107720</v>
      </c>
      <c r="D144" s="527">
        <f>+D145+D146+D147+D148</f>
        <v>8107720</v>
      </c>
    </row>
    <row r="145" spans="1:7">
      <c r="A145" s="228" t="s">
        <v>89</v>
      </c>
      <c r="B145" s="261" t="s">
        <v>366</v>
      </c>
      <c r="C145" s="524"/>
      <c r="D145" s="524"/>
    </row>
    <row r="146" spans="1:7">
      <c r="A146" s="228" t="s">
        <v>90</v>
      </c>
      <c r="B146" s="261" t="s">
        <v>367</v>
      </c>
      <c r="C146" s="524">
        <f>8107720</f>
        <v>8107720</v>
      </c>
      <c r="D146" s="524">
        <f>8107720</f>
        <v>8107720</v>
      </c>
    </row>
    <row r="147" spans="1:7">
      <c r="A147" s="228" t="s">
        <v>281</v>
      </c>
      <c r="B147" s="261" t="s">
        <v>460</v>
      </c>
      <c r="C147" s="524"/>
      <c r="D147" s="524"/>
    </row>
    <row r="148" spans="1:7" ht="13.5" thickBot="1">
      <c r="A148" s="253" t="s">
        <v>282</v>
      </c>
      <c r="B148" s="262" t="s">
        <v>386</v>
      </c>
      <c r="C148" s="524"/>
      <c r="D148" s="524"/>
    </row>
    <row r="149" spans="1:7" ht="13.5" thickBot="1">
      <c r="A149" s="226" t="s">
        <v>20</v>
      </c>
      <c r="B149" s="260" t="s">
        <v>461</v>
      </c>
      <c r="C149" s="528">
        <f>SUM(C150:C154)</f>
        <v>0</v>
      </c>
      <c r="D149" s="528">
        <f>SUM(D150:D154)</f>
        <v>0</v>
      </c>
    </row>
    <row r="150" spans="1:7">
      <c r="A150" s="228" t="s">
        <v>91</v>
      </c>
      <c r="B150" s="261" t="s">
        <v>456</v>
      </c>
      <c r="C150" s="524"/>
      <c r="D150" s="524"/>
    </row>
    <row r="151" spans="1:7">
      <c r="A151" s="228" t="s">
        <v>92</v>
      </c>
      <c r="B151" s="261" t="s">
        <v>463</v>
      </c>
      <c r="C151" s="524"/>
      <c r="D151" s="524"/>
    </row>
    <row r="152" spans="1:7">
      <c r="A152" s="228" t="s">
        <v>293</v>
      </c>
      <c r="B152" s="261" t="s">
        <v>458</v>
      </c>
      <c r="C152" s="524"/>
      <c r="D152" s="524"/>
    </row>
    <row r="153" spans="1:7">
      <c r="A153" s="228" t="s">
        <v>294</v>
      </c>
      <c r="B153" s="261" t="s">
        <v>464</v>
      </c>
      <c r="C153" s="524"/>
      <c r="D153" s="524"/>
    </row>
    <row r="154" spans="1:7" ht="13.5" thickBot="1">
      <c r="A154" s="228" t="s">
        <v>462</v>
      </c>
      <c r="B154" s="261" t="s">
        <v>465</v>
      </c>
      <c r="C154" s="524"/>
      <c r="D154" s="524"/>
    </row>
    <row r="155" spans="1:7" ht="13.5" thickBot="1">
      <c r="A155" s="226" t="s">
        <v>21</v>
      </c>
      <c r="B155" s="260" t="s">
        <v>466</v>
      </c>
      <c r="C155" s="529"/>
      <c r="D155" s="529"/>
    </row>
    <row r="156" spans="1:7" ht="13.5" thickBot="1">
      <c r="A156" s="226" t="s">
        <v>22</v>
      </c>
      <c r="B156" s="260" t="s">
        <v>541</v>
      </c>
      <c r="C156" s="529"/>
      <c r="D156" s="529"/>
    </row>
    <row r="157" spans="1:7" ht="13.5" thickBot="1">
      <c r="A157" s="226" t="s">
        <v>23</v>
      </c>
      <c r="B157" s="260" t="s">
        <v>469</v>
      </c>
      <c r="C157" s="530">
        <f>+C133+C137+C144+C149+C155+C156</f>
        <v>8107720</v>
      </c>
      <c r="D157" s="530">
        <f>+D133+D137+D144+D149+D155+D156</f>
        <v>8107720</v>
      </c>
    </row>
    <row r="158" spans="1:7" s="42" customFormat="1" ht="13.5" thickBot="1">
      <c r="A158" s="264" t="s">
        <v>24</v>
      </c>
      <c r="B158" s="265" t="s">
        <v>468</v>
      </c>
      <c r="C158" s="530">
        <f>+C132+C157</f>
        <v>1159294461</v>
      </c>
      <c r="D158" s="530">
        <f>+D132+D157</f>
        <v>1166652294</v>
      </c>
      <c r="E158" s="677"/>
      <c r="F158" s="677"/>
      <c r="G158" s="677"/>
    </row>
    <row r="160" spans="1:7">
      <c r="A160" s="681" t="s">
        <v>368</v>
      </c>
      <c r="B160" s="681"/>
      <c r="C160" s="435"/>
      <c r="D160" s="435"/>
    </row>
    <row r="161" spans="1:4" ht="14.25" thickBot="1">
      <c r="A161" s="702" t="s">
        <v>144</v>
      </c>
      <c r="B161" s="702"/>
      <c r="C161" s="506" t="s">
        <v>664</v>
      </c>
      <c r="D161" s="506" t="s">
        <v>664</v>
      </c>
    </row>
    <row r="162" spans="1:4" ht="26.25" thickBot="1">
      <c r="A162" s="226">
        <v>1</v>
      </c>
      <c r="B162" s="588" t="s">
        <v>470</v>
      </c>
      <c r="C162" s="526">
        <f>+C66-C132</f>
        <v>-532892280</v>
      </c>
      <c r="D162" s="526">
        <f>+D66-D132</f>
        <v>-533367779</v>
      </c>
    </row>
    <row r="163" spans="1:4" ht="39" thickBot="1">
      <c r="A163" s="226" t="s">
        <v>15</v>
      </c>
      <c r="B163" s="588" t="s">
        <v>476</v>
      </c>
      <c r="C163" s="526">
        <f>+C90-C157</f>
        <v>532892280</v>
      </c>
      <c r="D163" s="526">
        <f>+D90-D157</f>
        <v>533367779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1.1. melléklet a 5/2019. (III.28.) önkormányzati rendelethez</oddHeader>
    <oddFooter>&amp;P. oldal, összesen: &amp;N</oddFooter>
  </headerFooter>
  <rowBreaks count="3" manualBreakCount="3">
    <brk id="66" max="3" man="1"/>
    <brk id="91" max="3" man="1"/>
    <brk id="132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M60"/>
  <sheetViews>
    <sheetView topLeftCell="C1" zoomScaleNormal="100" workbookViewId="0">
      <selection activeCell="G1" sqref="G1:L1"/>
    </sheetView>
  </sheetViews>
  <sheetFormatPr defaultRowHeight="15.75"/>
  <cols>
    <col min="1" max="1" width="118.6640625" style="191" bestFit="1" customWidth="1"/>
    <col min="2" max="2" width="32.1640625" style="191" bestFit="1" customWidth="1"/>
    <col min="3" max="3" width="16" style="190" bestFit="1" customWidth="1"/>
    <col min="4" max="4" width="23" style="190" bestFit="1" customWidth="1"/>
    <col min="5" max="5" width="16.33203125" style="190" bestFit="1" customWidth="1"/>
    <col min="6" max="7" width="22.83203125" style="190" bestFit="1" customWidth="1"/>
    <col min="8" max="8" width="17" style="190" bestFit="1" customWidth="1"/>
    <col min="9" max="9" width="16" style="196" bestFit="1" customWidth="1"/>
    <col min="10" max="10" width="14.33203125" style="190" bestFit="1" customWidth="1"/>
    <col min="11" max="11" width="13.83203125" style="190" bestFit="1" customWidth="1"/>
    <col min="12" max="12" width="16.83203125" style="190" bestFit="1" customWidth="1"/>
    <col min="13" max="13" width="1.1640625" style="190" bestFit="1" customWidth="1"/>
    <col min="14" max="14" width="12.83203125" style="190" customWidth="1"/>
    <col min="15" max="15" width="13.83203125" style="190" customWidth="1"/>
    <col min="16" max="16384" width="9.33203125" style="190"/>
  </cols>
  <sheetData>
    <row r="1" spans="1:12" ht="19.5" customHeight="1">
      <c r="A1" s="727" t="s">
        <v>536</v>
      </c>
      <c r="B1" s="727"/>
      <c r="G1" s="726" t="s">
        <v>723</v>
      </c>
      <c r="H1" s="726"/>
      <c r="I1" s="726"/>
      <c r="J1" s="726"/>
      <c r="K1" s="726"/>
      <c r="L1" s="726"/>
    </row>
    <row r="5" spans="1:12" ht="25.5" customHeight="1">
      <c r="A5" s="725" t="s">
        <v>710</v>
      </c>
      <c r="B5" s="725"/>
      <c r="C5" s="725"/>
      <c r="D5" s="725"/>
      <c r="E5" s="725"/>
      <c r="F5" s="725"/>
      <c r="G5" s="725"/>
      <c r="H5" s="725"/>
      <c r="I5" s="725"/>
      <c r="J5" s="725"/>
      <c r="K5" s="725"/>
      <c r="L5" s="725"/>
    </row>
    <row r="6" spans="1:12" ht="22.5" customHeight="1" thickBot="1">
      <c r="H6" s="643" t="s">
        <v>581</v>
      </c>
      <c r="I6" s="644" t="s">
        <v>581</v>
      </c>
    </row>
    <row r="7" spans="1:12" s="189" customFormat="1" ht="44.25" customHeight="1" thickBot="1">
      <c r="A7" s="192" t="s">
        <v>59</v>
      </c>
      <c r="B7" s="193" t="s">
        <v>616</v>
      </c>
      <c r="C7" s="645" t="s">
        <v>60</v>
      </c>
      <c r="D7" s="645" t="s">
        <v>61</v>
      </c>
      <c r="E7" s="645" t="s">
        <v>676</v>
      </c>
      <c r="F7" s="645" t="s">
        <v>692</v>
      </c>
      <c r="G7" s="645" t="s">
        <v>717</v>
      </c>
      <c r="H7" s="646" t="s">
        <v>652</v>
      </c>
      <c r="I7" s="647" t="s">
        <v>608</v>
      </c>
      <c r="J7" s="648" t="s">
        <v>609</v>
      </c>
      <c r="K7" s="648" t="s">
        <v>610</v>
      </c>
      <c r="L7" s="649" t="s">
        <v>607</v>
      </c>
    </row>
    <row r="8" spans="1:12" ht="16.5" thickBot="1">
      <c r="A8" s="194" t="s">
        <v>483</v>
      </c>
      <c r="B8" s="195"/>
      <c r="C8" s="650" t="s">
        <v>484</v>
      </c>
      <c r="D8" s="650" t="s">
        <v>485</v>
      </c>
      <c r="E8" s="650" t="s">
        <v>487</v>
      </c>
      <c r="F8" s="651" t="s">
        <v>486</v>
      </c>
      <c r="G8" s="651" t="s">
        <v>486</v>
      </c>
      <c r="H8" s="652" t="s">
        <v>489</v>
      </c>
      <c r="I8" s="653"/>
      <c r="J8" s="654"/>
      <c r="K8" s="654"/>
      <c r="L8" s="650"/>
    </row>
    <row r="9" spans="1:12" ht="24.75" customHeight="1">
      <c r="A9" s="395" t="s">
        <v>668</v>
      </c>
      <c r="B9" s="396" t="s">
        <v>618</v>
      </c>
      <c r="C9" s="631">
        <f>(50000*1.27)</f>
        <v>63500</v>
      </c>
      <c r="D9" s="632" t="s">
        <v>697</v>
      </c>
      <c r="E9" s="631"/>
      <c r="F9" s="631">
        <f>(50000*1.27)</f>
        <v>63500</v>
      </c>
      <c r="G9" s="631">
        <f>(50000*1.27)</f>
        <v>63500</v>
      </c>
      <c r="H9" s="633"/>
      <c r="I9" s="634">
        <f>J9+K9+L9</f>
        <v>63500</v>
      </c>
      <c r="J9" s="631">
        <f>(50000*1.27)</f>
        <v>63500</v>
      </c>
      <c r="K9" s="635"/>
      <c r="L9" s="631"/>
    </row>
    <row r="10" spans="1:12" ht="24.75" customHeight="1">
      <c r="A10" s="395" t="s">
        <v>719</v>
      </c>
      <c r="B10" s="396"/>
      <c r="C10" s="631">
        <v>127000</v>
      </c>
      <c r="D10" s="632"/>
      <c r="E10" s="631"/>
      <c r="F10" s="631"/>
      <c r="G10" s="631">
        <f>100000*1.27</f>
        <v>127000</v>
      </c>
      <c r="H10" s="633"/>
      <c r="I10" s="634"/>
      <c r="J10" s="631">
        <f>100000*1.27</f>
        <v>127000</v>
      </c>
      <c r="K10" s="635"/>
      <c r="L10" s="631"/>
    </row>
    <row r="11" spans="1:12" s="399" customFormat="1" ht="24.75" customHeight="1">
      <c r="A11" s="397" t="s">
        <v>602</v>
      </c>
      <c r="B11" s="398"/>
      <c r="C11" s="637">
        <f>SUM(C9:C10)</f>
        <v>190500</v>
      </c>
      <c r="D11" s="637"/>
      <c r="E11" s="637"/>
      <c r="F11" s="637">
        <f t="shared" ref="F11:L11" si="0">SUM(F9:F10)</f>
        <v>63500</v>
      </c>
      <c r="G11" s="637">
        <f t="shared" si="0"/>
        <v>190500</v>
      </c>
      <c r="H11" s="637"/>
      <c r="I11" s="637">
        <f t="shared" si="0"/>
        <v>63500</v>
      </c>
      <c r="J11" s="637">
        <f t="shared" si="0"/>
        <v>190500</v>
      </c>
      <c r="K11" s="637">
        <f t="shared" si="0"/>
        <v>0</v>
      </c>
      <c r="L11" s="637">
        <f t="shared" si="0"/>
        <v>0</v>
      </c>
    </row>
    <row r="12" spans="1:12" s="399" customFormat="1" ht="24.75" customHeight="1">
      <c r="A12" s="397"/>
      <c r="B12" s="398"/>
      <c r="C12" s="637"/>
      <c r="D12" s="638"/>
      <c r="E12" s="637"/>
      <c r="F12" s="642"/>
      <c r="G12" s="642"/>
      <c r="H12" s="639"/>
      <c r="I12" s="640"/>
      <c r="J12" s="640"/>
      <c r="K12" s="640"/>
      <c r="L12" s="637"/>
    </row>
    <row r="13" spans="1:12">
      <c r="A13" s="395" t="s">
        <v>655</v>
      </c>
      <c r="B13" s="396" t="s">
        <v>656</v>
      </c>
      <c r="C13" s="631">
        <f>(600000*1.27)</f>
        <v>762000</v>
      </c>
      <c r="D13" s="632" t="s">
        <v>697</v>
      </c>
      <c r="E13" s="631"/>
      <c r="F13" s="631">
        <f>(600000*1.27)</f>
        <v>762000</v>
      </c>
      <c r="G13" s="631">
        <f>(600000*1.27)</f>
        <v>762000</v>
      </c>
      <c r="H13" s="636"/>
      <c r="I13" s="634">
        <f t="shared" ref="I13:I19" si="1">J13+K13+L13</f>
        <v>762000</v>
      </c>
      <c r="J13" s="631">
        <f>(600000*1.27)</f>
        <v>762000</v>
      </c>
      <c r="K13" s="635"/>
      <c r="L13" s="631"/>
    </row>
    <row r="14" spans="1:12">
      <c r="A14" s="395" t="s">
        <v>703</v>
      </c>
      <c r="B14" s="396" t="s">
        <v>617</v>
      </c>
      <c r="C14" s="631">
        <f>(200000*1.27)</f>
        <v>254000</v>
      </c>
      <c r="D14" s="632" t="s">
        <v>697</v>
      </c>
      <c r="E14" s="631"/>
      <c r="F14" s="631">
        <f>(200000*1.27)</f>
        <v>254000</v>
      </c>
      <c r="G14" s="631">
        <f>(200000*1.27)</f>
        <v>254000</v>
      </c>
      <c r="H14" s="636"/>
      <c r="I14" s="634">
        <f t="shared" si="1"/>
        <v>254000</v>
      </c>
      <c r="J14" s="631">
        <f>(200000*1.27)</f>
        <v>254000</v>
      </c>
      <c r="K14" s="635"/>
      <c r="L14" s="631"/>
    </row>
    <row r="15" spans="1:12">
      <c r="A15" s="395" t="s">
        <v>704</v>
      </c>
      <c r="B15" s="396" t="s">
        <v>617</v>
      </c>
      <c r="C15" s="631">
        <f>(2100000*1.27)</f>
        <v>2667000</v>
      </c>
      <c r="D15" s="632" t="s">
        <v>697</v>
      </c>
      <c r="E15" s="631"/>
      <c r="F15" s="631">
        <f>(2100000*1.27)</f>
        <v>2667000</v>
      </c>
      <c r="G15" s="631">
        <f>(2100000*1.27)</f>
        <v>2667000</v>
      </c>
      <c r="H15" s="636"/>
      <c r="I15" s="634">
        <f t="shared" si="1"/>
        <v>2667000</v>
      </c>
      <c r="J15" s="631">
        <f>(2100000*1.27)</f>
        <v>2667000</v>
      </c>
      <c r="K15" s="635"/>
      <c r="L15" s="631"/>
    </row>
    <row r="16" spans="1:12">
      <c r="A16" s="395" t="s">
        <v>657</v>
      </c>
      <c r="B16" s="396" t="s">
        <v>617</v>
      </c>
      <c r="C16" s="631">
        <f>(2890000*1.27)</f>
        <v>3670300</v>
      </c>
      <c r="D16" s="632" t="s">
        <v>699</v>
      </c>
      <c r="E16" s="631"/>
      <c r="F16" s="631">
        <f>(2890000*1.27)</f>
        <v>3670300</v>
      </c>
      <c r="G16" s="631">
        <f>(2890000*1.27)</f>
        <v>3670300</v>
      </c>
      <c r="H16" s="636"/>
      <c r="I16" s="634">
        <f t="shared" si="1"/>
        <v>3670300</v>
      </c>
      <c r="J16" s="631">
        <f>(2890000*1.27)</f>
        <v>3670300</v>
      </c>
      <c r="K16" s="635"/>
      <c r="L16" s="635"/>
    </row>
    <row r="17" spans="1:13" ht="31.5">
      <c r="A17" s="395" t="s">
        <v>636</v>
      </c>
      <c r="B17" s="396" t="s">
        <v>617</v>
      </c>
      <c r="C17" s="631">
        <f>(124110246+32307664+1242604)</f>
        <v>157660514</v>
      </c>
      <c r="D17" s="632" t="s">
        <v>699</v>
      </c>
      <c r="E17" s="631"/>
      <c r="F17" s="631">
        <f>(124110246+32307664+1242604)</f>
        <v>157660514</v>
      </c>
      <c r="G17" s="631">
        <f>(124110246+32307664+1242604)</f>
        <v>157660514</v>
      </c>
      <c r="H17" s="633"/>
      <c r="I17" s="634">
        <f>J17+K17+L17</f>
        <v>157660514</v>
      </c>
      <c r="J17" s="635"/>
      <c r="K17" s="635"/>
      <c r="L17" s="631">
        <f>(124110246+32307664+1242604)</f>
        <v>157660514</v>
      </c>
      <c r="M17" s="700"/>
    </row>
    <row r="18" spans="1:13">
      <c r="A18" s="395" t="s">
        <v>633</v>
      </c>
      <c r="B18" s="396" t="s">
        <v>617</v>
      </c>
      <c r="C18" s="631">
        <f>(44017728+270000)</f>
        <v>44287728</v>
      </c>
      <c r="D18" s="632" t="s">
        <v>699</v>
      </c>
      <c r="E18" s="631"/>
      <c r="F18" s="631">
        <f>(44017728+270000)</f>
        <v>44287728</v>
      </c>
      <c r="G18" s="631">
        <f>(44017728+270000)</f>
        <v>44287728</v>
      </c>
      <c r="H18" s="633"/>
      <c r="I18" s="634">
        <f>J18+K18+L18</f>
        <v>44287728</v>
      </c>
      <c r="J18" s="635"/>
      <c r="K18" s="635"/>
      <c r="L18" s="631">
        <f>(44017728+270000)</f>
        <v>44287728</v>
      </c>
    </row>
    <row r="19" spans="1:13" ht="24.75" customHeight="1">
      <c r="A19" s="395" t="s">
        <v>659</v>
      </c>
      <c r="B19" s="396" t="s">
        <v>618</v>
      </c>
      <c r="C19" s="631">
        <f>(8000000*1.27)</f>
        <v>10160000</v>
      </c>
      <c r="D19" s="632" t="s">
        <v>697</v>
      </c>
      <c r="E19" s="631"/>
      <c r="F19" s="631">
        <f>(8000000*1.27)</f>
        <v>10160000</v>
      </c>
      <c r="G19" s="631">
        <f>(8000000*1.27)</f>
        <v>10160000</v>
      </c>
      <c r="H19" s="636"/>
      <c r="I19" s="634">
        <f t="shared" si="1"/>
        <v>10160000</v>
      </c>
      <c r="J19" s="631">
        <f>(8000000*1.27)</f>
        <v>10160000</v>
      </c>
      <c r="K19" s="635"/>
      <c r="L19" s="631"/>
    </row>
    <row r="20" spans="1:13" ht="24.75" customHeight="1">
      <c r="A20" s="395" t="s">
        <v>666</v>
      </c>
      <c r="B20" s="396" t="s">
        <v>615</v>
      </c>
      <c r="C20" s="631">
        <f>(8725067+62322)</f>
        <v>8787389</v>
      </c>
      <c r="D20" s="632" t="s">
        <v>699</v>
      </c>
      <c r="E20" s="631"/>
      <c r="F20" s="631">
        <f>(8725067+62322)</f>
        <v>8787389</v>
      </c>
      <c r="G20" s="631">
        <f>(8725067+62322)</f>
        <v>8787389</v>
      </c>
      <c r="H20" s="633"/>
      <c r="I20" s="634">
        <f>J20+K20+L20</f>
        <v>8787389</v>
      </c>
      <c r="J20" s="635"/>
      <c r="K20" s="635"/>
      <c r="L20" s="631">
        <f>(8725067+62322)</f>
        <v>8787389</v>
      </c>
    </row>
    <row r="21" spans="1:13" ht="24.75" customHeight="1">
      <c r="A21" s="395" t="s">
        <v>667</v>
      </c>
      <c r="B21" s="396" t="s">
        <v>615</v>
      </c>
      <c r="C21" s="631">
        <f>6326590</f>
        <v>6326590</v>
      </c>
      <c r="D21" s="632" t="s">
        <v>699</v>
      </c>
      <c r="E21" s="631"/>
      <c r="F21" s="631">
        <f>6326590</f>
        <v>6326590</v>
      </c>
      <c r="G21" s="631">
        <f>6326590</f>
        <v>6326590</v>
      </c>
      <c r="H21" s="633"/>
      <c r="I21" s="634">
        <f>J21+K21+L21</f>
        <v>6326590</v>
      </c>
      <c r="J21" s="631">
        <f>6326590</f>
        <v>6326590</v>
      </c>
      <c r="K21" s="635"/>
    </row>
    <row r="22" spans="1:13" ht="24.75" customHeight="1">
      <c r="A22" s="395" t="s">
        <v>671</v>
      </c>
      <c r="B22" s="396" t="s">
        <v>672</v>
      </c>
      <c r="C22" s="631">
        <f>(211000*1.27)</f>
        <v>267970</v>
      </c>
      <c r="D22" s="632" t="s">
        <v>697</v>
      </c>
      <c r="E22" s="631"/>
      <c r="F22" s="631">
        <f>(211000*1.27)</f>
        <v>267970</v>
      </c>
      <c r="G22" s="631">
        <f>(211000*1.27)</f>
        <v>267970</v>
      </c>
      <c r="H22" s="633"/>
      <c r="I22" s="634">
        <f>J22+K22+L22</f>
        <v>267970</v>
      </c>
      <c r="J22" s="631"/>
      <c r="K22" s="635"/>
      <c r="L22" s="631">
        <f>(211000*1.27)</f>
        <v>267970</v>
      </c>
    </row>
    <row r="23" spans="1:13" s="399" customFormat="1" ht="24.75" customHeight="1">
      <c r="A23" s="397" t="s">
        <v>603</v>
      </c>
      <c r="B23" s="398"/>
      <c r="C23" s="637">
        <f>SUM(C13:C22)</f>
        <v>234843491</v>
      </c>
      <c r="D23" s="637"/>
      <c r="E23" s="637"/>
      <c r="F23" s="637">
        <f>SUM(F13:F22)</f>
        <v>234843491</v>
      </c>
      <c r="G23" s="637">
        <f>SUM(G13:G22)</f>
        <v>234843491</v>
      </c>
      <c r="H23" s="637"/>
      <c r="I23" s="637">
        <f>SUM(I13:I22)</f>
        <v>234843491</v>
      </c>
      <c r="J23" s="637">
        <f>SUM(J13:J22)</f>
        <v>23839890</v>
      </c>
      <c r="K23" s="637">
        <f>SUM(K13:K22)</f>
        <v>0</v>
      </c>
      <c r="L23" s="637">
        <f>SUM(L13:L22)</f>
        <v>211003601</v>
      </c>
    </row>
    <row r="24" spans="1:13" ht="24.75" customHeight="1">
      <c r="A24" s="395"/>
      <c r="B24" s="396"/>
      <c r="C24" s="631"/>
      <c r="D24" s="632"/>
      <c r="E24" s="631"/>
      <c r="F24" s="631"/>
      <c r="G24" s="631"/>
      <c r="H24" s="636"/>
      <c r="I24" s="634"/>
      <c r="J24" s="635"/>
      <c r="K24" s="635"/>
      <c r="L24" s="631"/>
    </row>
    <row r="25" spans="1:13" ht="24.75" customHeight="1">
      <c r="A25" s="395" t="s">
        <v>599</v>
      </c>
      <c r="B25" s="396" t="s">
        <v>620</v>
      </c>
      <c r="C25" s="631">
        <f>(600000*1.27)</f>
        <v>762000</v>
      </c>
      <c r="D25" s="632" t="s">
        <v>697</v>
      </c>
      <c r="E25" s="631"/>
      <c r="F25" s="631">
        <f>(600000*1.27)</f>
        <v>762000</v>
      </c>
      <c r="G25" s="631">
        <f>(600000*1.27)</f>
        <v>762000</v>
      </c>
      <c r="H25" s="636"/>
      <c r="I25" s="634">
        <f>J25+K25+L25</f>
        <v>762000</v>
      </c>
      <c r="J25" s="631">
        <f>(600000*1.27)</f>
        <v>762000</v>
      </c>
      <c r="K25" s="635"/>
      <c r="L25" s="631"/>
    </row>
    <row r="26" spans="1:13" ht="24.75" customHeight="1">
      <c r="A26" s="395" t="s">
        <v>600</v>
      </c>
      <c r="B26" s="396" t="s">
        <v>621</v>
      </c>
      <c r="C26" s="631">
        <f>(50000*1.27)</f>
        <v>63500</v>
      </c>
      <c r="D26" s="632" t="s">
        <v>697</v>
      </c>
      <c r="E26" s="631"/>
      <c r="F26" s="631">
        <f>(50000*1.27)</f>
        <v>63500</v>
      </c>
      <c r="G26" s="631">
        <f>(50000*1.27)</f>
        <v>63500</v>
      </c>
      <c r="H26" s="636"/>
      <c r="I26" s="634">
        <f>J26+K26+L26</f>
        <v>63500</v>
      </c>
      <c r="J26" s="631">
        <f>(50000*1.27)</f>
        <v>63500</v>
      </c>
      <c r="K26" s="635"/>
      <c r="L26" s="631"/>
    </row>
    <row r="27" spans="1:13" s="399" customFormat="1" ht="24.75" customHeight="1">
      <c r="A27" s="397" t="s">
        <v>604</v>
      </c>
      <c r="B27" s="398"/>
      <c r="C27" s="637">
        <f>SUM(C25:C26)</f>
        <v>825500</v>
      </c>
      <c r="D27" s="637">
        <f>SUM(D25:D26)</f>
        <v>0</v>
      </c>
      <c r="E27" s="637">
        <f>SUM(E25:E26)</f>
        <v>0</v>
      </c>
      <c r="F27" s="637">
        <f>SUM(F25:F26)</f>
        <v>825500</v>
      </c>
      <c r="G27" s="637">
        <f>SUM(G25:G26)</f>
        <v>825500</v>
      </c>
      <c r="H27" s="637"/>
      <c r="I27" s="637">
        <f>SUM(I25:I26)</f>
        <v>825500</v>
      </c>
      <c r="J27" s="637">
        <f>SUM(J25:J26)</f>
        <v>825500</v>
      </c>
      <c r="K27" s="637">
        <f>SUM(K25:K26)</f>
        <v>0</v>
      </c>
      <c r="L27" s="637">
        <f>SUM(L25:L26)</f>
        <v>0</v>
      </c>
    </row>
    <row r="28" spans="1:13" ht="24.75" customHeight="1">
      <c r="A28" s="395"/>
      <c r="B28" s="396"/>
      <c r="C28" s="631"/>
      <c r="D28" s="632"/>
      <c r="E28" s="631"/>
      <c r="F28" s="631"/>
      <c r="G28" s="631"/>
      <c r="H28" s="636"/>
      <c r="I28" s="634"/>
      <c r="J28" s="635"/>
      <c r="K28" s="635"/>
      <c r="L28" s="631"/>
    </row>
    <row r="29" spans="1:13">
      <c r="A29" s="395" t="s">
        <v>701</v>
      </c>
      <c r="B29" s="396" t="s">
        <v>619</v>
      </c>
      <c r="C29" s="631">
        <f>(1500000*1.27)</f>
        <v>1905000</v>
      </c>
      <c r="D29" s="632" t="s">
        <v>697</v>
      </c>
      <c r="E29" s="631"/>
      <c r="F29" s="631">
        <f>(1500000*1.27)</f>
        <v>1905000</v>
      </c>
      <c r="G29" s="631">
        <f>(1500000*1.27)</f>
        <v>1905000</v>
      </c>
      <c r="H29" s="636"/>
      <c r="I29" s="634">
        <f>J29+K29+L29</f>
        <v>1905000.17</v>
      </c>
      <c r="J29" s="631">
        <f>(1500000*1.27)</f>
        <v>1905000</v>
      </c>
      <c r="K29" s="635">
        <f>(2162371*1.27)-(2162371+583840)</f>
        <v>0.16999999992549419</v>
      </c>
      <c r="L29" s="631"/>
    </row>
    <row r="30" spans="1:13" ht="24.75" customHeight="1">
      <c r="A30" s="395" t="s">
        <v>598</v>
      </c>
      <c r="B30" s="396" t="s">
        <v>620</v>
      </c>
      <c r="C30" s="631">
        <f>(300000*1.27)</f>
        <v>381000</v>
      </c>
      <c r="D30" s="632" t="s">
        <v>697</v>
      </c>
      <c r="E30" s="631"/>
      <c r="F30" s="631">
        <f>(300000*1.27)</f>
        <v>381000</v>
      </c>
      <c r="G30" s="631">
        <f>(300000*1.27)</f>
        <v>381000</v>
      </c>
      <c r="H30" s="636"/>
      <c r="I30" s="634">
        <f t="shared" ref="I30:I41" si="2">J30+K30+L30</f>
        <v>381000</v>
      </c>
      <c r="J30" s="631">
        <f>(300000*1.27)</f>
        <v>381000</v>
      </c>
      <c r="K30" s="635"/>
      <c r="L30" s="631"/>
    </row>
    <row r="31" spans="1:13" ht="24.75" customHeight="1">
      <c r="A31" s="395" t="s">
        <v>705</v>
      </c>
      <c r="B31" s="396" t="s">
        <v>617</v>
      </c>
      <c r="C31" s="631">
        <f>(1200000*1.27)+(690120*1.27)</f>
        <v>2400452.4</v>
      </c>
      <c r="D31" s="632" t="s">
        <v>697</v>
      </c>
      <c r="E31" s="631"/>
      <c r="F31" s="631">
        <f>(1200000*1.27)+(690120*1.27)</f>
        <v>2400452.4</v>
      </c>
      <c r="G31" s="631">
        <f>(1200000*1.27)+(690120*1.27)</f>
        <v>2400452.4</v>
      </c>
      <c r="H31" s="631"/>
      <c r="I31" s="634">
        <f t="shared" si="2"/>
        <v>2400452.4</v>
      </c>
      <c r="J31" s="631">
        <f>(1200000*1.27)+(690120*1.27)</f>
        <v>2400452.4</v>
      </c>
      <c r="K31" s="635"/>
      <c r="L31" s="631"/>
    </row>
    <row r="32" spans="1:13" ht="24.75" customHeight="1">
      <c r="A32" s="395" t="s">
        <v>658</v>
      </c>
      <c r="B32" s="396" t="s">
        <v>617</v>
      </c>
      <c r="C32" s="631">
        <f>(100000*1.27)</f>
        <v>127000</v>
      </c>
      <c r="D32" s="632" t="s">
        <v>699</v>
      </c>
      <c r="E32" s="631"/>
      <c r="F32" s="631">
        <f>(100000*1.27)</f>
        <v>127000</v>
      </c>
      <c r="G32" s="631">
        <f>(100000*1.27)</f>
        <v>127000</v>
      </c>
      <c r="H32" s="631"/>
      <c r="I32" s="634">
        <f t="shared" si="2"/>
        <v>127000</v>
      </c>
      <c r="J32" s="631">
        <f>(100000*1.27)</f>
        <v>127000</v>
      </c>
      <c r="K32" s="635"/>
      <c r="L32" s="631"/>
    </row>
    <row r="33" spans="1:12" ht="30.95" customHeight="1">
      <c r="A33" s="395" t="s">
        <v>634</v>
      </c>
      <c r="B33" s="396" t="s">
        <v>617</v>
      </c>
      <c r="C33" s="631">
        <f>(2103040*1.27)</f>
        <v>2670860.7999999998</v>
      </c>
      <c r="D33" s="632" t="s">
        <v>699</v>
      </c>
      <c r="E33" s="631"/>
      <c r="F33" s="631">
        <f>(2103040*1.27)</f>
        <v>2670860.7999999998</v>
      </c>
      <c r="G33" s="631">
        <f>(2103040*1.27)</f>
        <v>2670860.7999999998</v>
      </c>
      <c r="H33" s="631"/>
      <c r="I33" s="634">
        <f>J33+K33+L33</f>
        <v>2670860.7999999998</v>
      </c>
      <c r="J33" s="635"/>
      <c r="K33" s="635"/>
      <c r="L33" s="631">
        <f>(2103040*1.27)</f>
        <v>2670860.7999999998</v>
      </c>
    </row>
    <row r="34" spans="1:12" ht="32.450000000000003" customHeight="1">
      <c r="A34" s="395" t="s">
        <v>635</v>
      </c>
      <c r="B34" s="396" t="s">
        <v>617</v>
      </c>
      <c r="C34" s="631">
        <f>(28990434*1.27)</f>
        <v>36817851.18</v>
      </c>
      <c r="D34" s="632" t="s">
        <v>699</v>
      </c>
      <c r="E34" s="631"/>
      <c r="F34" s="631">
        <f>(28990434*1.27)</f>
        <v>36817851.18</v>
      </c>
      <c r="G34" s="631">
        <f>(28990434*1.27)</f>
        <v>36817851.18</v>
      </c>
      <c r="H34" s="631"/>
      <c r="I34" s="634">
        <f>J34+K34+L34</f>
        <v>36817851.18</v>
      </c>
      <c r="J34" s="635"/>
      <c r="K34" s="635"/>
      <c r="L34" s="631">
        <f>(28990434*1.27)</f>
        <v>36817851.18</v>
      </c>
    </row>
    <row r="35" spans="1:12" ht="24.75" customHeight="1">
      <c r="A35" s="395" t="s">
        <v>706</v>
      </c>
      <c r="B35" s="396" t="s">
        <v>617</v>
      </c>
      <c r="C35" s="631">
        <f>(11517500*1.27)</f>
        <v>14627225</v>
      </c>
      <c r="D35" s="632" t="s">
        <v>697</v>
      </c>
      <c r="E35" s="631"/>
      <c r="F35" s="631">
        <f>(11517500*1.27)</f>
        <v>14627225</v>
      </c>
      <c r="G35" s="631">
        <f>(11517500*1.27)-14627225</f>
        <v>0</v>
      </c>
      <c r="H35" s="631"/>
      <c r="I35" s="634">
        <f>J35+K35+L35</f>
        <v>0</v>
      </c>
      <c r="J35" s="635"/>
      <c r="K35" s="635">
        <f>G35-L35</f>
        <v>0</v>
      </c>
      <c r="L35" s="631">
        <f>7313612-7313612</f>
        <v>0</v>
      </c>
    </row>
    <row r="36" spans="1:12" ht="24.75" customHeight="1">
      <c r="A36" s="395" t="s">
        <v>707</v>
      </c>
      <c r="B36" s="396" t="s">
        <v>708</v>
      </c>
      <c r="C36" s="631">
        <f>(100000*1.27)+(30000*1.27)</f>
        <v>165100</v>
      </c>
      <c r="D36" s="632" t="s">
        <v>697</v>
      </c>
      <c r="E36" s="631"/>
      <c r="F36" s="631">
        <f>(100000*1.27)+(30000*1.27)</f>
        <v>165100</v>
      </c>
      <c r="G36" s="631">
        <f>(100000*1.27)+(30000*1.27)</f>
        <v>165100</v>
      </c>
      <c r="H36" s="636"/>
      <c r="I36" s="634">
        <f t="shared" si="2"/>
        <v>165100</v>
      </c>
      <c r="J36" s="631">
        <f>(100000*1.27)+(30000*1.27)</f>
        <v>165100</v>
      </c>
      <c r="K36" s="635"/>
      <c r="L36" s="631"/>
    </row>
    <row r="37" spans="1:12" ht="24.75" customHeight="1">
      <c r="A37" s="395" t="s">
        <v>623</v>
      </c>
      <c r="B37" s="396" t="s">
        <v>621</v>
      </c>
      <c r="C37" s="631">
        <f>(300000*1.27)</f>
        <v>381000</v>
      </c>
      <c r="D37" s="632" t="s">
        <v>697</v>
      </c>
      <c r="E37" s="631"/>
      <c r="F37" s="631">
        <f>(300000*1.27)</f>
        <v>381000</v>
      </c>
      <c r="G37" s="631">
        <f>(300000*1.27)</f>
        <v>381000</v>
      </c>
      <c r="H37" s="636"/>
      <c r="I37" s="634">
        <f t="shared" si="2"/>
        <v>381000</v>
      </c>
      <c r="J37" s="631">
        <f>(300000*1.27)</f>
        <v>381000</v>
      </c>
      <c r="K37" s="635"/>
      <c r="L37" s="631"/>
    </row>
    <row r="38" spans="1:12" ht="24.75" customHeight="1">
      <c r="A38" s="395" t="s">
        <v>601</v>
      </c>
      <c r="B38" s="396" t="s">
        <v>622</v>
      </c>
      <c r="C38" s="631">
        <f>(180000*1.27)</f>
        <v>228600</v>
      </c>
      <c r="D38" s="632" t="s">
        <v>697</v>
      </c>
      <c r="E38" s="631"/>
      <c r="F38" s="631">
        <f>(180000*1.27)</f>
        <v>228600</v>
      </c>
      <c r="G38" s="631">
        <f>(180000*1.27)</f>
        <v>228600</v>
      </c>
      <c r="H38" s="636"/>
      <c r="I38" s="634">
        <f t="shared" si="2"/>
        <v>228600</v>
      </c>
      <c r="J38" s="631">
        <f>(180000*1.27)</f>
        <v>228600</v>
      </c>
      <c r="K38" s="635"/>
      <c r="L38" s="631"/>
    </row>
    <row r="39" spans="1:12" ht="24.75" customHeight="1">
      <c r="A39" s="395" t="s">
        <v>709</v>
      </c>
      <c r="B39" s="396" t="s">
        <v>618</v>
      </c>
      <c r="C39" s="631">
        <f>(6000000*1.27)+(200000*1.27)</f>
        <v>7874000</v>
      </c>
      <c r="D39" s="632" t="s">
        <v>697</v>
      </c>
      <c r="E39" s="631"/>
      <c r="F39" s="631">
        <f>(6000000*1.27)+(200000*1.27)</f>
        <v>7874000</v>
      </c>
      <c r="G39" s="631">
        <f>(6000000*1.27)+(200000*1.27)</f>
        <v>7874000</v>
      </c>
      <c r="H39" s="636"/>
      <c r="I39" s="634">
        <f t="shared" si="2"/>
        <v>7874000</v>
      </c>
      <c r="J39" s="631">
        <f>(6000000*1.27)+(200000*1.27)</f>
        <v>7874000</v>
      </c>
      <c r="K39" s="635"/>
      <c r="L39" s="631"/>
    </row>
    <row r="40" spans="1:12" ht="24.75" customHeight="1">
      <c r="A40" s="395" t="s">
        <v>660</v>
      </c>
      <c r="B40" s="396" t="s">
        <v>614</v>
      </c>
      <c r="C40" s="631">
        <f>(490200*1.27)</f>
        <v>622554</v>
      </c>
      <c r="D40" s="632" t="s">
        <v>697</v>
      </c>
      <c r="E40" s="631"/>
      <c r="F40" s="631">
        <f>(490200*1.27)</f>
        <v>622554</v>
      </c>
      <c r="G40" s="631">
        <f>(490200*1.27)</f>
        <v>622554</v>
      </c>
      <c r="H40" s="633"/>
      <c r="I40" s="634">
        <f t="shared" si="2"/>
        <v>622554</v>
      </c>
      <c r="J40" s="631">
        <f>(490200*1.27)</f>
        <v>622554</v>
      </c>
      <c r="K40" s="635"/>
      <c r="L40" s="631"/>
    </row>
    <row r="41" spans="1:12" ht="24.75" customHeight="1">
      <c r="A41" s="395" t="s">
        <v>673</v>
      </c>
      <c r="B41" s="396" t="s">
        <v>672</v>
      </c>
      <c r="C41" s="631">
        <f>(209000*1.27)</f>
        <v>265430</v>
      </c>
      <c r="D41" s="632" t="s">
        <v>697</v>
      </c>
      <c r="E41" s="631"/>
      <c r="F41" s="631">
        <f>(209000*1.27)</f>
        <v>265430</v>
      </c>
      <c r="G41" s="631">
        <f>(209000*1.27)</f>
        <v>265430</v>
      </c>
      <c r="H41" s="633"/>
      <c r="I41" s="634">
        <f t="shared" si="2"/>
        <v>265430</v>
      </c>
      <c r="J41" s="631">
        <v>26670</v>
      </c>
      <c r="K41" s="635"/>
      <c r="L41" s="631">
        <f>(209000*1.27)-26670</f>
        <v>238760</v>
      </c>
    </row>
    <row r="42" spans="1:12" s="399" customFormat="1" ht="24.75" customHeight="1">
      <c r="A42" s="397" t="s">
        <v>605</v>
      </c>
      <c r="B42" s="398"/>
      <c r="C42" s="637">
        <f>SUM(C29:C41)</f>
        <v>68466073.379999995</v>
      </c>
      <c r="D42" s="637"/>
      <c r="E42" s="637"/>
      <c r="F42" s="637">
        <f>SUM(F29:F41)</f>
        <v>68466073.379999995</v>
      </c>
      <c r="G42" s="637">
        <f t="shared" ref="G42:L42" si="3">SUM(G29:G41)</f>
        <v>53838848.380000003</v>
      </c>
      <c r="H42" s="637">
        <f t="shared" si="3"/>
        <v>0</v>
      </c>
      <c r="I42" s="637">
        <f t="shared" si="3"/>
        <v>53838848.549999997</v>
      </c>
      <c r="J42" s="637">
        <f t="shared" si="3"/>
        <v>14111376.4</v>
      </c>
      <c r="K42" s="637">
        <f t="shared" si="3"/>
        <v>0.16999999992549419</v>
      </c>
      <c r="L42" s="637">
        <f t="shared" si="3"/>
        <v>39727471.979999997</v>
      </c>
    </row>
    <row r="43" spans="1:12" ht="15.95" customHeight="1">
      <c r="A43" s="395"/>
      <c r="B43" s="396"/>
      <c r="C43" s="631"/>
      <c r="D43" s="632"/>
      <c r="E43" s="631"/>
      <c r="F43" s="631"/>
      <c r="G43" s="631"/>
      <c r="H43" s="636"/>
      <c r="I43" s="634"/>
      <c r="J43" s="635"/>
      <c r="K43" s="635"/>
      <c r="L43" s="631"/>
    </row>
    <row r="44" spans="1:12" ht="15.95" customHeight="1">
      <c r="A44" s="395" t="s">
        <v>702</v>
      </c>
      <c r="B44" s="396"/>
      <c r="C44" s="631"/>
      <c r="D44" s="632"/>
      <c r="E44" s="631"/>
      <c r="F44" s="631"/>
      <c r="G44" s="631"/>
      <c r="H44" s="636"/>
      <c r="I44" s="634">
        <f>J44+K44+L44</f>
        <v>0</v>
      </c>
      <c r="J44" s="635"/>
      <c r="K44" s="635"/>
      <c r="L44" s="631"/>
    </row>
    <row r="45" spans="1:12" s="399" customFormat="1" ht="15.95" customHeight="1">
      <c r="A45" s="397" t="s">
        <v>629</v>
      </c>
      <c r="B45" s="398"/>
      <c r="C45" s="637">
        <f>SUM(C44)</f>
        <v>0</v>
      </c>
      <c r="D45" s="637"/>
      <c r="E45" s="637">
        <f t="shared" ref="E45:L45" si="4">SUM(E44)</f>
        <v>0</v>
      </c>
      <c r="F45" s="637">
        <f>SUM(F44)</f>
        <v>0</v>
      </c>
      <c r="G45" s="637">
        <f t="shared" si="4"/>
        <v>0</v>
      </c>
      <c r="H45" s="637">
        <f t="shared" si="4"/>
        <v>0</v>
      </c>
      <c r="I45" s="637">
        <f t="shared" si="4"/>
        <v>0</v>
      </c>
      <c r="J45" s="637">
        <f t="shared" si="4"/>
        <v>0</v>
      </c>
      <c r="K45" s="637">
        <f t="shared" si="4"/>
        <v>0</v>
      </c>
      <c r="L45" s="637">
        <f t="shared" si="4"/>
        <v>0</v>
      </c>
    </row>
    <row r="46" spans="1:12" ht="15.95" customHeight="1">
      <c r="A46" s="395"/>
      <c r="B46" s="396"/>
      <c r="C46" s="631"/>
      <c r="D46" s="632"/>
      <c r="E46" s="631"/>
      <c r="F46" s="631"/>
      <c r="G46" s="631"/>
      <c r="H46" s="636"/>
      <c r="I46" s="634"/>
      <c r="J46" s="635"/>
      <c r="K46" s="635"/>
      <c r="L46" s="631"/>
    </row>
    <row r="47" spans="1:12" ht="15.95" customHeight="1">
      <c r="A47" s="395"/>
      <c r="B47" s="396"/>
      <c r="C47" s="631"/>
      <c r="D47" s="632"/>
      <c r="E47" s="631"/>
      <c r="F47" s="631"/>
      <c r="G47" s="631"/>
      <c r="H47" s="636"/>
      <c r="I47" s="634"/>
      <c r="J47" s="635"/>
      <c r="K47" s="635"/>
      <c r="L47" s="631"/>
    </row>
    <row r="48" spans="1:12" ht="15.95" customHeight="1">
      <c r="A48" s="395"/>
      <c r="B48" s="396"/>
      <c r="C48" s="631"/>
      <c r="D48" s="632"/>
      <c r="E48" s="631"/>
      <c r="F48" s="631"/>
      <c r="G48" s="631"/>
      <c r="H48" s="636"/>
      <c r="I48" s="634"/>
      <c r="J48" s="635"/>
      <c r="K48" s="635"/>
      <c r="L48" s="631"/>
    </row>
    <row r="49" spans="1:12" ht="15.95" customHeight="1">
      <c r="A49" s="395"/>
      <c r="B49" s="396"/>
      <c r="C49" s="631"/>
      <c r="D49" s="632"/>
      <c r="E49" s="631"/>
      <c r="F49" s="631"/>
      <c r="G49" s="631"/>
      <c r="H49" s="636"/>
      <c r="I49" s="634"/>
      <c r="J49" s="635"/>
      <c r="K49" s="635"/>
      <c r="L49" s="631"/>
    </row>
    <row r="50" spans="1:12" ht="15.95" customHeight="1" thickBot="1">
      <c r="A50" s="395"/>
      <c r="B50" s="396"/>
      <c r="C50" s="631"/>
      <c r="D50" s="632"/>
      <c r="E50" s="631"/>
      <c r="F50" s="631"/>
      <c r="G50" s="631"/>
      <c r="H50" s="636"/>
      <c r="I50" s="634"/>
      <c r="J50" s="635"/>
      <c r="K50" s="635"/>
      <c r="L50" s="631"/>
    </row>
    <row r="51" spans="1:12" s="196" customFormat="1" ht="18" customHeight="1" thickBot="1">
      <c r="A51" s="400" t="s">
        <v>606</v>
      </c>
      <c r="B51" s="401"/>
      <c r="C51" s="655">
        <f>C11+C23+C27+C42+C45</f>
        <v>304325564.38</v>
      </c>
      <c r="D51" s="655"/>
      <c r="E51" s="655">
        <f t="shared" ref="E51:L51" si="5">E11+E23+E27+E42+E45</f>
        <v>0</v>
      </c>
      <c r="F51" s="655">
        <f>F11+F23+F27+F42+F45</f>
        <v>304198564.38</v>
      </c>
      <c r="G51" s="655">
        <f t="shared" si="5"/>
        <v>289698339.38</v>
      </c>
      <c r="H51" s="655">
        <f t="shared" si="5"/>
        <v>0</v>
      </c>
      <c r="I51" s="655">
        <f t="shared" si="5"/>
        <v>289571339.55000001</v>
      </c>
      <c r="J51" s="655">
        <f t="shared" si="5"/>
        <v>38967266.399999999</v>
      </c>
      <c r="K51" s="655">
        <f t="shared" si="5"/>
        <v>0.16999999992549419</v>
      </c>
      <c r="L51" s="655">
        <f t="shared" si="5"/>
        <v>250731072.97999999</v>
      </c>
    </row>
    <row r="56" spans="1:12">
      <c r="A56" s="375"/>
    </row>
    <row r="60" spans="1:12">
      <c r="A60" s="375"/>
    </row>
  </sheetData>
  <mergeCells count="3">
    <mergeCell ref="A5:L5"/>
    <mergeCell ref="G1:L1"/>
    <mergeCell ref="A1:B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45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rowBreaks count="1" manualBreakCount="1">
    <brk id="23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M22"/>
  <sheetViews>
    <sheetView view="pageLayout" zoomScaleNormal="100" workbookViewId="0">
      <selection activeCell="A16" sqref="A16"/>
    </sheetView>
  </sheetViews>
  <sheetFormatPr defaultRowHeight="12.75"/>
  <cols>
    <col min="1" max="1" width="40.33203125" style="215" bestFit="1" customWidth="1"/>
    <col min="2" max="2" width="21" style="215" bestFit="1" customWidth="1"/>
    <col min="3" max="3" width="14.33203125" style="216" bestFit="1" customWidth="1"/>
    <col min="4" max="4" width="13.6640625" style="216" bestFit="1" customWidth="1"/>
    <col min="5" max="5" width="13" style="216" bestFit="1" customWidth="1"/>
    <col min="6" max="7" width="12.1640625" style="216" bestFit="1" customWidth="1"/>
    <col min="8" max="8" width="11.1640625" style="216" bestFit="1" customWidth="1"/>
    <col min="9" max="9" width="12.1640625" style="223" bestFit="1" customWidth="1"/>
    <col min="10" max="10" width="11.5" style="216" bestFit="1" customWidth="1"/>
    <col min="11" max="12" width="12.1640625" style="216" bestFit="1" customWidth="1"/>
    <col min="13" max="13" width="12.83203125" style="216" customWidth="1"/>
    <col min="14" max="16384" width="9.33203125" style="216"/>
  </cols>
  <sheetData>
    <row r="1" spans="1:13">
      <c r="A1" s="728" t="s">
        <v>711</v>
      </c>
      <c r="B1" s="728"/>
      <c r="C1" s="728"/>
      <c r="D1" s="728"/>
      <c r="E1" s="728"/>
      <c r="F1" s="728"/>
      <c r="G1" s="728"/>
      <c r="H1" s="728"/>
      <c r="I1" s="216"/>
    </row>
    <row r="2" spans="1:13" ht="14.25" thickBot="1">
      <c r="H2" s="597" t="s">
        <v>581</v>
      </c>
      <c r="I2" s="598" t="s">
        <v>581</v>
      </c>
    </row>
    <row r="3" spans="1:13" s="165" customFormat="1" ht="39" thickBot="1">
      <c r="A3" s="217" t="s">
        <v>62</v>
      </c>
      <c r="B3" s="218" t="s">
        <v>613</v>
      </c>
      <c r="C3" s="507" t="s">
        <v>60</v>
      </c>
      <c r="D3" s="507" t="s">
        <v>61</v>
      </c>
      <c r="E3" s="507" t="s">
        <v>676</v>
      </c>
      <c r="F3" s="507" t="s">
        <v>692</v>
      </c>
      <c r="G3" s="507" t="s">
        <v>717</v>
      </c>
      <c r="H3" s="599" t="s">
        <v>691</v>
      </c>
      <c r="I3" s="600" t="s">
        <v>611</v>
      </c>
      <c r="J3" s="601" t="s">
        <v>609</v>
      </c>
      <c r="K3" s="601" t="s">
        <v>610</v>
      </c>
      <c r="L3" s="602" t="s">
        <v>607</v>
      </c>
    </row>
    <row r="4" spans="1:13" ht="13.5" thickBot="1">
      <c r="A4" s="219" t="s">
        <v>483</v>
      </c>
      <c r="B4" s="220"/>
      <c r="C4" s="603" t="s">
        <v>484</v>
      </c>
      <c r="D4" s="603" t="s">
        <v>485</v>
      </c>
      <c r="E4" s="603" t="s">
        <v>487</v>
      </c>
      <c r="F4" s="641" t="s">
        <v>486</v>
      </c>
      <c r="G4" s="641" t="s">
        <v>486</v>
      </c>
      <c r="H4" s="604" t="s">
        <v>488</v>
      </c>
      <c r="I4" s="605"/>
      <c r="J4" s="606"/>
      <c r="K4" s="606"/>
      <c r="L4" s="603"/>
    </row>
    <row r="5" spans="1:13" s="391" customFormat="1">
      <c r="A5" s="389" t="s">
        <v>641</v>
      </c>
      <c r="B5" s="390" t="s">
        <v>614</v>
      </c>
      <c r="C5" s="593">
        <f>(200000*1.27)</f>
        <v>254000</v>
      </c>
      <c r="D5" s="594" t="s">
        <v>697</v>
      </c>
      <c r="E5" s="593"/>
      <c r="F5" s="593">
        <f>(200000*1.27)</f>
        <v>254000</v>
      </c>
      <c r="G5" s="593">
        <f>(200000*1.27)</f>
        <v>254000</v>
      </c>
      <c r="H5" s="595"/>
      <c r="I5" s="593">
        <f t="shared" ref="I5:I11" si="0">J5+K5+L5</f>
        <v>254000</v>
      </c>
      <c r="J5" s="596">
        <f>(200000*1.27)</f>
        <v>254000</v>
      </c>
      <c r="K5" s="596"/>
      <c r="L5" s="593"/>
      <c r="M5" s="216"/>
    </row>
    <row r="6" spans="1:13" s="391" customFormat="1">
      <c r="A6" s="389" t="s">
        <v>696</v>
      </c>
      <c r="B6" s="390" t="s">
        <v>628</v>
      </c>
      <c r="C6" s="593">
        <f>(250000*1.27)</f>
        <v>317500</v>
      </c>
      <c r="D6" s="594" t="s">
        <v>697</v>
      </c>
      <c r="E6" s="593"/>
      <c r="F6" s="593">
        <f>(250000*1.27)</f>
        <v>317500</v>
      </c>
      <c r="G6" s="593">
        <f>(250000*1.27)</f>
        <v>317500</v>
      </c>
      <c r="H6" s="595"/>
      <c r="I6" s="593">
        <f t="shared" si="0"/>
        <v>317500</v>
      </c>
      <c r="J6" s="596">
        <f>(250000*1.27)</f>
        <v>317500</v>
      </c>
      <c r="K6" s="596"/>
      <c r="L6" s="593"/>
      <c r="M6" s="216"/>
    </row>
    <row r="7" spans="1:13" s="391" customFormat="1">
      <c r="A7" s="389" t="s">
        <v>642</v>
      </c>
      <c r="B7" s="390" t="s">
        <v>698</v>
      </c>
      <c r="C7" s="593">
        <f>81101957+1488240</f>
        <v>82590197</v>
      </c>
      <c r="D7" s="594" t="s">
        <v>699</v>
      </c>
      <c r="E7" s="593"/>
      <c r="F7" s="593">
        <f>81101957+1488240</f>
        <v>82590197</v>
      </c>
      <c r="G7" s="593">
        <f>81101957+1488240</f>
        <v>82590197</v>
      </c>
      <c r="H7" s="595"/>
      <c r="I7" s="593">
        <f t="shared" si="0"/>
        <v>82590197</v>
      </c>
      <c r="J7" s="607">
        <f>5512000*1.27</f>
        <v>7000240</v>
      </c>
      <c r="K7" s="607">
        <v>40634177</v>
      </c>
      <c r="L7" s="593">
        <v>34955780</v>
      </c>
    </row>
    <row r="8" spans="1:13" s="391" customFormat="1">
      <c r="A8" s="389" t="s">
        <v>654</v>
      </c>
      <c r="B8" s="390" t="s">
        <v>618</v>
      </c>
      <c r="C8" s="593">
        <f>(5000000*1.27)</f>
        <v>6350000</v>
      </c>
      <c r="D8" s="594" t="s">
        <v>699</v>
      </c>
      <c r="E8" s="593"/>
      <c r="F8" s="593">
        <f>(5000000*1.27)</f>
        <v>6350000</v>
      </c>
      <c r="G8" s="593">
        <f>(5000000*1.27)</f>
        <v>6350000</v>
      </c>
      <c r="H8" s="595"/>
      <c r="I8" s="593">
        <f t="shared" si="0"/>
        <v>6350000</v>
      </c>
      <c r="J8" s="607">
        <f>(5000000*1.27)</f>
        <v>6350000</v>
      </c>
      <c r="K8" s="607"/>
      <c r="L8" s="593"/>
    </row>
    <row r="9" spans="1:13" s="391" customFormat="1">
      <c r="A9" s="389"/>
      <c r="B9" s="390"/>
      <c r="C9" s="593"/>
      <c r="D9" s="594"/>
      <c r="E9" s="593"/>
      <c r="F9" s="593"/>
      <c r="G9" s="593"/>
      <c r="H9" s="595"/>
      <c r="I9" s="593">
        <f t="shared" si="0"/>
        <v>0</v>
      </c>
      <c r="J9" s="607"/>
      <c r="K9" s="607"/>
      <c r="L9" s="593"/>
    </row>
    <row r="10" spans="1:13" s="391" customFormat="1">
      <c r="A10" s="389"/>
      <c r="B10" s="390"/>
      <c r="C10" s="593"/>
      <c r="D10" s="594"/>
      <c r="E10" s="593"/>
      <c r="F10" s="593"/>
      <c r="G10" s="593"/>
      <c r="H10" s="595"/>
      <c r="I10" s="593">
        <f t="shared" si="0"/>
        <v>0</v>
      </c>
      <c r="J10" s="607"/>
      <c r="K10" s="607"/>
      <c r="L10" s="593"/>
    </row>
    <row r="11" spans="1:13" s="391" customFormat="1">
      <c r="A11" s="389" t="s">
        <v>700</v>
      </c>
      <c r="B11" s="390" t="s">
        <v>618</v>
      </c>
      <c r="C11" s="593">
        <f>(60000*1.27)</f>
        <v>76200</v>
      </c>
      <c r="D11" s="594" t="s">
        <v>697</v>
      </c>
      <c r="E11" s="593"/>
      <c r="F11" s="593">
        <f>(60000*1.27)</f>
        <v>76200</v>
      </c>
      <c r="G11" s="593">
        <f>(60000*1.27)</f>
        <v>76200</v>
      </c>
      <c r="H11" s="595"/>
      <c r="I11" s="593">
        <f t="shared" si="0"/>
        <v>76200</v>
      </c>
      <c r="J11" s="607">
        <f>(60000*1.27)</f>
        <v>76200</v>
      </c>
      <c r="K11" s="607"/>
      <c r="L11" s="593"/>
    </row>
    <row r="12" spans="1:13">
      <c r="A12" s="436"/>
      <c r="B12" s="437"/>
      <c r="C12" s="608"/>
      <c r="D12" s="221"/>
      <c r="E12" s="608"/>
      <c r="F12" s="608"/>
      <c r="G12" s="608"/>
      <c r="H12" s="609"/>
      <c r="I12" s="608"/>
      <c r="J12" s="596"/>
      <c r="K12" s="596"/>
      <c r="L12" s="608"/>
    </row>
    <row r="13" spans="1:13">
      <c r="A13" s="436"/>
      <c r="B13" s="437"/>
      <c r="C13" s="608"/>
      <c r="D13" s="221"/>
      <c r="E13" s="608"/>
      <c r="F13" s="608"/>
      <c r="G13" s="608"/>
      <c r="H13" s="609"/>
      <c r="I13" s="608"/>
      <c r="J13" s="596"/>
      <c r="K13" s="596"/>
      <c r="L13" s="608"/>
    </row>
    <row r="14" spans="1:13">
      <c r="A14" s="436"/>
      <c r="B14" s="437"/>
      <c r="C14" s="608"/>
      <c r="D14" s="221"/>
      <c r="E14" s="608"/>
      <c r="F14" s="608"/>
      <c r="G14" s="608"/>
      <c r="H14" s="609"/>
      <c r="I14" s="608"/>
      <c r="J14" s="596"/>
      <c r="K14" s="596"/>
      <c r="L14" s="608"/>
    </row>
    <row r="15" spans="1:13">
      <c r="A15" s="436"/>
      <c r="B15" s="437"/>
      <c r="C15" s="608"/>
      <c r="D15" s="221"/>
      <c r="E15" s="608"/>
      <c r="F15" s="608"/>
      <c r="G15" s="608"/>
      <c r="H15" s="609"/>
      <c r="I15" s="608"/>
      <c r="J15" s="596"/>
      <c r="K15" s="596"/>
      <c r="L15" s="608"/>
    </row>
    <row r="16" spans="1:13">
      <c r="A16" s="436"/>
      <c r="B16" s="437"/>
      <c r="C16" s="608"/>
      <c r="D16" s="221"/>
      <c r="E16" s="608"/>
      <c r="F16" s="608"/>
      <c r="G16" s="608"/>
      <c r="H16" s="609"/>
      <c r="I16" s="608"/>
      <c r="J16" s="596"/>
      <c r="K16" s="596"/>
      <c r="L16" s="608"/>
    </row>
    <row r="17" spans="1:13">
      <c r="A17" s="436"/>
      <c r="B17" s="437"/>
      <c r="C17" s="608"/>
      <c r="D17" s="221"/>
      <c r="E17" s="608"/>
      <c r="F17" s="608"/>
      <c r="G17" s="608"/>
      <c r="H17" s="609"/>
      <c r="I17" s="608"/>
      <c r="J17" s="596"/>
      <c r="K17" s="596"/>
      <c r="L17" s="608"/>
    </row>
    <row r="18" spans="1:13">
      <c r="A18" s="436"/>
      <c r="B18" s="437"/>
      <c r="C18" s="608"/>
      <c r="D18" s="221"/>
      <c r="E18" s="608"/>
      <c r="F18" s="608"/>
      <c r="G18" s="608"/>
      <c r="H18" s="609"/>
      <c r="I18" s="608"/>
      <c r="J18" s="596"/>
      <c r="K18" s="596"/>
      <c r="L18" s="608"/>
    </row>
    <row r="19" spans="1:13">
      <c r="A19" s="436"/>
      <c r="B19" s="437"/>
      <c r="C19" s="608"/>
      <c r="D19" s="221"/>
      <c r="E19" s="608"/>
      <c r="F19" s="608"/>
      <c r="G19" s="608"/>
      <c r="H19" s="609"/>
      <c r="I19" s="608"/>
      <c r="J19" s="596"/>
      <c r="K19" s="596"/>
      <c r="L19" s="608"/>
    </row>
    <row r="20" spans="1:13">
      <c r="A20" s="436"/>
      <c r="B20" s="437"/>
      <c r="C20" s="608"/>
      <c r="D20" s="221"/>
      <c r="E20" s="608"/>
      <c r="F20" s="608"/>
      <c r="G20" s="608"/>
      <c r="H20" s="609"/>
      <c r="I20" s="608"/>
      <c r="J20" s="596"/>
      <c r="K20" s="596"/>
      <c r="L20" s="608"/>
    </row>
    <row r="21" spans="1:13" ht="14.25" thickBot="1">
      <c r="A21" s="438"/>
      <c r="B21" s="439"/>
      <c r="C21" s="610"/>
      <c r="D21" s="222"/>
      <c r="E21" s="610"/>
      <c r="F21" s="610"/>
      <c r="G21" s="610"/>
      <c r="H21" s="611"/>
      <c r="I21" s="610"/>
      <c r="J21" s="612"/>
      <c r="K21" s="612"/>
      <c r="L21" s="610"/>
      <c r="M21" s="392"/>
    </row>
    <row r="22" spans="1:13" s="223" customFormat="1" ht="13.5" thickBot="1">
      <c r="A22" s="393" t="s">
        <v>58</v>
      </c>
      <c r="B22" s="394"/>
      <c r="C22" s="613">
        <f>C5+C6+C7+C8+C11</f>
        <v>89587897</v>
      </c>
      <c r="D22" s="613"/>
      <c r="E22" s="613">
        <f t="shared" ref="E22:L22" si="1">E5+E6+E7+E8+E11</f>
        <v>0</v>
      </c>
      <c r="F22" s="613">
        <f>F5+F6+F7+F8+F11</f>
        <v>89587897</v>
      </c>
      <c r="G22" s="613">
        <f t="shared" si="1"/>
        <v>89587897</v>
      </c>
      <c r="H22" s="613">
        <f t="shared" si="1"/>
        <v>0</v>
      </c>
      <c r="I22" s="613">
        <f t="shared" si="1"/>
        <v>89587897</v>
      </c>
      <c r="J22" s="613">
        <f t="shared" si="1"/>
        <v>13997940</v>
      </c>
      <c r="K22" s="613">
        <f t="shared" si="1"/>
        <v>40634177</v>
      </c>
      <c r="L22" s="613">
        <f t="shared" si="1"/>
        <v>34955780</v>
      </c>
      <c r="M22" s="216"/>
    </row>
  </sheetData>
  <mergeCells count="1">
    <mergeCell ref="A1:H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3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2:G52"/>
  <sheetViews>
    <sheetView view="pageLayout" zoomScaleNormal="100" workbookViewId="0">
      <selection activeCell="F38" sqref="F38"/>
    </sheetView>
  </sheetViews>
  <sheetFormatPr defaultRowHeight="12.75"/>
  <cols>
    <col min="1" max="1" width="36.83203125" style="406" bestFit="1" customWidth="1"/>
    <col min="2" max="3" width="5.6640625" style="406" bestFit="1" customWidth="1"/>
    <col min="4" max="4" width="10.1640625" style="406" bestFit="1" customWidth="1"/>
    <col min="5" max="5" width="9.5" style="406" bestFit="1" customWidth="1"/>
    <col min="6" max="16384" width="9.33203125" style="406"/>
  </cols>
  <sheetData>
    <row r="2" spans="1:5">
      <c r="A2" s="293" t="s">
        <v>129</v>
      </c>
      <c r="B2" s="730"/>
      <c r="C2" s="730"/>
      <c r="D2" s="730"/>
      <c r="E2" s="730"/>
    </row>
    <row r="3" spans="1:5" ht="14.25" thickBot="1">
      <c r="D3" s="731" t="s">
        <v>581</v>
      </c>
      <c r="E3" s="731"/>
    </row>
    <row r="4" spans="1:5" ht="15" customHeight="1" thickBot="1">
      <c r="A4" s="381" t="s">
        <v>122</v>
      </c>
      <c r="B4" s="382" t="s">
        <v>595</v>
      </c>
      <c r="C4" s="382" t="s">
        <v>596</v>
      </c>
      <c r="D4" s="382" t="s">
        <v>677</v>
      </c>
      <c r="E4" s="383" t="s">
        <v>46</v>
      </c>
    </row>
    <row r="5" spans="1:5">
      <c r="A5" s="407" t="s">
        <v>123</v>
      </c>
      <c r="B5" s="408"/>
      <c r="C5" s="408"/>
      <c r="D5" s="408"/>
      <c r="E5" s="409">
        <f t="shared" ref="E5:E11" si="0">SUM(B5:D5)</f>
        <v>0</v>
      </c>
    </row>
    <row r="6" spans="1:5">
      <c r="A6" s="384" t="s">
        <v>136</v>
      </c>
      <c r="B6" s="385"/>
      <c r="C6" s="385"/>
      <c r="D6" s="385"/>
      <c r="E6" s="386">
        <f t="shared" si="0"/>
        <v>0</v>
      </c>
    </row>
    <row r="7" spans="1:5">
      <c r="A7" s="410" t="s">
        <v>124</v>
      </c>
      <c r="B7" s="411"/>
      <c r="C7" s="411"/>
      <c r="D7" s="411"/>
      <c r="E7" s="412">
        <f t="shared" si="0"/>
        <v>0</v>
      </c>
    </row>
    <row r="8" spans="1:5">
      <c r="A8" s="410" t="s">
        <v>138</v>
      </c>
      <c r="B8" s="411"/>
      <c r="C8" s="411"/>
      <c r="D8" s="411"/>
      <c r="E8" s="412">
        <f t="shared" si="0"/>
        <v>0</v>
      </c>
    </row>
    <row r="9" spans="1:5">
      <c r="A9" s="410" t="s">
        <v>125</v>
      </c>
      <c r="B9" s="411"/>
      <c r="C9" s="411"/>
      <c r="D9" s="411"/>
      <c r="E9" s="412">
        <f t="shared" si="0"/>
        <v>0</v>
      </c>
    </row>
    <row r="10" spans="1:5">
      <c r="A10" s="410" t="s">
        <v>126</v>
      </c>
      <c r="B10" s="411"/>
      <c r="C10" s="411"/>
      <c r="D10" s="411"/>
      <c r="E10" s="412">
        <f t="shared" si="0"/>
        <v>0</v>
      </c>
    </row>
    <row r="11" spans="1:5" ht="13.5" thickBot="1">
      <c r="A11" s="413"/>
      <c r="B11" s="414"/>
      <c r="C11" s="414"/>
      <c r="D11" s="414"/>
      <c r="E11" s="412">
        <f t="shared" si="0"/>
        <v>0</v>
      </c>
    </row>
    <row r="12" spans="1:5" ht="13.5" thickBot="1">
      <c r="A12" s="387" t="s">
        <v>128</v>
      </c>
      <c r="B12" s="415">
        <f>B5+SUM(B7:B11)</f>
        <v>0</v>
      </c>
      <c r="C12" s="415">
        <f>C5+SUM(C7:C11)</f>
        <v>0</v>
      </c>
      <c r="D12" s="415">
        <f>D5+SUM(D7:D11)</f>
        <v>0</v>
      </c>
      <c r="E12" s="416">
        <f>E5+SUM(E7:E11)</f>
        <v>0</v>
      </c>
    </row>
    <row r="13" spans="1:5" ht="13.5" thickBot="1">
      <c r="A13" s="417"/>
      <c r="B13" s="417"/>
      <c r="C13" s="417"/>
      <c r="D13" s="417"/>
      <c r="E13" s="417"/>
    </row>
    <row r="14" spans="1:5" ht="15" customHeight="1" thickBot="1">
      <c r="A14" s="381" t="s">
        <v>127</v>
      </c>
      <c r="B14" s="382" t="str">
        <f>+B4</f>
        <v>2019.</v>
      </c>
      <c r="C14" s="382" t="str">
        <f>+C4</f>
        <v>2020.</v>
      </c>
      <c r="D14" s="382" t="str">
        <f>+D4</f>
        <v>2020.után</v>
      </c>
      <c r="E14" s="383" t="s">
        <v>46</v>
      </c>
    </row>
    <row r="15" spans="1:5">
      <c r="A15" s="407" t="s">
        <v>132</v>
      </c>
      <c r="B15" s="408"/>
      <c r="C15" s="408"/>
      <c r="D15" s="408"/>
      <c r="E15" s="409">
        <f t="shared" ref="E15:E21" si="1">SUM(B15:D15)</f>
        <v>0</v>
      </c>
    </row>
    <row r="16" spans="1:5">
      <c r="A16" s="418" t="s">
        <v>133</v>
      </c>
      <c r="B16" s="411"/>
      <c r="C16" s="411"/>
      <c r="D16" s="411"/>
      <c r="E16" s="412">
        <f t="shared" si="1"/>
        <v>0</v>
      </c>
    </row>
    <row r="17" spans="1:5">
      <c r="A17" s="410" t="s">
        <v>134</v>
      </c>
      <c r="B17" s="411"/>
      <c r="C17" s="411"/>
      <c r="D17" s="411"/>
      <c r="E17" s="412">
        <f t="shared" si="1"/>
        <v>0</v>
      </c>
    </row>
    <row r="18" spans="1:5">
      <c r="A18" s="410" t="s">
        <v>135</v>
      </c>
      <c r="B18" s="411"/>
      <c r="C18" s="411"/>
      <c r="D18" s="411"/>
      <c r="E18" s="412">
        <f t="shared" si="1"/>
        <v>0</v>
      </c>
    </row>
    <row r="19" spans="1:5">
      <c r="A19" s="419"/>
      <c r="B19" s="411"/>
      <c r="C19" s="411"/>
      <c r="D19" s="411"/>
      <c r="E19" s="412">
        <f t="shared" si="1"/>
        <v>0</v>
      </c>
    </row>
    <row r="20" spans="1:5">
      <c r="A20" s="419"/>
      <c r="B20" s="411"/>
      <c r="C20" s="411"/>
      <c r="D20" s="411"/>
      <c r="E20" s="412">
        <f t="shared" si="1"/>
        <v>0</v>
      </c>
    </row>
    <row r="21" spans="1:5" ht="13.5" thickBot="1">
      <c r="A21" s="413"/>
      <c r="B21" s="414"/>
      <c r="C21" s="414"/>
      <c r="D21" s="414"/>
      <c r="E21" s="412">
        <f t="shared" si="1"/>
        <v>0</v>
      </c>
    </row>
    <row r="22" spans="1:5" ht="13.5" thickBot="1">
      <c r="A22" s="387" t="s">
        <v>48</v>
      </c>
      <c r="B22" s="415">
        <f>SUM(B15:B21)</f>
        <v>0</v>
      </c>
      <c r="C22" s="415">
        <f>SUM(C15:C21)</f>
        <v>0</v>
      </c>
      <c r="D22" s="415">
        <f>SUM(D15:D21)</f>
        <v>0</v>
      </c>
      <c r="E22" s="416">
        <f>SUM(E15:E21)</f>
        <v>0</v>
      </c>
    </row>
    <row r="25" spans="1:5">
      <c r="A25" s="293" t="s">
        <v>129</v>
      </c>
      <c r="B25" s="730"/>
      <c r="C25" s="730"/>
      <c r="D25" s="730"/>
      <c r="E25" s="730"/>
    </row>
    <row r="26" spans="1:5" ht="14.25" thickBot="1">
      <c r="D26" s="731" t="s">
        <v>581</v>
      </c>
      <c r="E26" s="731"/>
    </row>
    <row r="27" spans="1:5" ht="13.5" thickBot="1">
      <c r="A27" s="381" t="s">
        <v>122</v>
      </c>
      <c r="B27" s="382" t="str">
        <f>+B14</f>
        <v>2019.</v>
      </c>
      <c r="C27" s="382" t="str">
        <f>+C14</f>
        <v>2020.</v>
      </c>
      <c r="D27" s="382" t="str">
        <f>+D14</f>
        <v>2020.után</v>
      </c>
      <c r="E27" s="383" t="s">
        <v>46</v>
      </c>
    </row>
    <row r="28" spans="1:5">
      <c r="A28" s="407" t="s">
        <v>123</v>
      </c>
      <c r="B28" s="408"/>
      <c r="C28" s="408"/>
      <c r="D28" s="408"/>
      <c r="E28" s="409">
        <f t="shared" ref="E28:E34" si="2">SUM(B28:D28)</f>
        <v>0</v>
      </c>
    </row>
    <row r="29" spans="1:5">
      <c r="A29" s="384" t="s">
        <v>136</v>
      </c>
      <c r="B29" s="385"/>
      <c r="C29" s="385"/>
      <c r="D29" s="385"/>
      <c r="E29" s="386">
        <f t="shared" si="2"/>
        <v>0</v>
      </c>
    </row>
    <row r="30" spans="1:5">
      <c r="A30" s="410" t="s">
        <v>124</v>
      </c>
      <c r="B30" s="411"/>
      <c r="C30" s="411"/>
      <c r="D30" s="411"/>
      <c r="E30" s="412">
        <f t="shared" si="2"/>
        <v>0</v>
      </c>
    </row>
    <row r="31" spans="1:5">
      <c r="A31" s="410" t="s">
        <v>138</v>
      </c>
      <c r="B31" s="411"/>
      <c r="C31" s="411"/>
      <c r="D31" s="411"/>
      <c r="E31" s="412">
        <f t="shared" si="2"/>
        <v>0</v>
      </c>
    </row>
    <row r="32" spans="1:5">
      <c r="A32" s="410" t="s">
        <v>125</v>
      </c>
      <c r="B32" s="411"/>
      <c r="C32" s="411"/>
      <c r="D32" s="411"/>
      <c r="E32" s="412">
        <f t="shared" si="2"/>
        <v>0</v>
      </c>
    </row>
    <row r="33" spans="1:7">
      <c r="A33" s="410" t="s">
        <v>126</v>
      </c>
      <c r="B33" s="411"/>
      <c r="C33" s="411"/>
      <c r="D33" s="411"/>
      <c r="E33" s="412">
        <f t="shared" si="2"/>
        <v>0</v>
      </c>
    </row>
    <row r="34" spans="1:7" ht="13.5" thickBot="1">
      <c r="A34" s="413"/>
      <c r="B34" s="414"/>
      <c r="C34" s="414"/>
      <c r="D34" s="414"/>
      <c r="E34" s="412">
        <f t="shared" si="2"/>
        <v>0</v>
      </c>
    </row>
    <row r="35" spans="1:7" ht="13.5" thickBot="1">
      <c r="A35" s="387" t="s">
        <v>128</v>
      </c>
      <c r="B35" s="415">
        <f>B28+SUM(B30:B34)</f>
        <v>0</v>
      </c>
      <c r="C35" s="415">
        <f>C28+SUM(C30:C34)</f>
        <v>0</v>
      </c>
      <c r="D35" s="415">
        <f>D28+SUM(D30:D34)</f>
        <v>0</v>
      </c>
      <c r="E35" s="416">
        <f>E28+SUM(E30:E34)</f>
        <v>0</v>
      </c>
    </row>
    <row r="36" spans="1:7" ht="13.5" thickBot="1">
      <c r="A36" s="417"/>
      <c r="B36" s="417"/>
      <c r="C36" s="417"/>
      <c r="D36" s="417"/>
      <c r="E36" s="417"/>
    </row>
    <row r="37" spans="1:7" ht="13.5" thickBot="1">
      <c r="A37" s="381" t="s">
        <v>127</v>
      </c>
      <c r="B37" s="382" t="str">
        <f>+B27</f>
        <v>2019.</v>
      </c>
      <c r="C37" s="382" t="str">
        <f>+C27</f>
        <v>2020.</v>
      </c>
      <c r="D37" s="382" t="str">
        <f>+D27</f>
        <v>2020.után</v>
      </c>
      <c r="E37" s="383" t="s">
        <v>46</v>
      </c>
    </row>
    <row r="38" spans="1:7">
      <c r="A38" s="407" t="s">
        <v>132</v>
      </c>
      <c r="B38" s="408"/>
      <c r="C38" s="408"/>
      <c r="D38" s="408"/>
      <c r="E38" s="409">
        <f t="shared" ref="E38:E44" si="3">SUM(B38:D38)</f>
        <v>0</v>
      </c>
    </row>
    <row r="39" spans="1:7">
      <c r="A39" s="418" t="s">
        <v>133</v>
      </c>
      <c r="B39" s="411"/>
      <c r="C39" s="411"/>
      <c r="D39" s="411"/>
      <c r="E39" s="412">
        <f t="shared" si="3"/>
        <v>0</v>
      </c>
    </row>
    <row r="40" spans="1:7">
      <c r="A40" s="410" t="s">
        <v>134</v>
      </c>
      <c r="B40" s="411"/>
      <c r="C40" s="411"/>
      <c r="D40" s="411"/>
      <c r="E40" s="412">
        <f t="shared" si="3"/>
        <v>0</v>
      </c>
    </row>
    <row r="41" spans="1:7">
      <c r="A41" s="410" t="s">
        <v>135</v>
      </c>
      <c r="B41" s="411"/>
      <c r="C41" s="411"/>
      <c r="D41" s="411"/>
      <c r="E41" s="412">
        <f t="shared" si="3"/>
        <v>0</v>
      </c>
    </row>
    <row r="42" spans="1:7">
      <c r="A42" s="419"/>
      <c r="B42" s="411"/>
      <c r="C42" s="411"/>
      <c r="D42" s="411"/>
      <c r="E42" s="412">
        <f t="shared" si="3"/>
        <v>0</v>
      </c>
    </row>
    <row r="43" spans="1:7">
      <c r="A43" s="419"/>
      <c r="B43" s="411"/>
      <c r="C43" s="411"/>
      <c r="D43" s="411"/>
      <c r="E43" s="412">
        <f t="shared" si="3"/>
        <v>0</v>
      </c>
    </row>
    <row r="44" spans="1:7" ht="13.5" thickBot="1">
      <c r="A44" s="413"/>
      <c r="B44" s="414"/>
      <c r="C44" s="414"/>
      <c r="D44" s="414"/>
      <c r="E44" s="412">
        <f t="shared" si="3"/>
        <v>0</v>
      </c>
    </row>
    <row r="45" spans="1:7" ht="13.5" thickBot="1">
      <c r="A45" s="387" t="s">
        <v>48</v>
      </c>
      <c r="B45" s="415">
        <f>SUM(B38:B44)</f>
        <v>0</v>
      </c>
      <c r="C45" s="415">
        <f>SUM(C38:C44)</f>
        <v>0</v>
      </c>
      <c r="D45" s="415">
        <f>SUM(D38:D44)</f>
        <v>0</v>
      </c>
      <c r="E45" s="416">
        <f>SUM(E38:E44)</f>
        <v>0</v>
      </c>
    </row>
    <row r="47" spans="1:7">
      <c r="A47" s="729" t="s">
        <v>678</v>
      </c>
      <c r="B47" s="729"/>
      <c r="C47" s="729"/>
      <c r="D47" s="729"/>
      <c r="E47" s="729"/>
      <c r="F47" s="729"/>
      <c r="G47" s="729"/>
    </row>
    <row r="48" spans="1:7" ht="13.5" thickBot="1"/>
    <row r="49" spans="1:5" ht="13.5" thickBot="1">
      <c r="A49" s="743" t="s">
        <v>130</v>
      </c>
      <c r="B49" s="744"/>
      <c r="C49" s="745"/>
      <c r="D49" s="741" t="s">
        <v>597</v>
      </c>
      <c r="E49" s="742"/>
    </row>
    <row r="50" spans="1:5">
      <c r="A50" s="746"/>
      <c r="B50" s="747"/>
      <c r="C50" s="748"/>
      <c r="D50" s="735"/>
      <c r="E50" s="736"/>
    </row>
    <row r="51" spans="1:5" ht="13.5" thickBot="1">
      <c r="A51" s="749"/>
      <c r="B51" s="750"/>
      <c r="C51" s="751"/>
      <c r="D51" s="737"/>
      <c r="E51" s="738"/>
    </row>
    <row r="52" spans="1:5" ht="13.5" thickBot="1">
      <c r="A52" s="732" t="s">
        <v>48</v>
      </c>
      <c r="B52" s="733"/>
      <c r="C52" s="734"/>
      <c r="D52" s="739">
        <f>SUM(D50:E51)</f>
        <v>0</v>
      </c>
      <c r="E52" s="740"/>
    </row>
  </sheetData>
  <mergeCells count="13">
    <mergeCell ref="A49:C49"/>
    <mergeCell ref="A50:C50"/>
    <mergeCell ref="A51:C51"/>
    <mergeCell ref="A47:G47"/>
    <mergeCell ref="B2:E2"/>
    <mergeCell ref="B25:E25"/>
    <mergeCell ref="D3:E3"/>
    <mergeCell ref="D26:E26"/>
    <mergeCell ref="A52:C52"/>
    <mergeCell ref="D50:E50"/>
    <mergeCell ref="D51:E51"/>
    <mergeCell ref="D52:E52"/>
    <mergeCell ref="D49:E49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D161"/>
  <sheetViews>
    <sheetView zoomScale="94" zoomScaleNormal="94" zoomScaleSheetLayoutView="85" workbookViewId="0">
      <selection activeCell="B1" sqref="B1"/>
    </sheetView>
  </sheetViews>
  <sheetFormatPr defaultRowHeight="12.75"/>
  <cols>
    <col min="1" max="1" width="12.33203125" style="28" customWidth="1"/>
    <col min="2" max="2" width="66.33203125" style="9" bestFit="1" customWidth="1"/>
    <col min="3" max="4" width="19.83203125" style="29" bestFit="1" customWidth="1"/>
    <col min="5" max="16384" width="9.33203125" style="9"/>
  </cols>
  <sheetData>
    <row r="1" spans="1:4" s="550" customFormat="1" ht="13.5" thickBot="1">
      <c r="A1" s="548"/>
      <c r="B1" s="549" t="s">
        <v>724</v>
      </c>
      <c r="C1" s="549"/>
      <c r="D1" s="549"/>
    </row>
    <row r="2" spans="1:4" s="107" customFormat="1">
      <c r="A2" s="551" t="s">
        <v>56</v>
      </c>
      <c r="B2" s="552" t="s">
        <v>536</v>
      </c>
      <c r="C2" s="564" t="s">
        <v>49</v>
      </c>
      <c r="D2" s="564" t="s">
        <v>49</v>
      </c>
    </row>
    <row r="3" spans="1:4" s="107" customFormat="1" ht="13.5" thickBot="1">
      <c r="A3" s="553" t="s">
        <v>191</v>
      </c>
      <c r="B3" s="554" t="s">
        <v>394</v>
      </c>
      <c r="C3" s="565" t="s">
        <v>49</v>
      </c>
      <c r="D3" s="565" t="s">
        <v>49</v>
      </c>
    </row>
    <row r="4" spans="1:4" s="107" customFormat="1" ht="14.25" thickBot="1">
      <c r="C4" s="6" t="s">
        <v>581</v>
      </c>
      <c r="D4" s="6" t="s">
        <v>581</v>
      </c>
    </row>
    <row r="5" spans="1:4" ht="39" thickBot="1">
      <c r="A5" s="555" t="s">
        <v>193</v>
      </c>
      <c r="B5" s="556" t="s">
        <v>50</v>
      </c>
      <c r="C5" s="507" t="s">
        <v>692</v>
      </c>
      <c r="D5" s="507" t="s">
        <v>717</v>
      </c>
    </row>
    <row r="6" spans="1:4" s="354" customFormat="1" ht="13.5" thickBot="1">
      <c r="A6" s="584" t="s">
        <v>483</v>
      </c>
      <c r="B6" s="585" t="s">
        <v>484</v>
      </c>
      <c r="C6" s="590" t="s">
        <v>485</v>
      </c>
      <c r="D6" s="590" t="s">
        <v>485</v>
      </c>
    </row>
    <row r="7" spans="1:4" s="354" customFormat="1" ht="13.5" thickBot="1">
      <c r="A7" s="586"/>
      <c r="B7" s="587" t="s">
        <v>51</v>
      </c>
      <c r="C7" s="591"/>
      <c r="D7" s="591"/>
    </row>
    <row r="8" spans="1:4" s="42" customFormat="1" ht="13.5" thickBot="1">
      <c r="A8" s="226" t="s">
        <v>14</v>
      </c>
      <c r="B8" s="227" t="s">
        <v>241</v>
      </c>
      <c r="C8" s="509">
        <f>+C9+C10+C11+C12+C13+C14</f>
        <v>223966276</v>
      </c>
      <c r="D8" s="509">
        <f>+D9+D10+D11+D12+D13+D14</f>
        <v>233099072</v>
      </c>
    </row>
    <row r="9" spans="1:4" s="42" customFormat="1">
      <c r="A9" s="228" t="s">
        <v>93</v>
      </c>
      <c r="B9" s="110" t="s">
        <v>242</v>
      </c>
      <c r="C9" s="510">
        <v>118506104</v>
      </c>
      <c r="D9" s="510">
        <f>118506104+267920</f>
        <v>118774024</v>
      </c>
    </row>
    <row r="10" spans="1:4" s="42" customFormat="1">
      <c r="A10" s="229" t="s">
        <v>94</v>
      </c>
      <c r="B10" s="111" t="s">
        <v>243</v>
      </c>
      <c r="C10" s="511">
        <v>64532484</v>
      </c>
      <c r="D10" s="511">
        <v>64532484</v>
      </c>
    </row>
    <row r="11" spans="1:4" s="42" customFormat="1">
      <c r="A11" s="229" t="s">
        <v>95</v>
      </c>
      <c r="B11" s="111" t="s">
        <v>244</v>
      </c>
      <c r="C11" s="511">
        <v>37842188</v>
      </c>
      <c r="D11" s="511">
        <v>37842188</v>
      </c>
    </row>
    <row r="12" spans="1:4" s="42" customFormat="1">
      <c r="A12" s="229" t="s">
        <v>96</v>
      </c>
      <c r="B12" s="111" t="s">
        <v>245</v>
      </c>
      <c r="C12" s="511">
        <v>3085500</v>
      </c>
      <c r="D12" s="511">
        <f>3085500+344876</f>
        <v>3430376</v>
      </c>
    </row>
    <row r="13" spans="1:4" s="42" customFormat="1">
      <c r="A13" s="229" t="s">
        <v>139</v>
      </c>
      <c r="B13" s="230" t="s">
        <v>426</v>
      </c>
      <c r="C13" s="511"/>
      <c r="D13" s="511">
        <f>8520000</f>
        <v>8520000</v>
      </c>
    </row>
    <row r="14" spans="1:4" s="42" customFormat="1" ht="13.5" thickBot="1">
      <c r="A14" s="231" t="s">
        <v>97</v>
      </c>
      <c r="B14" s="232" t="s">
        <v>427</v>
      </c>
      <c r="C14" s="511"/>
      <c r="D14" s="511"/>
    </row>
    <row r="15" spans="1:4" s="42" customFormat="1" ht="26.25" thickBot="1">
      <c r="A15" s="226" t="s">
        <v>15</v>
      </c>
      <c r="B15" s="233" t="s">
        <v>246</v>
      </c>
      <c r="C15" s="509">
        <f>+C16+C17+C18+C19+C20</f>
        <v>75066371</v>
      </c>
      <c r="D15" s="509">
        <f>+D16+D17+D18+D19+D20</f>
        <v>79913564</v>
      </c>
    </row>
    <row r="16" spans="1:4" s="42" customFormat="1">
      <c r="A16" s="228" t="s">
        <v>99</v>
      </c>
      <c r="B16" s="110" t="s">
        <v>247</v>
      </c>
      <c r="C16" s="510"/>
      <c r="D16" s="510"/>
    </row>
    <row r="17" spans="1:4" s="42" customFormat="1">
      <c r="A17" s="229" t="s">
        <v>100</v>
      </c>
      <c r="B17" s="111" t="s">
        <v>248</v>
      </c>
      <c r="C17" s="511"/>
      <c r="D17" s="511"/>
    </row>
    <row r="18" spans="1:4" s="42" customFormat="1" ht="25.5">
      <c r="A18" s="229" t="s">
        <v>101</v>
      </c>
      <c r="B18" s="111" t="s">
        <v>416</v>
      </c>
      <c r="C18" s="511"/>
      <c r="D18" s="511"/>
    </row>
    <row r="19" spans="1:4" s="42" customFormat="1" ht="25.5">
      <c r="A19" s="229" t="s">
        <v>102</v>
      </c>
      <c r="B19" s="111" t="s">
        <v>417</v>
      </c>
      <c r="C19" s="511"/>
      <c r="D19" s="511"/>
    </row>
    <row r="20" spans="1:4" s="42" customFormat="1">
      <c r="A20" s="229" t="s">
        <v>103</v>
      </c>
      <c r="B20" s="111" t="s">
        <v>249</v>
      </c>
      <c r="C20" s="511">
        <f>75066371</f>
        <v>75066371</v>
      </c>
      <c r="D20" s="511">
        <f>75066371+695378+4151815</f>
        <v>79913564</v>
      </c>
    </row>
    <row r="21" spans="1:4" s="42" customFormat="1" ht="13.5" thickBot="1">
      <c r="A21" s="231" t="s">
        <v>112</v>
      </c>
      <c r="B21" s="232" t="s">
        <v>250</v>
      </c>
      <c r="C21" s="512"/>
      <c r="D21" s="512"/>
    </row>
    <row r="22" spans="1:4" s="42" customFormat="1" ht="26.25" thickBot="1">
      <c r="A22" s="226" t="s">
        <v>16</v>
      </c>
      <c r="B22" s="227" t="s">
        <v>251</v>
      </c>
      <c r="C22" s="509">
        <f>+C23+C24+C25+C26+C27</f>
        <v>39844721</v>
      </c>
      <c r="D22" s="509">
        <f>+D23+D24+D25+D26+D27</f>
        <v>32531109</v>
      </c>
    </row>
    <row r="23" spans="1:4" s="42" customFormat="1">
      <c r="A23" s="228" t="s">
        <v>82</v>
      </c>
      <c r="B23" s="110" t="s">
        <v>252</v>
      </c>
      <c r="C23" s="510"/>
      <c r="D23" s="510"/>
    </row>
    <row r="24" spans="1:4" s="42" customFormat="1">
      <c r="A24" s="229" t="s">
        <v>83</v>
      </c>
      <c r="B24" s="111" t="s">
        <v>253</v>
      </c>
      <c r="C24" s="511"/>
      <c r="D24" s="511"/>
    </row>
    <row r="25" spans="1:4" s="42" customFormat="1" ht="25.5">
      <c r="A25" s="229" t="s">
        <v>84</v>
      </c>
      <c r="B25" s="111" t="s">
        <v>418</v>
      </c>
      <c r="C25" s="511"/>
      <c r="D25" s="511"/>
    </row>
    <row r="26" spans="1:4" s="42" customFormat="1" ht="25.5">
      <c r="A26" s="229" t="s">
        <v>85</v>
      </c>
      <c r="B26" s="111" t="s">
        <v>419</v>
      </c>
      <c r="C26" s="511"/>
      <c r="D26" s="511"/>
    </row>
    <row r="27" spans="1:4" s="42" customFormat="1">
      <c r="A27" s="229" t="s">
        <v>160</v>
      </c>
      <c r="B27" s="111" t="s">
        <v>254</v>
      </c>
      <c r="C27" s="511">
        <v>39844721</v>
      </c>
      <c r="D27" s="511">
        <f>39844721-7313612</f>
        <v>32531109</v>
      </c>
    </row>
    <row r="28" spans="1:4" s="42" customFormat="1" ht="13.5" thickBot="1">
      <c r="A28" s="231" t="s">
        <v>161</v>
      </c>
      <c r="B28" s="113" t="s">
        <v>255</v>
      </c>
      <c r="C28" s="512"/>
      <c r="D28" s="512"/>
    </row>
    <row r="29" spans="1:4" s="42" customFormat="1" ht="13.5" thickBot="1">
      <c r="A29" s="226" t="s">
        <v>162</v>
      </c>
      <c r="B29" s="227" t="s">
        <v>256</v>
      </c>
      <c r="C29" s="509">
        <f>+C30+C34+C35+C36</f>
        <v>136700000</v>
      </c>
      <c r="D29" s="509">
        <f>+D30+D34+D35+D36</f>
        <v>136700000</v>
      </c>
    </row>
    <row r="30" spans="1:4" s="42" customFormat="1">
      <c r="A30" s="228" t="s">
        <v>257</v>
      </c>
      <c r="B30" s="110" t="s">
        <v>433</v>
      </c>
      <c r="C30" s="513">
        <f>C31+C32+C33</f>
        <v>100000000</v>
      </c>
      <c r="D30" s="513">
        <f>D31+D32+D33</f>
        <v>100000000</v>
      </c>
    </row>
    <row r="31" spans="1:4" s="42" customFormat="1">
      <c r="A31" s="229" t="s">
        <v>258</v>
      </c>
      <c r="B31" s="111" t="s">
        <v>593</v>
      </c>
      <c r="C31" s="511">
        <f>58000000</f>
        <v>58000000</v>
      </c>
      <c r="D31" s="511">
        <f>58000000</f>
        <v>58000000</v>
      </c>
    </row>
    <row r="32" spans="1:4" s="42" customFormat="1">
      <c r="A32" s="229" t="s">
        <v>259</v>
      </c>
      <c r="B32" s="111" t="s">
        <v>594</v>
      </c>
      <c r="C32" s="511"/>
      <c r="D32" s="511"/>
    </row>
    <row r="33" spans="1:4" s="42" customFormat="1">
      <c r="A33" s="229" t="s">
        <v>431</v>
      </c>
      <c r="B33" s="112" t="s">
        <v>432</v>
      </c>
      <c r="C33" s="511">
        <f>42000000</f>
        <v>42000000</v>
      </c>
      <c r="D33" s="511">
        <f>42000000</f>
        <v>42000000</v>
      </c>
    </row>
    <row r="34" spans="1:4" s="42" customFormat="1">
      <c r="A34" s="229" t="s">
        <v>260</v>
      </c>
      <c r="B34" s="111" t="s">
        <v>265</v>
      </c>
      <c r="C34" s="511">
        <v>9000000</v>
      </c>
      <c r="D34" s="511">
        <v>9000000</v>
      </c>
    </row>
    <row r="35" spans="1:4" s="42" customFormat="1">
      <c r="A35" s="229" t="s">
        <v>261</v>
      </c>
      <c r="B35" s="111" t="s">
        <v>575</v>
      </c>
      <c r="C35" s="511">
        <v>27500000</v>
      </c>
      <c r="D35" s="511">
        <v>27500000</v>
      </c>
    </row>
    <row r="36" spans="1:4" s="42" customFormat="1" ht="13.5" thickBot="1">
      <c r="A36" s="231" t="s">
        <v>262</v>
      </c>
      <c r="B36" s="113" t="s">
        <v>267</v>
      </c>
      <c r="C36" s="512">
        <v>200000</v>
      </c>
      <c r="D36" s="512">
        <v>200000</v>
      </c>
    </row>
    <row r="37" spans="1:4" s="42" customFormat="1" ht="13.5" thickBot="1">
      <c r="A37" s="226" t="s">
        <v>18</v>
      </c>
      <c r="B37" s="227" t="s">
        <v>428</v>
      </c>
      <c r="C37" s="509">
        <f>SUM(C38:C48)</f>
        <v>130660612</v>
      </c>
      <c r="D37" s="509">
        <f>SUM(D38:D48)</f>
        <v>130876569</v>
      </c>
    </row>
    <row r="38" spans="1:4" s="42" customFormat="1">
      <c r="A38" s="228" t="s">
        <v>86</v>
      </c>
      <c r="B38" s="110" t="s">
        <v>270</v>
      </c>
      <c r="C38" s="510"/>
      <c r="D38" s="510"/>
    </row>
    <row r="39" spans="1:4" s="42" customFormat="1">
      <c r="A39" s="229" t="s">
        <v>87</v>
      </c>
      <c r="B39" s="111" t="s">
        <v>271</v>
      </c>
      <c r="C39" s="511">
        <f>99723710</f>
        <v>99723710</v>
      </c>
      <c r="D39" s="511">
        <f>99723710+170045</f>
        <v>99893755</v>
      </c>
    </row>
    <row r="40" spans="1:4" s="42" customFormat="1">
      <c r="A40" s="229" t="s">
        <v>88</v>
      </c>
      <c r="B40" s="111" t="s">
        <v>272</v>
      </c>
      <c r="C40" s="511">
        <f>1650000</f>
        <v>1650000</v>
      </c>
      <c r="D40" s="511">
        <f>1650000</f>
        <v>1650000</v>
      </c>
    </row>
    <row r="41" spans="1:4" s="42" customFormat="1">
      <c r="A41" s="229" t="s">
        <v>164</v>
      </c>
      <c r="B41" s="111" t="s">
        <v>273</v>
      </c>
      <c r="C41" s="511"/>
      <c r="D41" s="511"/>
    </row>
    <row r="42" spans="1:4" s="42" customFormat="1">
      <c r="A42" s="229" t="s">
        <v>165</v>
      </c>
      <c r="B42" s="111" t="s">
        <v>274</v>
      </c>
      <c r="C42" s="511">
        <f>1500000</f>
        <v>1500000</v>
      </c>
      <c r="D42" s="511">
        <f>1500000</f>
        <v>1500000</v>
      </c>
    </row>
    <row r="43" spans="1:4" s="42" customFormat="1">
      <c r="A43" s="229" t="s">
        <v>166</v>
      </c>
      <c r="B43" s="111" t="s">
        <v>275</v>
      </c>
      <c r="C43" s="511">
        <f>27775902</f>
        <v>27775902</v>
      </c>
      <c r="D43" s="511">
        <f>27775902+45912</f>
        <v>27821814</v>
      </c>
    </row>
    <row r="44" spans="1:4" s="42" customFormat="1">
      <c r="A44" s="229" t="s">
        <v>167</v>
      </c>
      <c r="B44" s="111" t="s">
        <v>276</v>
      </c>
      <c r="C44" s="511"/>
      <c r="D44" s="511"/>
    </row>
    <row r="45" spans="1:4" s="42" customFormat="1">
      <c r="A45" s="229" t="s">
        <v>168</v>
      </c>
      <c r="B45" s="111" t="s">
        <v>277</v>
      </c>
      <c r="C45" s="511">
        <f>1000</f>
        <v>1000</v>
      </c>
      <c r="D45" s="511">
        <f>1000</f>
        <v>1000</v>
      </c>
    </row>
    <row r="46" spans="1:4" s="42" customFormat="1">
      <c r="A46" s="229" t="s">
        <v>268</v>
      </c>
      <c r="B46" s="111" t="s">
        <v>278</v>
      </c>
      <c r="C46" s="511"/>
      <c r="D46" s="511"/>
    </row>
    <row r="47" spans="1:4" s="42" customFormat="1">
      <c r="A47" s="231" t="s">
        <v>269</v>
      </c>
      <c r="B47" s="113" t="s">
        <v>430</v>
      </c>
      <c r="C47" s="512"/>
      <c r="D47" s="512"/>
    </row>
    <row r="48" spans="1:4" s="42" customFormat="1" ht="13.5" thickBot="1">
      <c r="A48" s="231" t="s">
        <v>429</v>
      </c>
      <c r="B48" s="232" t="s">
        <v>279</v>
      </c>
      <c r="C48" s="512">
        <f>10000</f>
        <v>10000</v>
      </c>
      <c r="D48" s="512">
        <f>10000</f>
        <v>10000</v>
      </c>
    </row>
    <row r="49" spans="1:4" s="42" customFormat="1" ht="13.5" thickBot="1">
      <c r="A49" s="226" t="s">
        <v>19</v>
      </c>
      <c r="B49" s="227" t="s">
        <v>280</v>
      </c>
      <c r="C49" s="509">
        <f>SUM(C50:C54)</f>
        <v>7000000</v>
      </c>
      <c r="D49" s="509">
        <f>SUM(D50:D54)</f>
        <v>7000000</v>
      </c>
    </row>
    <row r="50" spans="1:4" s="42" customFormat="1">
      <c r="A50" s="228" t="s">
        <v>89</v>
      </c>
      <c r="B50" s="110" t="s">
        <v>284</v>
      </c>
      <c r="C50" s="510"/>
      <c r="D50" s="510"/>
    </row>
    <row r="51" spans="1:4" s="42" customFormat="1">
      <c r="A51" s="229" t="s">
        <v>90</v>
      </c>
      <c r="B51" s="111" t="s">
        <v>285</v>
      </c>
      <c r="C51" s="511">
        <v>7000000</v>
      </c>
      <c r="D51" s="511">
        <v>7000000</v>
      </c>
    </row>
    <row r="52" spans="1:4" s="42" customFormat="1">
      <c r="A52" s="229" t="s">
        <v>281</v>
      </c>
      <c r="B52" s="111" t="s">
        <v>286</v>
      </c>
      <c r="C52" s="511"/>
      <c r="D52" s="511"/>
    </row>
    <row r="53" spans="1:4" s="42" customFormat="1">
      <c r="A53" s="229" t="s">
        <v>282</v>
      </c>
      <c r="B53" s="111" t="s">
        <v>287</v>
      </c>
      <c r="C53" s="511"/>
      <c r="D53" s="511"/>
    </row>
    <row r="54" spans="1:4" s="42" customFormat="1" ht="13.5" thickBot="1">
      <c r="A54" s="231" t="s">
        <v>283</v>
      </c>
      <c r="B54" s="232" t="s">
        <v>288</v>
      </c>
      <c r="C54" s="512"/>
      <c r="D54" s="512"/>
    </row>
    <row r="55" spans="1:4" s="42" customFormat="1" ht="13.5" thickBot="1">
      <c r="A55" s="226" t="s">
        <v>169</v>
      </c>
      <c r="B55" s="227" t="s">
        <v>289</v>
      </c>
      <c r="C55" s="509">
        <f>SUM(C56:C58)</f>
        <v>505503</v>
      </c>
      <c r="D55" s="509">
        <f>SUM(D56:D58)</f>
        <v>505503</v>
      </c>
    </row>
    <row r="56" spans="1:4" s="42" customFormat="1" ht="25.5">
      <c r="A56" s="228" t="s">
        <v>91</v>
      </c>
      <c r="B56" s="110" t="s">
        <v>290</v>
      </c>
      <c r="C56" s="510"/>
      <c r="D56" s="510"/>
    </row>
    <row r="57" spans="1:4" s="42" customFormat="1" ht="25.5">
      <c r="A57" s="229" t="s">
        <v>92</v>
      </c>
      <c r="B57" s="111" t="s">
        <v>420</v>
      </c>
      <c r="C57" s="511"/>
      <c r="D57" s="511"/>
    </row>
    <row r="58" spans="1:4" s="42" customFormat="1">
      <c r="A58" s="229" t="s">
        <v>293</v>
      </c>
      <c r="B58" s="111" t="s">
        <v>291</v>
      </c>
      <c r="C58" s="511">
        <v>505503</v>
      </c>
      <c r="D58" s="511">
        <v>505503</v>
      </c>
    </row>
    <row r="59" spans="1:4" s="42" customFormat="1" ht="13.5" thickBot="1">
      <c r="A59" s="231" t="s">
        <v>294</v>
      </c>
      <c r="B59" s="232" t="s">
        <v>292</v>
      </c>
      <c r="C59" s="512"/>
      <c r="D59" s="512"/>
    </row>
    <row r="60" spans="1:4" s="42" customFormat="1" ht="13.5" thickBot="1">
      <c r="A60" s="226" t="s">
        <v>21</v>
      </c>
      <c r="B60" s="233" t="s">
        <v>295</v>
      </c>
      <c r="C60" s="509">
        <f>SUM(C61:C63)</f>
        <v>100000</v>
      </c>
      <c r="D60" s="509">
        <f>SUM(D61:D63)</f>
        <v>100000</v>
      </c>
    </row>
    <row r="61" spans="1:4" s="42" customFormat="1" ht="25.5">
      <c r="A61" s="228" t="s">
        <v>170</v>
      </c>
      <c r="B61" s="110" t="s">
        <v>297</v>
      </c>
      <c r="C61" s="511"/>
      <c r="D61" s="511"/>
    </row>
    <row r="62" spans="1:4" s="42" customFormat="1" ht="25.5">
      <c r="A62" s="229" t="s">
        <v>171</v>
      </c>
      <c r="B62" s="111" t="s">
        <v>421</v>
      </c>
      <c r="C62" s="511">
        <v>100000</v>
      </c>
      <c r="D62" s="511">
        <v>100000</v>
      </c>
    </row>
    <row r="63" spans="1:4" s="42" customFormat="1">
      <c r="A63" s="229" t="s">
        <v>218</v>
      </c>
      <c r="B63" s="111" t="s">
        <v>298</v>
      </c>
      <c r="C63" s="511"/>
      <c r="D63" s="511"/>
    </row>
    <row r="64" spans="1:4" s="42" customFormat="1" ht="13.5" thickBot="1">
      <c r="A64" s="231" t="s">
        <v>296</v>
      </c>
      <c r="B64" s="232" t="s">
        <v>299</v>
      </c>
      <c r="C64" s="511"/>
      <c r="D64" s="511"/>
    </row>
    <row r="65" spans="1:4" s="42" customFormat="1" ht="13.5" thickBot="1">
      <c r="A65" s="234" t="s">
        <v>472</v>
      </c>
      <c r="B65" s="227" t="s">
        <v>300</v>
      </c>
      <c r="C65" s="509">
        <f>+C8+C15+C22+C29+C37+C49+C55+C60</f>
        <v>613843483</v>
      </c>
      <c r="D65" s="509">
        <f>+D8+D15+D22+D29+D37+D49+D55+D60</f>
        <v>620725817</v>
      </c>
    </row>
    <row r="66" spans="1:4" s="42" customFormat="1" ht="13.5" thickBot="1">
      <c r="A66" s="235" t="s">
        <v>301</v>
      </c>
      <c r="B66" s="233" t="s">
        <v>302</v>
      </c>
      <c r="C66" s="509">
        <f>SUM(C67:C69)</f>
        <v>0</v>
      </c>
      <c r="D66" s="509">
        <f>SUM(D67:D69)</f>
        <v>0</v>
      </c>
    </row>
    <row r="67" spans="1:4" s="42" customFormat="1">
      <c r="A67" s="228" t="s">
        <v>333</v>
      </c>
      <c r="B67" s="110" t="s">
        <v>303</v>
      </c>
      <c r="C67" s="511"/>
      <c r="D67" s="511"/>
    </row>
    <row r="68" spans="1:4" s="42" customFormat="1">
      <c r="A68" s="229" t="s">
        <v>342</v>
      </c>
      <c r="B68" s="111" t="s">
        <v>304</v>
      </c>
      <c r="C68" s="511"/>
      <c r="D68" s="511"/>
    </row>
    <row r="69" spans="1:4" s="42" customFormat="1" ht="13.5" thickBot="1">
      <c r="A69" s="231" t="s">
        <v>343</v>
      </c>
      <c r="B69" s="236" t="s">
        <v>457</v>
      </c>
      <c r="C69" s="511"/>
      <c r="D69" s="511"/>
    </row>
    <row r="70" spans="1:4" s="42" customFormat="1" ht="13.5" thickBot="1">
      <c r="A70" s="235" t="s">
        <v>306</v>
      </c>
      <c r="B70" s="233" t="s">
        <v>307</v>
      </c>
      <c r="C70" s="509">
        <f>SUM(C71:C74)</f>
        <v>0</v>
      </c>
      <c r="D70" s="509">
        <f>SUM(D71:D74)</f>
        <v>0</v>
      </c>
    </row>
    <row r="71" spans="1:4" s="42" customFormat="1">
      <c r="A71" s="228" t="s">
        <v>140</v>
      </c>
      <c r="B71" s="110" t="s">
        <v>308</v>
      </c>
      <c r="C71" s="511"/>
      <c r="D71" s="511"/>
    </row>
    <row r="72" spans="1:4" s="42" customFormat="1">
      <c r="A72" s="229" t="s">
        <v>141</v>
      </c>
      <c r="B72" s="111" t="s">
        <v>309</v>
      </c>
      <c r="C72" s="511"/>
      <c r="D72" s="511"/>
    </row>
    <row r="73" spans="1:4" s="42" customFormat="1">
      <c r="A73" s="229" t="s">
        <v>334</v>
      </c>
      <c r="B73" s="111" t="s">
        <v>310</v>
      </c>
      <c r="C73" s="511"/>
      <c r="D73" s="511"/>
    </row>
    <row r="74" spans="1:4" s="42" customFormat="1" ht="13.5" thickBot="1">
      <c r="A74" s="231" t="s">
        <v>335</v>
      </c>
      <c r="B74" s="232" t="s">
        <v>311</v>
      </c>
      <c r="C74" s="511"/>
      <c r="D74" s="511"/>
    </row>
    <row r="75" spans="1:4" s="42" customFormat="1" ht="13.5" thickBot="1">
      <c r="A75" s="235" t="s">
        <v>312</v>
      </c>
      <c r="B75" s="233" t="s">
        <v>313</v>
      </c>
      <c r="C75" s="509">
        <f>SUM(C76:C77)</f>
        <v>541000000</v>
      </c>
      <c r="D75" s="509">
        <f>SUM(D76:D77)</f>
        <v>541475499</v>
      </c>
    </row>
    <row r="76" spans="1:4" s="42" customFormat="1">
      <c r="A76" s="228" t="s">
        <v>336</v>
      </c>
      <c r="B76" s="110" t="s">
        <v>314</v>
      </c>
      <c r="C76" s="511">
        <f>541000000</f>
        <v>541000000</v>
      </c>
      <c r="D76" s="511">
        <f>541000000+475499</f>
        <v>541475499</v>
      </c>
    </row>
    <row r="77" spans="1:4" s="42" customFormat="1" ht="13.5" thickBot="1">
      <c r="A77" s="231" t="s">
        <v>337</v>
      </c>
      <c r="B77" s="232" t="s">
        <v>315</v>
      </c>
      <c r="C77" s="511"/>
      <c r="D77" s="511"/>
    </row>
    <row r="78" spans="1:4" s="42" customFormat="1" ht="13.5" thickBot="1">
      <c r="A78" s="235" t="s">
        <v>316</v>
      </c>
      <c r="B78" s="233" t="s">
        <v>317</v>
      </c>
      <c r="C78" s="509">
        <f>SUM(C79:C81)</f>
        <v>0</v>
      </c>
      <c r="D78" s="509">
        <f>SUM(D79:D81)</f>
        <v>0</v>
      </c>
    </row>
    <row r="79" spans="1:4" s="42" customFormat="1">
      <c r="A79" s="228" t="s">
        <v>338</v>
      </c>
      <c r="B79" s="110" t="s">
        <v>318</v>
      </c>
      <c r="C79" s="511"/>
      <c r="D79" s="511"/>
    </row>
    <row r="80" spans="1:4" s="42" customFormat="1">
      <c r="A80" s="229" t="s">
        <v>339</v>
      </c>
      <c r="B80" s="111" t="s">
        <v>319</v>
      </c>
      <c r="C80" s="511"/>
      <c r="D80" s="511"/>
    </row>
    <row r="81" spans="1:4" s="42" customFormat="1" ht="13.5" thickBot="1">
      <c r="A81" s="231" t="s">
        <v>340</v>
      </c>
      <c r="B81" s="232" t="s">
        <v>320</v>
      </c>
      <c r="C81" s="511"/>
      <c r="D81" s="511"/>
    </row>
    <row r="82" spans="1:4" s="42" customFormat="1" ht="13.5" thickBot="1">
      <c r="A82" s="235" t="s">
        <v>321</v>
      </c>
      <c r="B82" s="233" t="s">
        <v>341</v>
      </c>
      <c r="C82" s="509">
        <f>SUM(C83:C86)</f>
        <v>0</v>
      </c>
      <c r="D82" s="509">
        <f>SUM(D83:D86)</f>
        <v>0</v>
      </c>
    </row>
    <row r="83" spans="1:4" s="42" customFormat="1">
      <c r="A83" s="237" t="s">
        <v>322</v>
      </c>
      <c r="B83" s="110" t="s">
        <v>323</v>
      </c>
      <c r="C83" s="511"/>
      <c r="D83" s="511"/>
    </row>
    <row r="84" spans="1:4" s="42" customFormat="1">
      <c r="A84" s="238" t="s">
        <v>324</v>
      </c>
      <c r="B84" s="111" t="s">
        <v>325</v>
      </c>
      <c r="C84" s="511"/>
      <c r="D84" s="511"/>
    </row>
    <row r="85" spans="1:4" s="42" customFormat="1">
      <c r="A85" s="238" t="s">
        <v>326</v>
      </c>
      <c r="B85" s="111" t="s">
        <v>327</v>
      </c>
      <c r="C85" s="511"/>
      <c r="D85" s="511"/>
    </row>
    <row r="86" spans="1:4" s="42" customFormat="1" ht="13.5" thickBot="1">
      <c r="A86" s="239" t="s">
        <v>328</v>
      </c>
      <c r="B86" s="232" t="s">
        <v>329</v>
      </c>
      <c r="C86" s="511"/>
      <c r="D86" s="511"/>
    </row>
    <row r="87" spans="1:4" s="42" customFormat="1" ht="13.5" thickBot="1">
      <c r="A87" s="235" t="s">
        <v>330</v>
      </c>
      <c r="B87" s="233" t="s">
        <v>471</v>
      </c>
      <c r="C87" s="514"/>
      <c r="D87" s="514"/>
    </row>
    <row r="88" spans="1:4" s="42" customFormat="1" ht="13.5" thickBot="1">
      <c r="A88" s="235" t="s">
        <v>332</v>
      </c>
      <c r="B88" s="233" t="s">
        <v>331</v>
      </c>
      <c r="C88" s="514"/>
      <c r="D88" s="514"/>
    </row>
    <row r="89" spans="1:4" s="42" customFormat="1" ht="13.5" thickBot="1">
      <c r="A89" s="235" t="s">
        <v>344</v>
      </c>
      <c r="B89" s="240" t="s">
        <v>474</v>
      </c>
      <c r="C89" s="509">
        <f>+C66+C70+C75+C78+C82+C88+C87</f>
        <v>541000000</v>
      </c>
      <c r="D89" s="509">
        <f>+D66+D70+D75+D78+D82+D88+D87</f>
        <v>541475499</v>
      </c>
    </row>
    <row r="90" spans="1:4" s="42" customFormat="1" ht="26.25" thickBot="1">
      <c r="A90" s="560" t="s">
        <v>473</v>
      </c>
      <c r="B90" s="242" t="s">
        <v>475</v>
      </c>
      <c r="C90" s="509">
        <f>C65+C89</f>
        <v>1154843483</v>
      </c>
      <c r="D90" s="509">
        <f>D65+D89</f>
        <v>1162201316</v>
      </c>
    </row>
    <row r="91" spans="1:4" s="42" customFormat="1">
      <c r="A91" s="561"/>
      <c r="B91" s="562"/>
      <c r="C91" s="583"/>
      <c r="D91" s="583"/>
    </row>
    <row r="92" spans="1:4" s="557" customFormat="1">
      <c r="A92" s="703" t="s">
        <v>42</v>
      </c>
      <c r="B92" s="703"/>
      <c r="C92" s="42"/>
      <c r="D92" s="42"/>
    </row>
    <row r="93" spans="1:4" s="557" customFormat="1" ht="14.25" thickBot="1">
      <c r="A93" s="704" t="s">
        <v>143</v>
      </c>
      <c r="B93" s="704"/>
      <c r="C93" s="506" t="s">
        <v>581</v>
      </c>
      <c r="D93" s="506" t="s">
        <v>581</v>
      </c>
    </row>
    <row r="94" spans="1:4" s="557" customFormat="1" ht="39" thickBot="1">
      <c r="A94" s="224" t="s">
        <v>64</v>
      </c>
      <c r="B94" s="225" t="s">
        <v>43</v>
      </c>
      <c r="C94" s="507" t="s">
        <v>692</v>
      </c>
      <c r="D94" s="507" t="s">
        <v>717</v>
      </c>
    </row>
    <row r="95" spans="1:4" s="42" customFormat="1" ht="13.5" thickBot="1">
      <c r="A95" s="224" t="s">
        <v>483</v>
      </c>
      <c r="B95" s="225" t="s">
        <v>484</v>
      </c>
      <c r="C95" s="508" t="s">
        <v>486</v>
      </c>
      <c r="D95" s="508" t="s">
        <v>486</v>
      </c>
    </row>
    <row r="96" spans="1:4" s="557" customFormat="1" ht="13.5" thickBot="1">
      <c r="A96" s="243" t="s">
        <v>14</v>
      </c>
      <c r="B96" s="244" t="s">
        <v>631</v>
      </c>
      <c r="C96" s="516">
        <f>C97+C98+C99+C100+C101+C114</f>
        <v>576038614</v>
      </c>
      <c r="D96" s="516">
        <f>D97+D98+D99+D100+D101+D114</f>
        <v>597896672</v>
      </c>
    </row>
    <row r="97" spans="1:4" s="557" customFormat="1">
      <c r="A97" s="245" t="s">
        <v>93</v>
      </c>
      <c r="B97" s="246" t="s">
        <v>44</v>
      </c>
      <c r="C97" s="517">
        <v>81039317</v>
      </c>
      <c r="D97" s="517">
        <f>81039317+775698+4647201-1006323</f>
        <v>85455893</v>
      </c>
    </row>
    <row r="98" spans="1:4" s="557" customFormat="1">
      <c r="A98" s="229" t="s">
        <v>94</v>
      </c>
      <c r="B98" s="247" t="s">
        <v>172</v>
      </c>
      <c r="C98" s="518">
        <v>17133121</v>
      </c>
      <c r="D98" s="518">
        <f>17133121+75631+453102-98116</f>
        <v>17563738</v>
      </c>
    </row>
    <row r="99" spans="1:4" s="557" customFormat="1">
      <c r="A99" s="229" t="s">
        <v>95</v>
      </c>
      <c r="B99" s="247" t="s">
        <v>131</v>
      </c>
      <c r="C99" s="519">
        <v>263854593</v>
      </c>
      <c r="D99" s="519">
        <f>263854593+215957-127000</f>
        <v>263943550</v>
      </c>
    </row>
    <row r="100" spans="1:4" s="557" customFormat="1">
      <c r="A100" s="229" t="s">
        <v>96</v>
      </c>
      <c r="B100" s="248" t="s">
        <v>173</v>
      </c>
      <c r="C100" s="519">
        <v>7330000</v>
      </c>
      <c r="D100" s="519">
        <v>7330000</v>
      </c>
    </row>
    <row r="101" spans="1:4" s="557" customFormat="1">
      <c r="A101" s="229" t="s">
        <v>107</v>
      </c>
      <c r="B101" s="249" t="s">
        <v>174</v>
      </c>
      <c r="C101" s="519">
        <f>C102+C103+C104+C105+C106+C107+C108+C109+C110+C111+C112+C113</f>
        <v>173511355</v>
      </c>
      <c r="D101" s="519">
        <f>D102+D103+D104+D105+D106+D107+D108+D109+D110+D111+D112+D113</f>
        <v>176463084</v>
      </c>
    </row>
    <row r="102" spans="1:4" s="557" customFormat="1">
      <c r="A102" s="229" t="s">
        <v>97</v>
      </c>
      <c r="B102" s="247" t="s">
        <v>438</v>
      </c>
      <c r="C102" s="519"/>
      <c r="D102" s="519"/>
    </row>
    <row r="103" spans="1:4" s="557" customFormat="1">
      <c r="A103" s="229" t="s">
        <v>98</v>
      </c>
      <c r="B103" s="250" t="s">
        <v>437</v>
      </c>
      <c r="C103" s="519"/>
      <c r="D103" s="519"/>
    </row>
    <row r="104" spans="1:4" s="557" customFormat="1">
      <c r="A104" s="229" t="s">
        <v>108</v>
      </c>
      <c r="B104" s="250" t="s">
        <v>436</v>
      </c>
      <c r="C104" s="519">
        <v>1505503</v>
      </c>
      <c r="D104" s="519">
        <f>1505503+2886754+64975</f>
        <v>4457232</v>
      </c>
    </row>
    <row r="105" spans="1:4" s="557" customFormat="1">
      <c r="A105" s="229" t="s">
        <v>109</v>
      </c>
      <c r="B105" s="251" t="s">
        <v>347</v>
      </c>
      <c r="C105" s="519"/>
      <c r="D105" s="519"/>
    </row>
    <row r="106" spans="1:4" s="557" customFormat="1" ht="25.5">
      <c r="A106" s="229" t="s">
        <v>110</v>
      </c>
      <c r="B106" s="252" t="s">
        <v>348</v>
      </c>
      <c r="C106" s="519"/>
      <c r="D106" s="519"/>
    </row>
    <row r="107" spans="1:4" s="557" customFormat="1" ht="25.5">
      <c r="A107" s="229" t="s">
        <v>111</v>
      </c>
      <c r="B107" s="252" t="s">
        <v>349</v>
      </c>
      <c r="C107" s="519"/>
      <c r="D107" s="519"/>
    </row>
    <row r="108" spans="1:4" s="557" customFormat="1">
      <c r="A108" s="229" t="s">
        <v>113</v>
      </c>
      <c r="B108" s="251" t="s">
        <v>350</v>
      </c>
      <c r="C108" s="519">
        <v>129940852</v>
      </c>
      <c r="D108" s="519">
        <v>129940852</v>
      </c>
    </row>
    <row r="109" spans="1:4" s="557" customFormat="1">
      <c r="A109" s="229" t="s">
        <v>175</v>
      </c>
      <c r="B109" s="251" t="s">
        <v>351</v>
      </c>
      <c r="C109" s="519"/>
      <c r="D109" s="519"/>
    </row>
    <row r="110" spans="1:4" s="557" customFormat="1" ht="25.5">
      <c r="A110" s="229" t="s">
        <v>345</v>
      </c>
      <c r="B110" s="252" t="s">
        <v>352</v>
      </c>
      <c r="C110" s="519"/>
      <c r="D110" s="519"/>
    </row>
    <row r="111" spans="1:4" s="557" customFormat="1">
      <c r="A111" s="253" t="s">
        <v>346</v>
      </c>
      <c r="B111" s="250" t="s">
        <v>353</v>
      </c>
      <c r="C111" s="519"/>
      <c r="D111" s="519"/>
    </row>
    <row r="112" spans="1:4" s="557" customFormat="1">
      <c r="A112" s="229" t="s">
        <v>434</v>
      </c>
      <c r="B112" s="250" t="s">
        <v>354</v>
      </c>
      <c r="C112" s="519"/>
      <c r="D112" s="519"/>
    </row>
    <row r="113" spans="1:4" s="557" customFormat="1" ht="25.5">
      <c r="A113" s="231" t="s">
        <v>435</v>
      </c>
      <c r="B113" s="250" t="s">
        <v>355</v>
      </c>
      <c r="C113" s="519">
        <v>42065000</v>
      </c>
      <c r="D113" s="519">
        <v>42065000</v>
      </c>
    </row>
    <row r="114" spans="1:4" s="557" customFormat="1">
      <c r="A114" s="229" t="s">
        <v>439</v>
      </c>
      <c r="B114" s="248" t="s">
        <v>45</v>
      </c>
      <c r="C114" s="520">
        <f>C115+C117</f>
        <v>33170228</v>
      </c>
      <c r="D114" s="520">
        <f>D115+D117</f>
        <v>47140407</v>
      </c>
    </row>
    <row r="115" spans="1:4" s="557" customFormat="1">
      <c r="A115" s="229" t="s">
        <v>440</v>
      </c>
      <c r="B115" s="247" t="s">
        <v>442</v>
      </c>
      <c r="C115" s="518">
        <v>4078482</v>
      </c>
      <c r="D115" s="518">
        <f>4078482+267920+344876-2631579+1600000+7313613+475499-2886754-64975</f>
        <v>8497082</v>
      </c>
    </row>
    <row r="116" spans="1:4" s="557" customFormat="1" ht="25.5">
      <c r="A116" s="229"/>
      <c r="B116" s="247" t="s">
        <v>665</v>
      </c>
      <c r="C116" s="519"/>
      <c r="D116" s="519"/>
    </row>
    <row r="117" spans="1:4" s="557" customFormat="1" ht="13.5" thickBot="1">
      <c r="A117" s="229" t="s">
        <v>441</v>
      </c>
      <c r="B117" s="563" t="s">
        <v>443</v>
      </c>
      <c r="C117" s="521">
        <v>29091746</v>
      </c>
      <c r="D117" s="521">
        <f>29091746+2631579-1600000+8520000</f>
        <v>38643325</v>
      </c>
    </row>
    <row r="118" spans="1:4" s="557" customFormat="1" ht="13.5" thickBot="1">
      <c r="A118" s="226" t="s">
        <v>15</v>
      </c>
      <c r="B118" s="588" t="s">
        <v>632</v>
      </c>
      <c r="C118" s="522">
        <f>+C119+C121+C123</f>
        <v>394436461</v>
      </c>
      <c r="D118" s="522">
        <f>+D119+D121+D123</f>
        <v>379936236</v>
      </c>
    </row>
    <row r="119" spans="1:4" s="557" customFormat="1">
      <c r="A119" s="228" t="s">
        <v>99</v>
      </c>
      <c r="B119" s="247" t="s">
        <v>217</v>
      </c>
      <c r="C119" s="523">
        <v>304198564</v>
      </c>
      <c r="D119" s="523">
        <f>304198564-14627225+127000</f>
        <v>289698339</v>
      </c>
    </row>
    <row r="120" spans="1:4" s="557" customFormat="1">
      <c r="A120" s="228" t="s">
        <v>100</v>
      </c>
      <c r="B120" s="258" t="s">
        <v>359</v>
      </c>
      <c r="C120" s="523"/>
      <c r="D120" s="523"/>
    </row>
    <row r="121" spans="1:4" s="557" customFormat="1">
      <c r="A121" s="228" t="s">
        <v>101</v>
      </c>
      <c r="B121" s="258" t="s">
        <v>176</v>
      </c>
      <c r="C121" s="518">
        <v>89587897</v>
      </c>
      <c r="D121" s="518">
        <v>89587897</v>
      </c>
    </row>
    <row r="122" spans="1:4" s="557" customFormat="1">
      <c r="A122" s="228" t="s">
        <v>102</v>
      </c>
      <c r="B122" s="258" t="s">
        <v>360</v>
      </c>
      <c r="C122" s="524"/>
      <c r="D122" s="524"/>
    </row>
    <row r="123" spans="1:4" s="557" customFormat="1">
      <c r="A123" s="228" t="s">
        <v>103</v>
      </c>
      <c r="B123" s="232" t="s">
        <v>219</v>
      </c>
      <c r="C123" s="524">
        <f>C124+C125+C126+C127+C128+C129+C130+C131</f>
        <v>650000</v>
      </c>
      <c r="D123" s="524">
        <f>D124+D125+D126+D127+D128+D129+D130+D131</f>
        <v>650000</v>
      </c>
    </row>
    <row r="124" spans="1:4" s="557" customFormat="1">
      <c r="A124" s="228" t="s">
        <v>112</v>
      </c>
      <c r="B124" s="230" t="s">
        <v>422</v>
      </c>
      <c r="C124" s="524"/>
      <c r="D124" s="524"/>
    </row>
    <row r="125" spans="1:4" s="557" customFormat="1" ht="25.5">
      <c r="A125" s="228" t="s">
        <v>114</v>
      </c>
      <c r="B125" s="259" t="s">
        <v>365</v>
      </c>
      <c r="C125" s="524"/>
      <c r="D125" s="524"/>
    </row>
    <row r="126" spans="1:4" s="557" customFormat="1" ht="25.5">
      <c r="A126" s="228" t="s">
        <v>177</v>
      </c>
      <c r="B126" s="252" t="s">
        <v>349</v>
      </c>
      <c r="C126" s="524"/>
      <c r="D126" s="524"/>
    </row>
    <row r="127" spans="1:4" s="557" customFormat="1">
      <c r="A127" s="228" t="s">
        <v>178</v>
      </c>
      <c r="B127" s="252" t="s">
        <v>364</v>
      </c>
      <c r="C127" s="524"/>
      <c r="D127" s="524"/>
    </row>
    <row r="128" spans="1:4" s="557" customFormat="1">
      <c r="A128" s="228" t="s">
        <v>179</v>
      </c>
      <c r="B128" s="252" t="s">
        <v>363</v>
      </c>
      <c r="C128" s="524"/>
      <c r="D128" s="524"/>
    </row>
    <row r="129" spans="1:4" s="557" customFormat="1" ht="25.5">
      <c r="A129" s="228" t="s">
        <v>356</v>
      </c>
      <c r="B129" s="252" t="s">
        <v>352</v>
      </c>
      <c r="C129" s="524"/>
      <c r="D129" s="524"/>
    </row>
    <row r="130" spans="1:4" s="557" customFormat="1">
      <c r="A130" s="228" t="s">
        <v>357</v>
      </c>
      <c r="B130" s="252" t="s">
        <v>362</v>
      </c>
      <c r="C130" s="524"/>
      <c r="D130" s="524"/>
    </row>
    <row r="131" spans="1:4" s="557" customFormat="1" ht="26.25" thickBot="1">
      <c r="A131" s="253" t="s">
        <v>358</v>
      </c>
      <c r="B131" s="252" t="s">
        <v>361</v>
      </c>
      <c r="C131" s="525">
        <v>650000</v>
      </c>
      <c r="D131" s="525">
        <v>650000</v>
      </c>
    </row>
    <row r="132" spans="1:4" s="557" customFormat="1" ht="13.5" thickBot="1">
      <c r="A132" s="226" t="s">
        <v>16</v>
      </c>
      <c r="B132" s="260" t="s">
        <v>444</v>
      </c>
      <c r="C132" s="526">
        <f>+C96+C118</f>
        <v>970475075</v>
      </c>
      <c r="D132" s="526">
        <f>+D96+D118</f>
        <v>977832908</v>
      </c>
    </row>
    <row r="133" spans="1:4" s="557" customFormat="1" ht="13.5" thickBot="1">
      <c r="A133" s="226" t="s">
        <v>17</v>
      </c>
      <c r="B133" s="260" t="s">
        <v>445</v>
      </c>
      <c r="C133" s="526">
        <f>+C134+C135+C136</f>
        <v>0</v>
      </c>
      <c r="D133" s="526">
        <f>+D134+D135+D136</f>
        <v>0</v>
      </c>
    </row>
    <row r="134" spans="1:4" s="557" customFormat="1" ht="25.5">
      <c r="A134" s="228" t="s">
        <v>257</v>
      </c>
      <c r="B134" s="258" t="s">
        <v>452</v>
      </c>
      <c r="C134" s="524"/>
      <c r="D134" s="524"/>
    </row>
    <row r="135" spans="1:4" s="557" customFormat="1" ht="25.5">
      <c r="A135" s="228" t="s">
        <v>260</v>
      </c>
      <c r="B135" s="258" t="s">
        <v>453</v>
      </c>
      <c r="C135" s="524"/>
      <c r="D135" s="524"/>
    </row>
    <row r="136" spans="1:4" s="557" customFormat="1" ht="13.5" thickBot="1">
      <c r="A136" s="253" t="s">
        <v>261</v>
      </c>
      <c r="B136" s="258" t="s">
        <v>454</v>
      </c>
      <c r="C136" s="524"/>
      <c r="D136" s="524"/>
    </row>
    <row r="137" spans="1:4" s="557" customFormat="1" ht="13.5" thickBot="1">
      <c r="A137" s="226" t="s">
        <v>18</v>
      </c>
      <c r="B137" s="260" t="s">
        <v>446</v>
      </c>
      <c r="C137" s="526">
        <f>SUM(C138:C143)</f>
        <v>0</v>
      </c>
      <c r="D137" s="526">
        <f>SUM(D138:D143)</f>
        <v>0</v>
      </c>
    </row>
    <row r="138" spans="1:4" s="557" customFormat="1">
      <c r="A138" s="228" t="s">
        <v>86</v>
      </c>
      <c r="B138" s="261" t="s">
        <v>455</v>
      </c>
      <c r="C138" s="524"/>
      <c r="D138" s="524"/>
    </row>
    <row r="139" spans="1:4" s="557" customFormat="1">
      <c r="A139" s="228" t="s">
        <v>87</v>
      </c>
      <c r="B139" s="261" t="s">
        <v>447</v>
      </c>
      <c r="C139" s="524"/>
      <c r="D139" s="524"/>
    </row>
    <row r="140" spans="1:4" s="557" customFormat="1">
      <c r="A140" s="228" t="s">
        <v>88</v>
      </c>
      <c r="B140" s="261" t="s">
        <v>448</v>
      </c>
      <c r="C140" s="524"/>
      <c r="D140" s="524"/>
    </row>
    <row r="141" spans="1:4" s="557" customFormat="1">
      <c r="A141" s="228" t="s">
        <v>164</v>
      </c>
      <c r="B141" s="261" t="s">
        <v>449</v>
      </c>
      <c r="C141" s="524"/>
      <c r="D141" s="524"/>
    </row>
    <row r="142" spans="1:4" s="557" customFormat="1">
      <c r="A142" s="228" t="s">
        <v>165</v>
      </c>
      <c r="B142" s="261" t="s">
        <v>450</v>
      </c>
      <c r="C142" s="524"/>
      <c r="D142" s="524"/>
    </row>
    <row r="143" spans="1:4" s="557" customFormat="1" ht="13.5" thickBot="1">
      <c r="A143" s="253" t="s">
        <v>166</v>
      </c>
      <c r="B143" s="261" t="s">
        <v>451</v>
      </c>
      <c r="C143" s="524"/>
      <c r="D143" s="524"/>
    </row>
    <row r="144" spans="1:4" s="557" customFormat="1" ht="13.5" thickBot="1">
      <c r="A144" s="226" t="s">
        <v>19</v>
      </c>
      <c r="B144" s="260" t="s">
        <v>459</v>
      </c>
      <c r="C144" s="527">
        <f>+C145+C146+C147+C148</f>
        <v>8107720</v>
      </c>
      <c r="D144" s="527">
        <f>+D145+D146+D147+D148</f>
        <v>8107720</v>
      </c>
    </row>
    <row r="145" spans="1:4" s="557" customFormat="1">
      <c r="A145" s="228" t="s">
        <v>89</v>
      </c>
      <c r="B145" s="261" t="s">
        <v>366</v>
      </c>
      <c r="C145" s="524"/>
      <c r="D145" s="524"/>
    </row>
    <row r="146" spans="1:4" s="557" customFormat="1">
      <c r="A146" s="228" t="s">
        <v>90</v>
      </c>
      <c r="B146" s="261" t="s">
        <v>367</v>
      </c>
      <c r="C146" s="524">
        <v>8107720</v>
      </c>
      <c r="D146" s="524">
        <v>8107720</v>
      </c>
    </row>
    <row r="147" spans="1:4" s="557" customFormat="1">
      <c r="A147" s="228" t="s">
        <v>281</v>
      </c>
      <c r="B147" s="261" t="s">
        <v>460</v>
      </c>
      <c r="C147" s="524"/>
      <c r="D147" s="524"/>
    </row>
    <row r="148" spans="1:4" s="557" customFormat="1" ht="13.5" thickBot="1">
      <c r="A148" s="253" t="s">
        <v>282</v>
      </c>
      <c r="B148" s="262" t="s">
        <v>386</v>
      </c>
      <c r="C148" s="524"/>
      <c r="D148" s="524"/>
    </row>
    <row r="149" spans="1:4" s="557" customFormat="1" ht="13.5" thickBot="1">
      <c r="A149" s="226" t="s">
        <v>20</v>
      </c>
      <c r="B149" s="260" t="s">
        <v>461</v>
      </c>
      <c r="C149" s="528">
        <f>SUM(C150:C154)</f>
        <v>0</v>
      </c>
      <c r="D149" s="528">
        <f>SUM(D150:D154)</f>
        <v>0</v>
      </c>
    </row>
    <row r="150" spans="1:4" s="557" customFormat="1">
      <c r="A150" s="228" t="s">
        <v>91</v>
      </c>
      <c r="B150" s="261" t="s">
        <v>456</v>
      </c>
      <c r="C150" s="524"/>
      <c r="D150" s="524"/>
    </row>
    <row r="151" spans="1:4" s="557" customFormat="1">
      <c r="A151" s="228" t="s">
        <v>92</v>
      </c>
      <c r="B151" s="261" t="s">
        <v>463</v>
      </c>
      <c r="C151" s="524"/>
      <c r="D151" s="524"/>
    </row>
    <row r="152" spans="1:4" s="557" customFormat="1">
      <c r="A152" s="228" t="s">
        <v>293</v>
      </c>
      <c r="B152" s="261" t="s">
        <v>458</v>
      </c>
      <c r="C152" s="524"/>
      <c r="D152" s="524"/>
    </row>
    <row r="153" spans="1:4" s="557" customFormat="1" ht="25.5">
      <c r="A153" s="228" t="s">
        <v>294</v>
      </c>
      <c r="B153" s="261" t="s">
        <v>464</v>
      </c>
      <c r="C153" s="524"/>
      <c r="D153" s="524"/>
    </row>
    <row r="154" spans="1:4" s="557" customFormat="1" ht="13.5" thickBot="1">
      <c r="A154" s="228" t="s">
        <v>462</v>
      </c>
      <c r="B154" s="261" t="s">
        <v>465</v>
      </c>
      <c r="C154" s="524"/>
      <c r="D154" s="524"/>
    </row>
    <row r="155" spans="1:4" s="557" customFormat="1" ht="13.5" thickBot="1">
      <c r="A155" s="226" t="s">
        <v>21</v>
      </c>
      <c r="B155" s="260" t="s">
        <v>466</v>
      </c>
      <c r="C155" s="529"/>
      <c r="D155" s="529"/>
    </row>
    <row r="156" spans="1:4" s="557" customFormat="1" ht="13.5" thickBot="1">
      <c r="A156" s="226" t="s">
        <v>22</v>
      </c>
      <c r="B156" s="260" t="s">
        <v>541</v>
      </c>
      <c r="C156" s="529">
        <v>176260688</v>
      </c>
      <c r="D156" s="529">
        <v>176260688</v>
      </c>
    </row>
    <row r="157" spans="1:4" s="557" customFormat="1" ht="13.5" thickBot="1">
      <c r="A157" s="226" t="s">
        <v>23</v>
      </c>
      <c r="B157" s="260" t="s">
        <v>469</v>
      </c>
      <c r="C157" s="530">
        <f>+C133+C137+C144+C149+C155+C156</f>
        <v>184368408</v>
      </c>
      <c r="D157" s="530">
        <f>+D133+D137+D144+D149+D155+D156</f>
        <v>184368408</v>
      </c>
    </row>
    <row r="158" spans="1:4" s="42" customFormat="1" ht="13.5" thickBot="1">
      <c r="A158" s="264" t="s">
        <v>24</v>
      </c>
      <c r="B158" s="265" t="s">
        <v>468</v>
      </c>
      <c r="C158" s="530">
        <f>C132+C157</f>
        <v>1154843483</v>
      </c>
      <c r="D158" s="530">
        <f>D132+D157</f>
        <v>1162201316</v>
      </c>
    </row>
    <row r="159" spans="1:4" ht="13.5" thickBot="1">
      <c r="C159" s="589"/>
      <c r="D159" s="589"/>
    </row>
    <row r="160" spans="1:4" ht="13.5" thickBot="1">
      <c r="A160" s="30" t="s">
        <v>510</v>
      </c>
      <c r="B160" s="31"/>
      <c r="C160" s="592">
        <v>20</v>
      </c>
      <c r="D160" s="592">
        <v>20</v>
      </c>
    </row>
    <row r="161" spans="1:4" ht="13.5" thickBot="1">
      <c r="A161" s="30" t="s">
        <v>194</v>
      </c>
      <c r="B161" s="31"/>
      <c r="C161" s="32">
        <v>2</v>
      </c>
      <c r="D161" s="32">
        <f>2+7</f>
        <v>9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3" manualBreakCount="3">
    <brk id="65" max="16383" man="1"/>
    <brk id="91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H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28" customWidth="1"/>
    <col min="2" max="2" width="72" style="9" customWidth="1"/>
    <col min="3" max="4" width="20.33203125" style="29" bestFit="1" customWidth="1"/>
    <col min="5" max="5" width="9.33203125" style="9"/>
    <col min="6" max="6" width="10.83203125" style="9" bestFit="1" customWidth="1"/>
    <col min="7" max="7" width="10.5" style="9" bestFit="1" customWidth="1"/>
    <col min="8" max="8" width="9.6640625" style="9" bestFit="1" customWidth="1"/>
    <col min="9" max="16384" width="9.33203125" style="9"/>
  </cols>
  <sheetData>
    <row r="1" spans="1:4" s="101" customFormat="1" ht="16.5" customHeight="1" thickBot="1">
      <c r="A1" s="1"/>
      <c r="B1" s="102" t="s">
        <v>725</v>
      </c>
      <c r="C1" s="102"/>
      <c r="D1" s="102"/>
    </row>
    <row r="2" spans="1:4" s="104" customFormat="1" ht="21" customHeight="1">
      <c r="A2" s="2" t="s">
        <v>56</v>
      </c>
      <c r="B2" s="3" t="s">
        <v>536</v>
      </c>
      <c r="C2" s="103" t="s">
        <v>49</v>
      </c>
      <c r="D2" s="103" t="s">
        <v>49</v>
      </c>
    </row>
    <row r="3" spans="1:4" s="104" customFormat="1" ht="16.5" thickBot="1">
      <c r="A3" s="105" t="s">
        <v>191</v>
      </c>
      <c r="B3" s="4" t="s">
        <v>423</v>
      </c>
      <c r="C3" s="106" t="s">
        <v>54</v>
      </c>
      <c r="D3" s="106" t="s">
        <v>54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13.5" thickBot="1">
      <c r="A5" s="7" t="s">
        <v>193</v>
      </c>
      <c r="B5" s="8" t="s">
        <v>50</v>
      </c>
      <c r="C5" s="577"/>
      <c r="D5" s="577"/>
    </row>
    <row r="6" spans="1:4" s="33" customFormat="1" ht="38.1" customHeight="1" thickBot="1">
      <c r="A6" s="34" t="s">
        <v>64</v>
      </c>
      <c r="B6" s="35" t="s">
        <v>13</v>
      </c>
      <c r="C6" s="507" t="s">
        <v>692</v>
      </c>
      <c r="D6" s="507" t="s">
        <v>717</v>
      </c>
    </row>
    <row r="7" spans="1:4" s="38" customFormat="1" ht="12" customHeight="1" thickBot="1">
      <c r="A7" s="36" t="s">
        <v>483</v>
      </c>
      <c r="B7" s="37" t="s">
        <v>484</v>
      </c>
      <c r="C7" s="578" t="s">
        <v>485</v>
      </c>
      <c r="D7" s="578" t="s">
        <v>485</v>
      </c>
    </row>
    <row r="8" spans="1:4" s="42" customFormat="1" ht="12" customHeight="1" thickBot="1">
      <c r="A8" s="39" t="s">
        <v>14</v>
      </c>
      <c r="B8" s="40" t="s">
        <v>241</v>
      </c>
      <c r="C8" s="41">
        <f>+C9+C10+C11+C12+C13+C14</f>
        <v>223966276</v>
      </c>
      <c r="D8" s="41">
        <f>+D9+D10+D11+D12+D13+D14</f>
        <v>233099072</v>
      </c>
    </row>
    <row r="9" spans="1:4" s="42" customFormat="1" ht="12" customHeight="1">
      <c r="A9" s="43" t="s">
        <v>93</v>
      </c>
      <c r="B9" s="44" t="s">
        <v>242</v>
      </c>
      <c r="C9" s="45">
        <v>118506104</v>
      </c>
      <c r="D9" s="45">
        <f>118506104+267920</f>
        <v>118774024</v>
      </c>
    </row>
    <row r="10" spans="1:4" s="42" customFormat="1" ht="12" customHeight="1">
      <c r="A10" s="46" t="s">
        <v>94</v>
      </c>
      <c r="B10" s="47" t="s">
        <v>243</v>
      </c>
      <c r="C10" s="48">
        <v>64532484</v>
      </c>
      <c r="D10" s="48">
        <v>64532484</v>
      </c>
    </row>
    <row r="11" spans="1:4" s="42" customFormat="1" ht="12" customHeight="1">
      <c r="A11" s="46" t="s">
        <v>95</v>
      </c>
      <c r="B11" s="47" t="s">
        <v>244</v>
      </c>
      <c r="C11" s="48">
        <v>37842188</v>
      </c>
      <c r="D11" s="48">
        <v>37842188</v>
      </c>
    </row>
    <row r="12" spans="1:4" s="42" customFormat="1" ht="12" customHeight="1">
      <c r="A12" s="46" t="s">
        <v>96</v>
      </c>
      <c r="B12" s="47" t="s">
        <v>245</v>
      </c>
      <c r="C12" s="48">
        <v>3085500</v>
      </c>
      <c r="D12" s="48">
        <f>3085500+344876</f>
        <v>3430376</v>
      </c>
    </row>
    <row r="13" spans="1:4" s="42" customFormat="1" ht="12" customHeight="1">
      <c r="A13" s="46" t="s">
        <v>139</v>
      </c>
      <c r="B13" s="49" t="s">
        <v>426</v>
      </c>
      <c r="C13" s="48"/>
      <c r="D13" s="48">
        <f>8520000</f>
        <v>8520000</v>
      </c>
    </row>
    <row r="14" spans="1:4" s="42" customFormat="1" ht="12" customHeight="1" thickBot="1">
      <c r="A14" s="50" t="s">
        <v>97</v>
      </c>
      <c r="B14" s="51" t="s">
        <v>427</v>
      </c>
      <c r="C14" s="48"/>
      <c r="D14" s="48"/>
    </row>
    <row r="15" spans="1:4" s="42" customFormat="1" ht="12" customHeight="1" thickBot="1">
      <c r="A15" s="39" t="s">
        <v>15</v>
      </c>
      <c r="B15" s="52" t="s">
        <v>246</v>
      </c>
      <c r="C15" s="41">
        <f>+C16+C17+C18+C19+C20</f>
        <v>75066371</v>
      </c>
      <c r="D15" s="41">
        <f>+D16+D17+D18+D19+D20</f>
        <v>79913564</v>
      </c>
    </row>
    <row r="16" spans="1:4" s="42" customFormat="1" ht="12" customHeight="1">
      <c r="A16" s="43" t="s">
        <v>99</v>
      </c>
      <c r="B16" s="44" t="s">
        <v>247</v>
      </c>
      <c r="C16" s="45"/>
      <c r="D16" s="45"/>
    </row>
    <row r="17" spans="1:4" s="42" customFormat="1" ht="12" customHeight="1">
      <c r="A17" s="46" t="s">
        <v>100</v>
      </c>
      <c r="B17" s="47" t="s">
        <v>248</v>
      </c>
      <c r="C17" s="48"/>
      <c r="D17" s="48"/>
    </row>
    <row r="18" spans="1:4" s="42" customFormat="1" ht="12" customHeight="1">
      <c r="A18" s="46" t="s">
        <v>101</v>
      </c>
      <c r="B18" s="47" t="s">
        <v>416</v>
      </c>
      <c r="C18" s="48"/>
      <c r="D18" s="48"/>
    </row>
    <row r="19" spans="1:4" s="42" customFormat="1" ht="12" customHeight="1">
      <c r="A19" s="46" t="s">
        <v>102</v>
      </c>
      <c r="B19" s="47" t="s">
        <v>417</v>
      </c>
      <c r="C19" s="48"/>
      <c r="D19" s="48"/>
    </row>
    <row r="20" spans="1:4" s="42" customFormat="1" ht="12" customHeight="1">
      <c r="A20" s="46" t="s">
        <v>103</v>
      </c>
      <c r="B20" s="47" t="s">
        <v>249</v>
      </c>
      <c r="C20" s="48">
        <v>75066371</v>
      </c>
      <c r="D20" s="48">
        <f>75066371+695378+4151815</f>
        <v>79913564</v>
      </c>
    </row>
    <row r="21" spans="1:4" s="42" customFormat="1" ht="12" customHeight="1" thickBot="1">
      <c r="A21" s="50" t="s">
        <v>112</v>
      </c>
      <c r="B21" s="51" t="s">
        <v>250</v>
      </c>
      <c r="C21" s="53"/>
      <c r="D21" s="53"/>
    </row>
    <row r="22" spans="1:4" s="42" customFormat="1" ht="12" customHeight="1" thickBot="1">
      <c r="A22" s="39" t="s">
        <v>16</v>
      </c>
      <c r="B22" s="40" t="s">
        <v>251</v>
      </c>
      <c r="C22" s="41">
        <f>+C23+C24+C25+C26+C27</f>
        <v>39844721</v>
      </c>
      <c r="D22" s="41">
        <f>+D23+D24+D25+D26+D27</f>
        <v>32531109</v>
      </c>
    </row>
    <row r="23" spans="1:4" s="42" customFormat="1" ht="12" customHeight="1">
      <c r="A23" s="43" t="s">
        <v>82</v>
      </c>
      <c r="B23" s="44" t="s">
        <v>252</v>
      </c>
      <c r="C23" s="45"/>
      <c r="D23" s="45"/>
    </row>
    <row r="24" spans="1:4" s="42" customFormat="1" ht="12" customHeight="1">
      <c r="A24" s="46" t="s">
        <v>83</v>
      </c>
      <c r="B24" s="47" t="s">
        <v>253</v>
      </c>
      <c r="C24" s="48"/>
      <c r="D24" s="48"/>
    </row>
    <row r="25" spans="1:4" s="42" customFormat="1" ht="12" customHeight="1">
      <c r="A25" s="46" t="s">
        <v>84</v>
      </c>
      <c r="B25" s="47" t="s">
        <v>418</v>
      </c>
      <c r="C25" s="48"/>
      <c r="D25" s="48"/>
    </row>
    <row r="26" spans="1:4" s="42" customFormat="1" ht="12" customHeight="1">
      <c r="A26" s="46" t="s">
        <v>85</v>
      </c>
      <c r="B26" s="47" t="s">
        <v>419</v>
      </c>
      <c r="C26" s="48"/>
      <c r="D26" s="48"/>
    </row>
    <row r="27" spans="1:4" s="42" customFormat="1" ht="12" customHeight="1">
      <c r="A27" s="46" t="s">
        <v>160</v>
      </c>
      <c r="B27" s="47" t="s">
        <v>254</v>
      </c>
      <c r="C27" s="48">
        <v>39844721</v>
      </c>
      <c r="D27" s="48">
        <f>39844721-7313612</f>
        <v>32531109</v>
      </c>
    </row>
    <row r="28" spans="1:4" s="42" customFormat="1" ht="12" customHeight="1" thickBot="1">
      <c r="A28" s="50" t="s">
        <v>161</v>
      </c>
      <c r="B28" s="54" t="s">
        <v>255</v>
      </c>
      <c r="C28" s="53"/>
      <c r="D28" s="53"/>
    </row>
    <row r="29" spans="1:4" s="42" customFormat="1" ht="12" customHeight="1" thickBot="1">
      <c r="A29" s="39" t="s">
        <v>162</v>
      </c>
      <c r="B29" s="40" t="s">
        <v>256</v>
      </c>
      <c r="C29" s="55">
        <f>+C30+C34+C35+C36</f>
        <v>136700000</v>
      </c>
      <c r="D29" s="55">
        <f>+D30+D34+D35+D36</f>
        <v>136700000</v>
      </c>
    </row>
    <row r="30" spans="1:4" s="42" customFormat="1" ht="12" customHeight="1">
      <c r="A30" s="43" t="s">
        <v>257</v>
      </c>
      <c r="B30" s="110" t="s">
        <v>433</v>
      </c>
      <c r="C30" s="56">
        <f>+C31+C32+C33</f>
        <v>100000000</v>
      </c>
      <c r="D30" s="56">
        <f>+D31+D32+D33</f>
        <v>100000000</v>
      </c>
    </row>
    <row r="31" spans="1:4" s="42" customFormat="1" ht="12" customHeight="1">
      <c r="A31" s="46" t="s">
        <v>258</v>
      </c>
      <c r="B31" s="111" t="s">
        <v>593</v>
      </c>
      <c r="C31" s="48">
        <v>58000000</v>
      </c>
      <c r="D31" s="48">
        <v>58000000</v>
      </c>
    </row>
    <row r="32" spans="1:4" s="42" customFormat="1" ht="12" customHeight="1">
      <c r="A32" s="46" t="s">
        <v>259</v>
      </c>
      <c r="B32" s="111" t="s">
        <v>594</v>
      </c>
      <c r="C32" s="48"/>
      <c r="D32" s="48"/>
    </row>
    <row r="33" spans="1:6" s="42" customFormat="1" ht="12" customHeight="1">
      <c r="A33" s="46" t="s">
        <v>431</v>
      </c>
      <c r="B33" s="112" t="s">
        <v>432</v>
      </c>
      <c r="C33" s="48">
        <v>42000000</v>
      </c>
      <c r="D33" s="48">
        <v>42000000</v>
      </c>
    </row>
    <row r="34" spans="1:6" s="42" customFormat="1" ht="12" customHeight="1">
      <c r="A34" s="46" t="s">
        <v>260</v>
      </c>
      <c r="B34" s="111" t="s">
        <v>265</v>
      </c>
      <c r="C34" s="48">
        <v>9000000</v>
      </c>
      <c r="D34" s="48">
        <v>9000000</v>
      </c>
    </row>
    <row r="35" spans="1:6" s="42" customFormat="1" ht="12" customHeight="1">
      <c r="A35" s="46" t="s">
        <v>261</v>
      </c>
      <c r="B35" s="111" t="s">
        <v>575</v>
      </c>
      <c r="C35" s="48">
        <v>27500000</v>
      </c>
      <c r="D35" s="48">
        <v>27500000</v>
      </c>
    </row>
    <row r="36" spans="1:6" s="42" customFormat="1" ht="12" customHeight="1" thickBot="1">
      <c r="A36" s="50" t="s">
        <v>262</v>
      </c>
      <c r="B36" s="113" t="s">
        <v>267</v>
      </c>
      <c r="C36" s="53">
        <v>200000</v>
      </c>
      <c r="D36" s="53">
        <v>200000</v>
      </c>
    </row>
    <row r="37" spans="1:6" s="42" customFormat="1" ht="12" customHeight="1" thickBot="1">
      <c r="A37" s="39" t="s">
        <v>18</v>
      </c>
      <c r="B37" s="40" t="s">
        <v>428</v>
      </c>
      <c r="C37" s="41">
        <f>SUM(C38:C48)</f>
        <v>13513783</v>
      </c>
      <c r="D37" s="41">
        <f>SUM(D38:D48)</f>
        <v>14953679</v>
      </c>
    </row>
    <row r="38" spans="1:6" s="42" customFormat="1" ht="12" customHeight="1">
      <c r="A38" s="43" t="s">
        <v>86</v>
      </c>
      <c r="B38" s="44" t="s">
        <v>270</v>
      </c>
      <c r="C38" s="45"/>
      <c r="D38" s="45"/>
    </row>
    <row r="39" spans="1:6" s="42" customFormat="1" ht="12" customHeight="1">
      <c r="A39" s="46" t="s">
        <v>87</v>
      </c>
      <c r="B39" s="47" t="s">
        <v>271</v>
      </c>
      <c r="C39" s="48">
        <f>4214790+3149606+787402</f>
        <v>8151798</v>
      </c>
      <c r="D39" s="48">
        <f>4214790+3149606+869637+787402+170045+94095</f>
        <v>9285575</v>
      </c>
    </row>
    <row r="40" spans="1:6" s="42" customFormat="1" ht="12" customHeight="1">
      <c r="A40" s="46" t="s">
        <v>88</v>
      </c>
      <c r="B40" s="47" t="s">
        <v>272</v>
      </c>
      <c r="C40" s="48">
        <v>1650000</v>
      </c>
      <c r="D40" s="48">
        <v>1650000</v>
      </c>
    </row>
    <row r="41" spans="1:6" s="42" customFormat="1" ht="12" customHeight="1">
      <c r="A41" s="46" t="s">
        <v>164</v>
      </c>
      <c r="B41" s="47" t="s">
        <v>273</v>
      </c>
      <c r="C41" s="48"/>
      <c r="D41" s="48"/>
    </row>
    <row r="42" spans="1:6" s="42" customFormat="1" ht="12" customHeight="1">
      <c r="A42" s="46" t="s">
        <v>165</v>
      </c>
      <c r="B42" s="47" t="s">
        <v>274</v>
      </c>
      <c r="C42" s="48">
        <f>1500000</f>
        <v>1500000</v>
      </c>
      <c r="D42" s="48">
        <f>1500000</f>
        <v>1500000</v>
      </c>
      <c r="F42" s="576"/>
    </row>
    <row r="43" spans="1:6" s="42" customFormat="1" ht="12" customHeight="1">
      <c r="A43" s="46" t="s">
        <v>166</v>
      </c>
      <c r="B43" s="47" t="s">
        <v>275</v>
      </c>
      <c r="C43" s="48">
        <f>1137993+212598+850394</f>
        <v>2200985</v>
      </c>
      <c r="D43" s="48">
        <f>1137993+850394+212598+234802+45912+25405</f>
        <v>2507104</v>
      </c>
    </row>
    <row r="44" spans="1:6" s="42" customFormat="1" ht="12" customHeight="1">
      <c r="A44" s="46" t="s">
        <v>167</v>
      </c>
      <c r="B44" s="47" t="s">
        <v>276</v>
      </c>
      <c r="C44" s="48"/>
      <c r="D44" s="48"/>
    </row>
    <row r="45" spans="1:6" s="42" customFormat="1" ht="12" customHeight="1">
      <c r="A45" s="46" t="s">
        <v>168</v>
      </c>
      <c r="B45" s="47" t="s">
        <v>277</v>
      </c>
      <c r="C45" s="48">
        <f>1000</f>
        <v>1000</v>
      </c>
      <c r="D45" s="48">
        <f>1000</f>
        <v>1000</v>
      </c>
    </row>
    <row r="46" spans="1:6" s="42" customFormat="1" ht="12" customHeight="1">
      <c r="A46" s="46" t="s">
        <v>268</v>
      </c>
      <c r="B46" s="47" t="s">
        <v>278</v>
      </c>
      <c r="C46" s="58"/>
      <c r="D46" s="58"/>
    </row>
    <row r="47" spans="1:6" s="42" customFormat="1" ht="12" customHeight="1">
      <c r="A47" s="50" t="s">
        <v>269</v>
      </c>
      <c r="B47" s="54" t="s">
        <v>430</v>
      </c>
      <c r="C47" s="59"/>
      <c r="D47" s="59"/>
    </row>
    <row r="48" spans="1:6" s="42" customFormat="1" ht="12" customHeight="1" thickBot="1">
      <c r="A48" s="50" t="s">
        <v>429</v>
      </c>
      <c r="B48" s="51" t="s">
        <v>279</v>
      </c>
      <c r="C48" s="59">
        <f>10000</f>
        <v>10000</v>
      </c>
      <c r="D48" s="59">
        <f>10000</f>
        <v>10000</v>
      </c>
    </row>
    <row r="49" spans="1:4" s="42" customFormat="1" ht="12" customHeight="1" thickBot="1">
      <c r="A49" s="39" t="s">
        <v>19</v>
      </c>
      <c r="B49" s="40" t="s">
        <v>280</v>
      </c>
      <c r="C49" s="41">
        <f>SUM(C50:C54)</f>
        <v>0</v>
      </c>
      <c r="D49" s="41">
        <f>SUM(D50:D54)</f>
        <v>0</v>
      </c>
    </row>
    <row r="50" spans="1:4" s="42" customFormat="1" ht="12" customHeight="1">
      <c r="A50" s="43" t="s">
        <v>89</v>
      </c>
      <c r="B50" s="44" t="s">
        <v>284</v>
      </c>
      <c r="C50" s="60"/>
      <c r="D50" s="60"/>
    </row>
    <row r="51" spans="1:4" s="42" customFormat="1" ht="12" customHeight="1">
      <c r="A51" s="46" t="s">
        <v>90</v>
      </c>
      <c r="B51" s="47" t="s">
        <v>285</v>
      </c>
      <c r="C51" s="58"/>
      <c r="D51" s="58"/>
    </row>
    <row r="52" spans="1:4" s="42" customFormat="1" ht="12" customHeight="1">
      <c r="A52" s="46" t="s">
        <v>281</v>
      </c>
      <c r="B52" s="47" t="s">
        <v>286</v>
      </c>
      <c r="C52" s="58"/>
      <c r="D52" s="58"/>
    </row>
    <row r="53" spans="1:4" s="42" customFormat="1" ht="12" customHeight="1">
      <c r="A53" s="46" t="s">
        <v>282</v>
      </c>
      <c r="B53" s="47" t="s">
        <v>287</v>
      </c>
      <c r="C53" s="58"/>
      <c r="D53" s="58"/>
    </row>
    <row r="54" spans="1:4" s="42" customFormat="1" ht="12" customHeight="1" thickBot="1">
      <c r="A54" s="50" t="s">
        <v>283</v>
      </c>
      <c r="B54" s="51" t="s">
        <v>288</v>
      </c>
      <c r="C54" s="59"/>
      <c r="D54" s="59"/>
    </row>
    <row r="55" spans="1:4" s="42" customFormat="1" ht="12" customHeight="1" thickBot="1">
      <c r="A55" s="39" t="s">
        <v>169</v>
      </c>
      <c r="B55" s="40" t="s">
        <v>289</v>
      </c>
      <c r="C55" s="41">
        <f>SUM(C56:C58)</f>
        <v>505503</v>
      </c>
      <c r="D55" s="41">
        <f>SUM(D56:D58)</f>
        <v>505503</v>
      </c>
    </row>
    <row r="56" spans="1:4" s="42" customFormat="1" ht="12" customHeight="1">
      <c r="A56" s="43" t="s">
        <v>91</v>
      </c>
      <c r="B56" s="44" t="s">
        <v>290</v>
      </c>
      <c r="C56" s="45"/>
      <c r="D56" s="45"/>
    </row>
    <row r="57" spans="1:4" s="42" customFormat="1" ht="12" customHeight="1">
      <c r="A57" s="46" t="s">
        <v>92</v>
      </c>
      <c r="B57" s="47" t="s">
        <v>420</v>
      </c>
      <c r="C57" s="48"/>
      <c r="D57" s="48"/>
    </row>
    <row r="58" spans="1:4" s="42" customFormat="1" ht="12" customHeight="1">
      <c r="A58" s="46" t="s">
        <v>293</v>
      </c>
      <c r="B58" s="47" t="s">
        <v>291</v>
      </c>
      <c r="C58" s="48">
        <v>505503</v>
      </c>
      <c r="D58" s="48">
        <v>505503</v>
      </c>
    </row>
    <row r="59" spans="1:4" s="42" customFormat="1" ht="12" customHeight="1" thickBot="1">
      <c r="A59" s="50" t="s">
        <v>294</v>
      </c>
      <c r="B59" s="51" t="s">
        <v>292</v>
      </c>
      <c r="C59" s="53"/>
      <c r="D59" s="53"/>
    </row>
    <row r="60" spans="1:4" s="42" customFormat="1" ht="12" customHeight="1" thickBot="1">
      <c r="A60" s="39" t="s">
        <v>21</v>
      </c>
      <c r="B60" s="52" t="s">
        <v>295</v>
      </c>
      <c r="C60" s="41">
        <f>SUM(C61:C63)</f>
        <v>0</v>
      </c>
      <c r="D60" s="41">
        <f>SUM(D61:D63)</f>
        <v>0</v>
      </c>
    </row>
    <row r="61" spans="1:4" s="42" customFormat="1" ht="12" customHeight="1">
      <c r="A61" s="43" t="s">
        <v>170</v>
      </c>
      <c r="B61" s="44" t="s">
        <v>297</v>
      </c>
      <c r="C61" s="58"/>
      <c r="D61" s="58"/>
    </row>
    <row r="62" spans="1:4" s="42" customFormat="1" ht="12" customHeight="1">
      <c r="A62" s="46" t="s">
        <v>171</v>
      </c>
      <c r="B62" s="47" t="s">
        <v>421</v>
      </c>
      <c r="C62" s="58"/>
      <c r="D62" s="58"/>
    </row>
    <row r="63" spans="1:4" s="42" customFormat="1" ht="12" customHeight="1">
      <c r="A63" s="46" t="s">
        <v>218</v>
      </c>
      <c r="B63" s="47" t="s">
        <v>298</v>
      </c>
      <c r="C63" s="58"/>
      <c r="D63" s="58"/>
    </row>
    <row r="64" spans="1:4" s="42" customFormat="1" ht="12" customHeight="1" thickBot="1">
      <c r="A64" s="50" t="s">
        <v>296</v>
      </c>
      <c r="B64" s="51" t="s">
        <v>299</v>
      </c>
      <c r="C64" s="58"/>
      <c r="D64" s="58"/>
    </row>
    <row r="65" spans="1:4" s="42" customFormat="1" ht="12" customHeight="1" thickBot="1">
      <c r="A65" s="61" t="s">
        <v>472</v>
      </c>
      <c r="B65" s="40" t="s">
        <v>300</v>
      </c>
      <c r="C65" s="55">
        <f>+C8+C15+C22+C29+C37+C49+C55+C60</f>
        <v>489596654</v>
      </c>
      <c r="D65" s="55">
        <f>+D8+D15+D22+D29+D37+D49+D55+D60</f>
        <v>497702927</v>
      </c>
    </row>
    <row r="66" spans="1:4" s="42" customFormat="1" ht="12" customHeight="1" thickBot="1">
      <c r="A66" s="62" t="s">
        <v>301</v>
      </c>
      <c r="B66" s="52" t="s">
        <v>302</v>
      </c>
      <c r="C66" s="41">
        <f>SUM(C67:C69)</f>
        <v>0</v>
      </c>
      <c r="D66" s="41">
        <f>SUM(D67:D69)</f>
        <v>0</v>
      </c>
    </row>
    <row r="67" spans="1:4" s="42" customFormat="1" ht="12" customHeight="1">
      <c r="A67" s="43" t="s">
        <v>333</v>
      </c>
      <c r="B67" s="44" t="s">
        <v>303</v>
      </c>
      <c r="C67" s="58"/>
      <c r="D67" s="58"/>
    </row>
    <row r="68" spans="1:4" s="42" customFormat="1" ht="12" customHeight="1">
      <c r="A68" s="46" t="s">
        <v>342</v>
      </c>
      <c r="B68" s="47" t="s">
        <v>304</v>
      </c>
      <c r="C68" s="58"/>
      <c r="D68" s="58"/>
    </row>
    <row r="69" spans="1:4" s="42" customFormat="1" ht="12" customHeight="1" thickBot="1">
      <c r="A69" s="50" t="s">
        <v>343</v>
      </c>
      <c r="B69" s="63" t="s">
        <v>457</v>
      </c>
      <c r="C69" s="58"/>
      <c r="D69" s="58"/>
    </row>
    <row r="70" spans="1:4" s="42" customFormat="1" ht="12" customHeight="1" thickBot="1">
      <c r="A70" s="62" t="s">
        <v>306</v>
      </c>
      <c r="B70" s="52" t="s">
        <v>307</v>
      </c>
      <c r="C70" s="41">
        <f>SUM(C71:C74)</f>
        <v>0</v>
      </c>
      <c r="D70" s="41">
        <f>SUM(D71:D74)</f>
        <v>0</v>
      </c>
    </row>
    <row r="71" spans="1:4" s="42" customFormat="1" ht="12" customHeight="1">
      <c r="A71" s="43" t="s">
        <v>140</v>
      </c>
      <c r="B71" s="44" t="s">
        <v>308</v>
      </c>
      <c r="C71" s="58"/>
      <c r="D71" s="58"/>
    </row>
    <row r="72" spans="1:4" s="42" customFormat="1" ht="12" customHeight="1">
      <c r="A72" s="46" t="s">
        <v>141</v>
      </c>
      <c r="B72" s="47" t="s">
        <v>309</v>
      </c>
      <c r="C72" s="58"/>
      <c r="D72" s="58"/>
    </row>
    <row r="73" spans="1:4" s="42" customFormat="1" ht="12" customHeight="1">
      <c r="A73" s="46" t="s">
        <v>334</v>
      </c>
      <c r="B73" s="47" t="s">
        <v>310</v>
      </c>
      <c r="C73" s="58"/>
      <c r="D73" s="58"/>
    </row>
    <row r="74" spans="1:4" s="42" customFormat="1" ht="12" customHeight="1" thickBot="1">
      <c r="A74" s="50" t="s">
        <v>335</v>
      </c>
      <c r="B74" s="51" t="s">
        <v>311</v>
      </c>
      <c r="C74" s="58"/>
      <c r="D74" s="58"/>
    </row>
    <row r="75" spans="1:4" s="42" customFormat="1" ht="12" customHeight="1" thickBot="1">
      <c r="A75" s="62" t="s">
        <v>312</v>
      </c>
      <c r="B75" s="52" t="s">
        <v>313</v>
      </c>
      <c r="C75" s="41">
        <f>SUM(C76:C77)</f>
        <v>541000000</v>
      </c>
      <c r="D75" s="41">
        <f>SUM(D76:D77)</f>
        <v>541475499</v>
      </c>
    </row>
    <row r="76" spans="1:4" s="42" customFormat="1" ht="12" customHeight="1">
      <c r="A76" s="43" t="s">
        <v>336</v>
      </c>
      <c r="B76" s="44" t="s">
        <v>314</v>
      </c>
      <c r="C76" s="58">
        <v>541000000</v>
      </c>
      <c r="D76" s="58">
        <f>541000000+475499</f>
        <v>541475499</v>
      </c>
    </row>
    <row r="77" spans="1:4" s="42" customFormat="1" ht="12" customHeight="1" thickBot="1">
      <c r="A77" s="50" t="s">
        <v>337</v>
      </c>
      <c r="B77" s="51" t="s">
        <v>315</v>
      </c>
      <c r="C77" s="58"/>
      <c r="D77" s="58"/>
    </row>
    <row r="78" spans="1:4" s="42" customFormat="1" ht="12" customHeight="1" thickBot="1">
      <c r="A78" s="62" t="s">
        <v>316</v>
      </c>
      <c r="B78" s="52" t="s">
        <v>317</v>
      </c>
      <c r="C78" s="41">
        <f>SUM(C79:C81)</f>
        <v>0</v>
      </c>
      <c r="D78" s="41">
        <f>SUM(D79:D81)</f>
        <v>0</v>
      </c>
    </row>
    <row r="79" spans="1:4" s="42" customFormat="1" ht="12" customHeight="1">
      <c r="A79" s="43" t="s">
        <v>338</v>
      </c>
      <c r="B79" s="44" t="s">
        <v>318</v>
      </c>
      <c r="C79" s="58"/>
      <c r="D79" s="58"/>
    </row>
    <row r="80" spans="1:4" s="42" customFormat="1" ht="12" customHeight="1">
      <c r="A80" s="46" t="s">
        <v>339</v>
      </c>
      <c r="B80" s="47" t="s">
        <v>319</v>
      </c>
      <c r="C80" s="58"/>
      <c r="D80" s="58"/>
    </row>
    <row r="81" spans="1:8" s="42" customFormat="1" ht="12" customHeight="1" thickBot="1">
      <c r="A81" s="50" t="s">
        <v>340</v>
      </c>
      <c r="B81" s="51" t="s">
        <v>320</v>
      </c>
      <c r="C81" s="58"/>
      <c r="D81" s="58"/>
    </row>
    <row r="82" spans="1:8" s="42" customFormat="1" ht="12" customHeight="1" thickBot="1">
      <c r="A82" s="62" t="s">
        <v>321</v>
      </c>
      <c r="B82" s="52" t="s">
        <v>341</v>
      </c>
      <c r="C82" s="41">
        <f>SUM(C83:C86)</f>
        <v>0</v>
      </c>
      <c r="D82" s="41">
        <f>SUM(D83:D86)</f>
        <v>0</v>
      </c>
    </row>
    <row r="83" spans="1:8" s="42" customFormat="1" ht="12" customHeight="1">
      <c r="A83" s="64" t="s">
        <v>322</v>
      </c>
      <c r="B83" s="44" t="s">
        <v>323</v>
      </c>
      <c r="C83" s="58"/>
      <c r="D83" s="58"/>
    </row>
    <row r="84" spans="1:8" s="42" customFormat="1" ht="12" customHeight="1">
      <c r="A84" s="65" t="s">
        <v>324</v>
      </c>
      <c r="B84" s="47" t="s">
        <v>325</v>
      </c>
      <c r="C84" s="58"/>
      <c r="D84" s="58"/>
    </row>
    <row r="85" spans="1:8" s="42" customFormat="1" ht="12" customHeight="1">
      <c r="A85" s="65" t="s">
        <v>326</v>
      </c>
      <c r="B85" s="47" t="s">
        <v>327</v>
      </c>
      <c r="C85" s="58"/>
      <c r="D85" s="58"/>
    </row>
    <row r="86" spans="1:8" s="42" customFormat="1" ht="12" customHeight="1" thickBot="1">
      <c r="A86" s="66" t="s">
        <v>328</v>
      </c>
      <c r="B86" s="51" t="s">
        <v>329</v>
      </c>
      <c r="C86" s="58"/>
      <c r="D86" s="58"/>
    </row>
    <row r="87" spans="1:8" s="42" customFormat="1" ht="12" customHeight="1" thickBot="1">
      <c r="A87" s="62" t="s">
        <v>330</v>
      </c>
      <c r="B87" s="52" t="s">
        <v>471</v>
      </c>
      <c r="C87" s="67"/>
      <c r="D87" s="67"/>
    </row>
    <row r="88" spans="1:8" s="42" customFormat="1" ht="13.5" customHeight="1" thickBot="1">
      <c r="A88" s="62" t="s">
        <v>332</v>
      </c>
      <c r="B88" s="52" t="s">
        <v>331</v>
      </c>
      <c r="C88" s="67"/>
      <c r="D88" s="67"/>
    </row>
    <row r="89" spans="1:8" s="42" customFormat="1" ht="15.75" customHeight="1" thickBot="1">
      <c r="A89" s="62" t="s">
        <v>344</v>
      </c>
      <c r="B89" s="68" t="s">
        <v>474</v>
      </c>
      <c r="C89" s="55">
        <f>+C66+C70+C75+C78+C82+C88+C87</f>
        <v>541000000</v>
      </c>
      <c r="D89" s="55">
        <f>+D66+D70+D75+D78+D82+D88+D87</f>
        <v>541475499</v>
      </c>
    </row>
    <row r="90" spans="1:8" s="42" customFormat="1" ht="16.5" customHeight="1" thickBot="1">
      <c r="A90" s="69" t="s">
        <v>473</v>
      </c>
      <c r="B90" s="70" t="s">
        <v>475</v>
      </c>
      <c r="C90" s="55">
        <f>+C65+C89</f>
        <v>1030596654</v>
      </c>
      <c r="D90" s="55">
        <f>+D65+D89</f>
        <v>1039178426</v>
      </c>
      <c r="H90" s="576"/>
    </row>
    <row r="91" spans="1:8" s="42" customFormat="1" ht="83.25" customHeight="1">
      <c r="A91" s="71"/>
      <c r="B91" s="72"/>
      <c r="C91" s="579"/>
      <c r="D91" s="579"/>
    </row>
    <row r="92" spans="1:8" s="33" customFormat="1" ht="16.5" customHeight="1">
      <c r="A92" s="705" t="s">
        <v>42</v>
      </c>
      <c r="B92" s="705"/>
    </row>
    <row r="93" spans="1:8" s="33" customFormat="1" ht="16.5" customHeight="1" thickBot="1">
      <c r="A93" s="707" t="s">
        <v>143</v>
      </c>
      <c r="B93" s="707"/>
      <c r="C93" s="574"/>
      <c r="D93" s="574"/>
    </row>
    <row r="94" spans="1:8" s="33" customFormat="1" ht="38.1" customHeight="1" thickBot="1">
      <c r="A94" s="34" t="s">
        <v>64</v>
      </c>
      <c r="B94" s="35" t="s">
        <v>43</v>
      </c>
      <c r="C94" s="507" t="s">
        <v>692</v>
      </c>
      <c r="D94" s="507" t="s">
        <v>717</v>
      </c>
    </row>
    <row r="95" spans="1:8" s="38" customFormat="1" ht="12" customHeight="1" thickBot="1">
      <c r="A95" s="73" t="s">
        <v>483</v>
      </c>
      <c r="B95" s="74" t="s">
        <v>484</v>
      </c>
      <c r="C95" s="580" t="s">
        <v>485</v>
      </c>
      <c r="D95" s="580" t="s">
        <v>485</v>
      </c>
    </row>
    <row r="96" spans="1:8" s="33" customFormat="1" ht="12" customHeight="1" thickBot="1">
      <c r="A96" s="75" t="s">
        <v>14</v>
      </c>
      <c r="B96" s="76" t="s">
        <v>625</v>
      </c>
      <c r="C96" s="77">
        <f>C97+C98+C99+C100+C101+C114</f>
        <v>476315485</v>
      </c>
      <c r="D96" s="77">
        <f>D97+D98+D99+D100+D101+D114</f>
        <v>499397482</v>
      </c>
    </row>
    <row r="97" spans="1:7" s="33" customFormat="1" ht="12" customHeight="1">
      <c r="A97" s="78" t="s">
        <v>93</v>
      </c>
      <c r="B97" s="15" t="s">
        <v>44</v>
      </c>
      <c r="C97" s="79">
        <f>81039317-'9.1.2. sz. mell '!C97</f>
        <v>67284917</v>
      </c>
      <c r="D97" s="79">
        <f>81039317-'9.1.2. sz. mell '!D97+775698+4647201-1006323</f>
        <v>72807816</v>
      </c>
      <c r="G97" s="701"/>
    </row>
    <row r="98" spans="1:7" s="33" customFormat="1" ht="12" customHeight="1">
      <c r="A98" s="46" t="s">
        <v>94</v>
      </c>
      <c r="B98" s="16" t="s">
        <v>172</v>
      </c>
      <c r="C98" s="48">
        <f>17133121-'9.1.2. sz. mell '!C98</f>
        <v>14301577</v>
      </c>
      <c r="D98" s="48">
        <f>17133121-'9.1.2. sz. mell '!D98+75631+453102-98116</f>
        <v>14849810</v>
      </c>
    </row>
    <row r="99" spans="1:7" s="33" customFormat="1" ht="12" customHeight="1">
      <c r="A99" s="46" t="s">
        <v>95</v>
      </c>
      <c r="B99" s="16" t="s">
        <v>131</v>
      </c>
      <c r="C99" s="53">
        <v>180717408</v>
      </c>
      <c r="D99" s="53">
        <f>180717408+215957-127000</f>
        <v>180806365</v>
      </c>
    </row>
    <row r="100" spans="1:7" s="33" customFormat="1" ht="12" customHeight="1">
      <c r="A100" s="46" t="s">
        <v>96</v>
      </c>
      <c r="B100" s="80" t="s">
        <v>173</v>
      </c>
      <c r="C100" s="53">
        <f>7330000</f>
        <v>7330000</v>
      </c>
      <c r="D100" s="53">
        <f>7330000</f>
        <v>7330000</v>
      </c>
    </row>
    <row r="101" spans="1:7" s="33" customFormat="1" ht="12" customHeight="1">
      <c r="A101" s="46" t="s">
        <v>107</v>
      </c>
      <c r="B101" s="81" t="s">
        <v>174</v>
      </c>
      <c r="C101" s="53">
        <f>C102+C103+C104+C105+C106+C107+C108+C109+C110+C111+C112+C113</f>
        <v>173511355</v>
      </c>
      <c r="D101" s="53">
        <f>D102+D103+D104+D105+D106+D107+D108+D109+D110+D111+D112+D113</f>
        <v>176463084</v>
      </c>
    </row>
    <row r="102" spans="1:7" s="33" customFormat="1" ht="12" customHeight="1">
      <c r="A102" s="46" t="s">
        <v>97</v>
      </c>
      <c r="B102" s="16" t="s">
        <v>438</v>
      </c>
      <c r="C102" s="53"/>
      <c r="D102" s="53"/>
    </row>
    <row r="103" spans="1:7" s="33" customFormat="1" ht="12" customHeight="1">
      <c r="A103" s="46" t="s">
        <v>98</v>
      </c>
      <c r="B103" s="82" t="s">
        <v>437</v>
      </c>
      <c r="C103" s="53"/>
      <c r="D103" s="53"/>
    </row>
    <row r="104" spans="1:7" s="33" customFormat="1" ht="12" customHeight="1">
      <c r="A104" s="46" t="s">
        <v>108</v>
      </c>
      <c r="B104" s="82" t="s">
        <v>436</v>
      </c>
      <c r="C104" s="53">
        <v>1505503</v>
      </c>
      <c r="D104" s="53">
        <f>1505503+2886754+64975</f>
        <v>4457232</v>
      </c>
    </row>
    <row r="105" spans="1:7" s="33" customFormat="1" ht="12" customHeight="1">
      <c r="A105" s="46" t="s">
        <v>109</v>
      </c>
      <c r="B105" s="83" t="s">
        <v>347</v>
      </c>
      <c r="C105" s="53"/>
      <c r="D105" s="53"/>
    </row>
    <row r="106" spans="1:7" s="33" customFormat="1" ht="12" customHeight="1">
      <c r="A106" s="46" t="s">
        <v>110</v>
      </c>
      <c r="B106" s="84" t="s">
        <v>348</v>
      </c>
      <c r="C106" s="53"/>
      <c r="D106" s="53"/>
    </row>
    <row r="107" spans="1:7" s="33" customFormat="1" ht="12" customHeight="1">
      <c r="A107" s="46" t="s">
        <v>111</v>
      </c>
      <c r="B107" s="84" t="s">
        <v>349</v>
      </c>
      <c r="C107" s="53"/>
      <c r="D107" s="53"/>
    </row>
    <row r="108" spans="1:7" s="33" customFormat="1" ht="12" customHeight="1">
      <c r="A108" s="46" t="s">
        <v>113</v>
      </c>
      <c r="B108" s="83" t="s">
        <v>350</v>
      </c>
      <c r="C108" s="53">
        <v>129940852</v>
      </c>
      <c r="D108" s="53">
        <v>129940852</v>
      </c>
    </row>
    <row r="109" spans="1:7" s="33" customFormat="1" ht="12" customHeight="1">
      <c r="A109" s="46" t="s">
        <v>175</v>
      </c>
      <c r="B109" s="83" t="s">
        <v>351</v>
      </c>
      <c r="C109" s="53"/>
      <c r="D109" s="53"/>
    </row>
    <row r="110" spans="1:7" s="33" customFormat="1" ht="12" customHeight="1">
      <c r="A110" s="46" t="s">
        <v>345</v>
      </c>
      <c r="B110" s="84" t="s">
        <v>352</v>
      </c>
      <c r="C110" s="53"/>
      <c r="D110" s="53"/>
    </row>
    <row r="111" spans="1:7" s="33" customFormat="1" ht="12" customHeight="1">
      <c r="A111" s="85" t="s">
        <v>346</v>
      </c>
      <c r="B111" s="82" t="s">
        <v>353</v>
      </c>
      <c r="C111" s="53"/>
      <c r="D111" s="53"/>
    </row>
    <row r="112" spans="1:7" s="33" customFormat="1" ht="12" customHeight="1">
      <c r="A112" s="46" t="s">
        <v>434</v>
      </c>
      <c r="B112" s="82" t="s">
        <v>354</v>
      </c>
      <c r="C112" s="53"/>
      <c r="D112" s="53"/>
    </row>
    <row r="113" spans="1:4" s="33" customFormat="1" ht="12" customHeight="1">
      <c r="A113" s="50" t="s">
        <v>435</v>
      </c>
      <c r="B113" s="82" t="s">
        <v>355</v>
      </c>
      <c r="C113" s="53">
        <f>42065000</f>
        <v>42065000</v>
      </c>
      <c r="D113" s="53">
        <f>42065000</f>
        <v>42065000</v>
      </c>
    </row>
    <row r="114" spans="1:4" s="33" customFormat="1" ht="12" customHeight="1">
      <c r="A114" s="46" t="s">
        <v>439</v>
      </c>
      <c r="B114" s="80" t="s">
        <v>45</v>
      </c>
      <c r="C114" s="48">
        <f>C115+C117</f>
        <v>33170228</v>
      </c>
      <c r="D114" s="48">
        <f>D115+D117</f>
        <v>47140407</v>
      </c>
    </row>
    <row r="115" spans="1:4" s="33" customFormat="1" ht="12" customHeight="1">
      <c r="A115" s="46" t="s">
        <v>440</v>
      </c>
      <c r="B115" s="16" t="s">
        <v>442</v>
      </c>
      <c r="C115" s="48">
        <v>4078482</v>
      </c>
      <c r="D115" s="48">
        <f>4078482+267920+344876-2631579+1600000+7313613+475499-2886754-64975</f>
        <v>8497082</v>
      </c>
    </row>
    <row r="116" spans="1:4" s="33" customFormat="1" ht="12" customHeight="1">
      <c r="A116" s="50"/>
      <c r="B116" s="16" t="s">
        <v>665</v>
      </c>
      <c r="C116" s="53"/>
      <c r="D116" s="53"/>
    </row>
    <row r="117" spans="1:4" s="33" customFormat="1" ht="12" customHeight="1" thickBot="1">
      <c r="A117" s="86" t="s">
        <v>441</v>
      </c>
      <c r="B117" s="87" t="s">
        <v>443</v>
      </c>
      <c r="C117" s="88">
        <f>29091746</f>
        <v>29091746</v>
      </c>
      <c r="D117" s="88">
        <f>29091746+2631579-1600000+8520000</f>
        <v>38643325</v>
      </c>
    </row>
    <row r="118" spans="1:4" s="33" customFormat="1" ht="12" customHeight="1" thickBot="1">
      <c r="A118" s="89" t="s">
        <v>15</v>
      </c>
      <c r="B118" s="90" t="s">
        <v>626</v>
      </c>
      <c r="C118" s="581">
        <f>+C119+C121+C123</f>
        <v>369912761</v>
      </c>
      <c r="D118" s="581">
        <f>+D119+D121+D123</f>
        <v>355412536</v>
      </c>
    </row>
    <row r="119" spans="1:4" s="33" customFormat="1" ht="12" customHeight="1">
      <c r="A119" s="43" t="s">
        <v>99</v>
      </c>
      <c r="B119" s="16" t="s">
        <v>217</v>
      </c>
      <c r="C119" s="45">
        <f>304198564-'9.1.2. sz. mell '!C118</f>
        <v>286101064</v>
      </c>
      <c r="D119" s="45">
        <f>304198564-'9.1.2. sz. mell '!D118-14627225+127000</f>
        <v>271600839</v>
      </c>
    </row>
    <row r="120" spans="1:4" s="33" customFormat="1" ht="12" customHeight="1">
      <c r="A120" s="43" t="s">
        <v>100</v>
      </c>
      <c r="B120" s="91" t="s">
        <v>359</v>
      </c>
      <c r="C120" s="45"/>
      <c r="D120" s="45"/>
    </row>
    <row r="121" spans="1:4" s="33" customFormat="1" ht="12" customHeight="1">
      <c r="A121" s="43" t="s">
        <v>101</v>
      </c>
      <c r="B121" s="91" t="s">
        <v>176</v>
      </c>
      <c r="C121" s="48">
        <f>89587897-'9.1.2. sz. mell '!C120</f>
        <v>83161697</v>
      </c>
      <c r="D121" s="48">
        <f>89587897-'9.1.2. sz. mell '!D120</f>
        <v>83161697</v>
      </c>
    </row>
    <row r="122" spans="1:4" s="33" customFormat="1" ht="12" customHeight="1">
      <c r="A122" s="43" t="s">
        <v>102</v>
      </c>
      <c r="B122" s="91" t="s">
        <v>360</v>
      </c>
      <c r="C122" s="92"/>
      <c r="D122" s="92"/>
    </row>
    <row r="123" spans="1:4" s="33" customFormat="1" ht="12" customHeight="1">
      <c r="A123" s="43" t="s">
        <v>103</v>
      </c>
      <c r="B123" s="51" t="s">
        <v>219</v>
      </c>
      <c r="C123" s="92">
        <f>C124+C125+C126+C127+C128+C129+C130+C131</f>
        <v>650000</v>
      </c>
      <c r="D123" s="92">
        <f>D124+D125+D126+D127+D128+D129+D130+D131</f>
        <v>650000</v>
      </c>
    </row>
    <row r="124" spans="1:4" s="33" customFormat="1" ht="12" customHeight="1">
      <c r="A124" s="43" t="s">
        <v>112</v>
      </c>
      <c r="B124" s="49" t="s">
        <v>422</v>
      </c>
      <c r="C124" s="92"/>
      <c r="D124" s="92"/>
    </row>
    <row r="125" spans="1:4" s="33" customFormat="1" ht="12" customHeight="1">
      <c r="A125" s="43" t="s">
        <v>114</v>
      </c>
      <c r="B125" s="93" t="s">
        <v>365</v>
      </c>
      <c r="C125" s="92"/>
      <c r="D125" s="92"/>
    </row>
    <row r="126" spans="1:4" s="33" customFormat="1" ht="15.75">
      <c r="A126" s="43" t="s">
        <v>177</v>
      </c>
      <c r="B126" s="84" t="s">
        <v>349</v>
      </c>
      <c r="C126" s="92"/>
      <c r="D126" s="92"/>
    </row>
    <row r="127" spans="1:4" s="33" customFormat="1" ht="12" customHeight="1">
      <c r="A127" s="43" t="s">
        <v>178</v>
      </c>
      <c r="B127" s="84" t="s">
        <v>364</v>
      </c>
      <c r="C127" s="92"/>
      <c r="D127" s="92"/>
    </row>
    <row r="128" spans="1:4" s="33" customFormat="1" ht="12" customHeight="1">
      <c r="A128" s="43" t="s">
        <v>179</v>
      </c>
      <c r="B128" s="84" t="s">
        <v>363</v>
      </c>
      <c r="C128" s="92"/>
      <c r="D128" s="92"/>
    </row>
    <row r="129" spans="1:4" s="33" customFormat="1" ht="12" customHeight="1">
      <c r="A129" s="43" t="s">
        <v>356</v>
      </c>
      <c r="B129" s="84" t="s">
        <v>352</v>
      </c>
      <c r="C129" s="92"/>
      <c r="D129" s="92"/>
    </row>
    <row r="130" spans="1:4" s="33" customFormat="1" ht="12" customHeight="1">
      <c r="A130" s="43" t="s">
        <v>357</v>
      </c>
      <c r="B130" s="84" t="s">
        <v>362</v>
      </c>
      <c r="C130" s="92"/>
      <c r="D130" s="92"/>
    </row>
    <row r="131" spans="1:4" s="33" customFormat="1" ht="16.5" thickBot="1">
      <c r="A131" s="85" t="s">
        <v>358</v>
      </c>
      <c r="B131" s="84" t="s">
        <v>361</v>
      </c>
      <c r="C131" s="94">
        <v>650000</v>
      </c>
      <c r="D131" s="94">
        <v>650000</v>
      </c>
    </row>
    <row r="132" spans="1:4" s="33" customFormat="1" ht="12" customHeight="1" thickBot="1">
      <c r="A132" s="39" t="s">
        <v>16</v>
      </c>
      <c r="B132" s="19" t="s">
        <v>444</v>
      </c>
      <c r="C132" s="41">
        <f>+C96+C118</f>
        <v>846228246</v>
      </c>
      <c r="D132" s="41">
        <f>+D96+D118</f>
        <v>854810018</v>
      </c>
    </row>
    <row r="133" spans="1:4" s="33" customFormat="1" ht="12" customHeight="1" thickBot="1">
      <c r="A133" s="39" t="s">
        <v>17</v>
      </c>
      <c r="B133" s="19" t="s">
        <v>445</v>
      </c>
      <c r="C133" s="41">
        <f>+C134+C135+C136</f>
        <v>0</v>
      </c>
      <c r="D133" s="41">
        <f>+D134+D135+D136</f>
        <v>0</v>
      </c>
    </row>
    <row r="134" spans="1:4" s="33" customFormat="1" ht="12" customHeight="1">
      <c r="A134" s="43" t="s">
        <v>257</v>
      </c>
      <c r="B134" s="91" t="s">
        <v>452</v>
      </c>
      <c r="C134" s="92"/>
      <c r="D134" s="92"/>
    </row>
    <row r="135" spans="1:4" s="33" customFormat="1" ht="12" customHeight="1">
      <c r="A135" s="43" t="s">
        <v>260</v>
      </c>
      <c r="B135" s="91" t="s">
        <v>453</v>
      </c>
      <c r="C135" s="92"/>
      <c r="D135" s="92"/>
    </row>
    <row r="136" spans="1:4" s="33" customFormat="1" ht="12" customHeight="1" thickBot="1">
      <c r="A136" s="85" t="s">
        <v>261</v>
      </c>
      <c r="B136" s="91" t="s">
        <v>454</v>
      </c>
      <c r="C136" s="92"/>
      <c r="D136" s="92"/>
    </row>
    <row r="137" spans="1:4" s="33" customFormat="1" ht="12" customHeight="1" thickBot="1">
      <c r="A137" s="39" t="s">
        <v>18</v>
      </c>
      <c r="B137" s="19" t="s">
        <v>446</v>
      </c>
      <c r="C137" s="41">
        <f>SUM(C138:C143)</f>
        <v>0</v>
      </c>
      <c r="D137" s="41">
        <f>SUM(D138:D143)</f>
        <v>0</v>
      </c>
    </row>
    <row r="138" spans="1:4" s="33" customFormat="1" ht="12" customHeight="1">
      <c r="A138" s="43" t="s">
        <v>86</v>
      </c>
      <c r="B138" s="18" t="s">
        <v>455</v>
      </c>
      <c r="C138" s="92"/>
      <c r="D138" s="92"/>
    </row>
    <row r="139" spans="1:4" s="33" customFormat="1" ht="12" customHeight="1">
      <c r="A139" s="43" t="s">
        <v>87</v>
      </c>
      <c r="B139" s="18" t="s">
        <v>447</v>
      </c>
      <c r="C139" s="92"/>
      <c r="D139" s="92"/>
    </row>
    <row r="140" spans="1:4" s="33" customFormat="1" ht="12" customHeight="1">
      <c r="A140" s="43" t="s">
        <v>88</v>
      </c>
      <c r="B140" s="18" t="s">
        <v>448</v>
      </c>
      <c r="C140" s="92"/>
      <c r="D140" s="92"/>
    </row>
    <row r="141" spans="1:4" s="33" customFormat="1" ht="12" customHeight="1">
      <c r="A141" s="43" t="s">
        <v>164</v>
      </c>
      <c r="B141" s="18" t="s">
        <v>449</v>
      </c>
      <c r="C141" s="92"/>
      <c r="D141" s="92"/>
    </row>
    <row r="142" spans="1:4" s="33" customFormat="1" ht="12" customHeight="1">
      <c r="A142" s="43" t="s">
        <v>165</v>
      </c>
      <c r="B142" s="18" t="s">
        <v>450</v>
      </c>
      <c r="C142" s="92"/>
      <c r="D142" s="92"/>
    </row>
    <row r="143" spans="1:4" s="33" customFormat="1" ht="12" customHeight="1" thickBot="1">
      <c r="A143" s="85" t="s">
        <v>166</v>
      </c>
      <c r="B143" s="18" t="s">
        <v>451</v>
      </c>
      <c r="C143" s="92"/>
      <c r="D143" s="92"/>
    </row>
    <row r="144" spans="1:4" s="33" customFormat="1" ht="12" customHeight="1" thickBot="1">
      <c r="A144" s="39" t="s">
        <v>19</v>
      </c>
      <c r="B144" s="19" t="s">
        <v>459</v>
      </c>
      <c r="C144" s="55">
        <f>+C145+C146+C147+C148</f>
        <v>8107720</v>
      </c>
      <c r="D144" s="55">
        <f>+D145+D146+D147+D148</f>
        <v>8107720</v>
      </c>
    </row>
    <row r="145" spans="1:8" s="33" customFormat="1" ht="12" customHeight="1">
      <c r="A145" s="43" t="s">
        <v>89</v>
      </c>
      <c r="B145" s="18" t="s">
        <v>366</v>
      </c>
      <c r="C145" s="92"/>
      <c r="D145" s="92"/>
    </row>
    <row r="146" spans="1:8" s="33" customFormat="1" ht="12" customHeight="1">
      <c r="A146" s="43" t="s">
        <v>90</v>
      </c>
      <c r="B146" s="18" t="s">
        <v>367</v>
      </c>
      <c r="C146" s="92">
        <f>8107720</f>
        <v>8107720</v>
      </c>
      <c r="D146" s="92">
        <f>8107720</f>
        <v>8107720</v>
      </c>
    </row>
    <row r="147" spans="1:8" s="33" customFormat="1" ht="12" customHeight="1">
      <c r="A147" s="43" t="s">
        <v>281</v>
      </c>
      <c r="B147" s="18" t="s">
        <v>460</v>
      </c>
      <c r="C147" s="92"/>
      <c r="D147" s="92"/>
    </row>
    <row r="148" spans="1:8" s="33" customFormat="1" ht="12" customHeight="1" thickBot="1">
      <c r="A148" s="85" t="s">
        <v>282</v>
      </c>
      <c r="B148" s="17" t="s">
        <v>386</v>
      </c>
      <c r="C148" s="92"/>
      <c r="D148" s="92"/>
    </row>
    <row r="149" spans="1:8" s="33" customFormat="1" ht="12" customHeight="1" thickBot="1">
      <c r="A149" s="39" t="s">
        <v>20</v>
      </c>
      <c r="B149" s="19" t="s">
        <v>461</v>
      </c>
      <c r="C149" s="95">
        <f>SUM(C150:C154)</f>
        <v>0</v>
      </c>
      <c r="D149" s="95">
        <f>SUM(D150:D154)</f>
        <v>0</v>
      </c>
    </row>
    <row r="150" spans="1:8" s="33" customFormat="1" ht="12" customHeight="1">
      <c r="A150" s="43" t="s">
        <v>91</v>
      </c>
      <c r="B150" s="18" t="s">
        <v>456</v>
      </c>
      <c r="C150" s="92"/>
      <c r="D150" s="92"/>
    </row>
    <row r="151" spans="1:8" s="33" customFormat="1" ht="12" customHeight="1">
      <c r="A151" s="43" t="s">
        <v>92</v>
      </c>
      <c r="B151" s="18" t="s">
        <v>463</v>
      </c>
      <c r="C151" s="92"/>
      <c r="D151" s="92"/>
    </row>
    <row r="152" spans="1:8" s="33" customFormat="1" ht="12" customHeight="1">
      <c r="A152" s="43" t="s">
        <v>293</v>
      </c>
      <c r="B152" s="18" t="s">
        <v>458</v>
      </c>
      <c r="C152" s="92"/>
      <c r="D152" s="92"/>
    </row>
    <row r="153" spans="1:8" s="33" customFormat="1" ht="12" customHeight="1">
      <c r="A153" s="43" t="s">
        <v>294</v>
      </c>
      <c r="B153" s="18" t="s">
        <v>464</v>
      </c>
      <c r="C153" s="92"/>
      <c r="D153" s="92"/>
    </row>
    <row r="154" spans="1:8" s="33" customFormat="1" ht="12" customHeight="1" thickBot="1">
      <c r="A154" s="43" t="s">
        <v>462</v>
      </c>
      <c r="B154" s="18" t="s">
        <v>465</v>
      </c>
      <c r="C154" s="92"/>
      <c r="D154" s="92"/>
    </row>
    <row r="155" spans="1:8" s="33" customFormat="1" ht="12" customHeight="1" thickBot="1">
      <c r="A155" s="39" t="s">
        <v>21</v>
      </c>
      <c r="B155" s="19" t="s">
        <v>466</v>
      </c>
      <c r="C155" s="582"/>
      <c r="D155" s="582"/>
    </row>
    <row r="156" spans="1:8" s="33" customFormat="1" ht="12" customHeight="1" thickBot="1">
      <c r="A156" s="39" t="s">
        <v>22</v>
      </c>
      <c r="B156" s="19" t="s">
        <v>541</v>
      </c>
      <c r="C156" s="582">
        <v>176260688</v>
      </c>
      <c r="D156" s="582">
        <v>176260688</v>
      </c>
    </row>
    <row r="157" spans="1:8" s="33" customFormat="1" ht="15" customHeight="1" thickBot="1">
      <c r="A157" s="39" t="s">
        <v>23</v>
      </c>
      <c r="B157" s="19" t="s">
        <v>469</v>
      </c>
      <c r="C157" s="96">
        <f>+C133+C137+C144+C149+C155+C156</f>
        <v>184368408</v>
      </c>
      <c r="D157" s="96">
        <f>+D133+D137+D144+D149+D155+D156</f>
        <v>184368408</v>
      </c>
    </row>
    <row r="158" spans="1:8" s="42" customFormat="1" ht="12.95" customHeight="1" thickBot="1">
      <c r="A158" s="98" t="s">
        <v>24</v>
      </c>
      <c r="B158" s="99" t="s">
        <v>468</v>
      </c>
      <c r="C158" s="96">
        <f>+C132+C157</f>
        <v>1030596654</v>
      </c>
      <c r="D158" s="96">
        <f>+D132+D157</f>
        <v>1039178426</v>
      </c>
      <c r="H158" s="576"/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4" orientation="portrait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G157"/>
  <sheetViews>
    <sheetView zoomScale="98" zoomScaleNormal="98" zoomScaleSheetLayoutView="85" workbookViewId="0">
      <selection activeCell="B1" sqref="B1"/>
    </sheetView>
  </sheetViews>
  <sheetFormatPr defaultRowHeight="12.75"/>
  <cols>
    <col min="1" max="1" width="11.6640625" style="28" customWidth="1"/>
    <col min="2" max="2" width="74.5" style="9" bestFit="1" customWidth="1"/>
    <col min="3" max="4" width="19" style="29" bestFit="1" customWidth="1"/>
    <col min="5" max="5" width="10.33203125" style="9" bestFit="1" customWidth="1"/>
    <col min="6" max="16384" width="9.33203125" style="9"/>
  </cols>
  <sheetData>
    <row r="1" spans="1:4" s="550" customFormat="1" ht="13.5" thickBot="1">
      <c r="A1" s="548"/>
      <c r="B1" s="549" t="s">
        <v>726</v>
      </c>
      <c r="C1" s="549"/>
      <c r="D1" s="549"/>
    </row>
    <row r="2" spans="1:4" s="107" customFormat="1" ht="25.5">
      <c r="A2" s="551" t="s">
        <v>56</v>
      </c>
      <c r="B2" s="552" t="s">
        <v>535</v>
      </c>
      <c r="C2" s="564" t="s">
        <v>49</v>
      </c>
      <c r="D2" s="564" t="s">
        <v>49</v>
      </c>
    </row>
    <row r="3" spans="1:4" s="107" customFormat="1" ht="13.5" thickBot="1">
      <c r="A3" s="553" t="s">
        <v>191</v>
      </c>
      <c r="B3" s="554" t="s">
        <v>424</v>
      </c>
      <c r="C3" s="565" t="s">
        <v>55</v>
      </c>
      <c r="D3" s="565" t="s">
        <v>55</v>
      </c>
    </row>
    <row r="4" spans="1:4" s="107" customFormat="1" ht="14.25" thickBot="1">
      <c r="C4" s="6" t="s">
        <v>581</v>
      </c>
      <c r="D4" s="6" t="s">
        <v>581</v>
      </c>
    </row>
    <row r="5" spans="1:4" ht="13.5" thickBot="1">
      <c r="A5" s="555" t="s">
        <v>193</v>
      </c>
      <c r="B5" s="556" t="s">
        <v>50</v>
      </c>
      <c r="C5" s="566"/>
      <c r="D5" s="566"/>
    </row>
    <row r="6" spans="1:4" s="557" customFormat="1" ht="39" thickBot="1">
      <c r="A6" s="224" t="s">
        <v>64</v>
      </c>
      <c r="B6" s="225" t="s">
        <v>13</v>
      </c>
      <c r="C6" s="507" t="s">
        <v>692</v>
      </c>
      <c r="D6" s="507" t="s">
        <v>717</v>
      </c>
    </row>
    <row r="7" spans="1:4" s="42" customFormat="1" ht="13.5" thickBot="1">
      <c r="A7" s="558" t="s">
        <v>483</v>
      </c>
      <c r="B7" s="559" t="s">
        <v>484</v>
      </c>
      <c r="C7" s="567" t="s">
        <v>485</v>
      </c>
      <c r="D7" s="567" t="s">
        <v>485</v>
      </c>
    </row>
    <row r="8" spans="1:4" s="42" customFormat="1" ht="13.5" thickBot="1">
      <c r="A8" s="226" t="s">
        <v>14</v>
      </c>
      <c r="B8" s="227" t="s">
        <v>241</v>
      </c>
      <c r="C8" s="526">
        <f>+C9+C10+C11+C12+C13+C14</f>
        <v>0</v>
      </c>
      <c r="D8" s="526">
        <f>+D9+D10+D11+D12+D13+D14</f>
        <v>0</v>
      </c>
    </row>
    <row r="9" spans="1:4" s="42" customFormat="1">
      <c r="A9" s="228" t="s">
        <v>93</v>
      </c>
      <c r="B9" s="110" t="s">
        <v>242</v>
      </c>
      <c r="C9" s="523"/>
      <c r="D9" s="523"/>
    </row>
    <row r="10" spans="1:4" s="42" customFormat="1">
      <c r="A10" s="229" t="s">
        <v>94</v>
      </c>
      <c r="B10" s="111" t="s">
        <v>243</v>
      </c>
      <c r="C10" s="518"/>
      <c r="D10" s="518"/>
    </row>
    <row r="11" spans="1:4" s="42" customFormat="1">
      <c r="A11" s="229" t="s">
        <v>95</v>
      </c>
      <c r="B11" s="111" t="s">
        <v>244</v>
      </c>
      <c r="C11" s="518"/>
      <c r="D11" s="518"/>
    </row>
    <row r="12" spans="1:4" s="42" customFormat="1">
      <c r="A12" s="229" t="s">
        <v>96</v>
      </c>
      <c r="B12" s="111" t="s">
        <v>245</v>
      </c>
      <c r="C12" s="518"/>
      <c r="D12" s="518"/>
    </row>
    <row r="13" spans="1:4" s="42" customFormat="1">
      <c r="A13" s="229" t="s">
        <v>139</v>
      </c>
      <c r="B13" s="230" t="s">
        <v>426</v>
      </c>
      <c r="C13" s="518"/>
      <c r="D13" s="518"/>
    </row>
    <row r="14" spans="1:4" s="42" customFormat="1" ht="13.5" thickBot="1">
      <c r="A14" s="231" t="s">
        <v>97</v>
      </c>
      <c r="B14" s="232" t="s">
        <v>427</v>
      </c>
      <c r="C14" s="518"/>
      <c r="D14" s="518"/>
    </row>
    <row r="15" spans="1:4" s="42" customFormat="1" ht="13.5" thickBot="1">
      <c r="A15" s="226" t="s">
        <v>15</v>
      </c>
      <c r="B15" s="233" t="s">
        <v>246</v>
      </c>
      <c r="C15" s="526">
        <f>+C16+C17+C18+C19+C20</f>
        <v>0</v>
      </c>
      <c r="D15" s="526">
        <f>+D16+D17+D18+D19+D20</f>
        <v>0</v>
      </c>
    </row>
    <row r="16" spans="1:4" s="42" customFormat="1">
      <c r="A16" s="228" t="s">
        <v>99</v>
      </c>
      <c r="B16" s="110" t="s">
        <v>247</v>
      </c>
      <c r="C16" s="523"/>
      <c r="D16" s="523"/>
    </row>
    <row r="17" spans="1:4" s="42" customFormat="1">
      <c r="A17" s="229" t="s">
        <v>100</v>
      </c>
      <c r="B17" s="111" t="s">
        <v>248</v>
      </c>
      <c r="C17" s="518"/>
      <c r="D17" s="518"/>
    </row>
    <row r="18" spans="1:4" s="42" customFormat="1">
      <c r="A18" s="229" t="s">
        <v>101</v>
      </c>
      <c r="B18" s="111" t="s">
        <v>416</v>
      </c>
      <c r="C18" s="518"/>
      <c r="D18" s="518"/>
    </row>
    <row r="19" spans="1:4" s="42" customFormat="1">
      <c r="A19" s="229" t="s">
        <v>102</v>
      </c>
      <c r="B19" s="111" t="s">
        <v>417</v>
      </c>
      <c r="C19" s="518"/>
      <c r="D19" s="518"/>
    </row>
    <row r="20" spans="1:4" s="42" customFormat="1">
      <c r="A20" s="229" t="s">
        <v>103</v>
      </c>
      <c r="B20" s="111" t="s">
        <v>249</v>
      </c>
      <c r="C20" s="518"/>
      <c r="D20" s="518"/>
    </row>
    <row r="21" spans="1:4" s="42" customFormat="1" ht="13.5" thickBot="1">
      <c r="A21" s="231" t="s">
        <v>112</v>
      </c>
      <c r="B21" s="232" t="s">
        <v>250</v>
      </c>
      <c r="C21" s="519"/>
      <c r="D21" s="519"/>
    </row>
    <row r="22" spans="1:4" s="42" customFormat="1" ht="13.5" thickBot="1">
      <c r="A22" s="226" t="s">
        <v>16</v>
      </c>
      <c r="B22" s="227" t="s">
        <v>251</v>
      </c>
      <c r="C22" s="526">
        <f>+C23+C24+C25+C26+C27</f>
        <v>0</v>
      </c>
      <c r="D22" s="526">
        <f>+D23+D24+D25+D26+D27</f>
        <v>0</v>
      </c>
    </row>
    <row r="23" spans="1:4" s="42" customFormat="1">
      <c r="A23" s="228" t="s">
        <v>82</v>
      </c>
      <c r="B23" s="110" t="s">
        <v>252</v>
      </c>
      <c r="C23" s="523"/>
      <c r="D23" s="523"/>
    </row>
    <row r="24" spans="1:4" s="42" customFormat="1">
      <c r="A24" s="229" t="s">
        <v>83</v>
      </c>
      <c r="B24" s="111" t="s">
        <v>253</v>
      </c>
      <c r="C24" s="518"/>
      <c r="D24" s="518"/>
    </row>
    <row r="25" spans="1:4" s="42" customFormat="1">
      <c r="A25" s="229" t="s">
        <v>84</v>
      </c>
      <c r="B25" s="111" t="s">
        <v>418</v>
      </c>
      <c r="C25" s="518"/>
      <c r="D25" s="518"/>
    </row>
    <row r="26" spans="1:4" s="42" customFormat="1">
      <c r="A26" s="229" t="s">
        <v>85</v>
      </c>
      <c r="B26" s="111" t="s">
        <v>419</v>
      </c>
      <c r="C26" s="518"/>
      <c r="D26" s="518"/>
    </row>
    <row r="27" spans="1:4" s="42" customFormat="1">
      <c r="A27" s="229" t="s">
        <v>160</v>
      </c>
      <c r="B27" s="111" t="s">
        <v>254</v>
      </c>
      <c r="C27" s="518"/>
      <c r="D27" s="518"/>
    </row>
    <row r="28" spans="1:4" s="42" customFormat="1" ht="13.5" thickBot="1">
      <c r="A28" s="231" t="s">
        <v>161</v>
      </c>
      <c r="B28" s="113" t="s">
        <v>255</v>
      </c>
      <c r="C28" s="519"/>
      <c r="D28" s="519"/>
    </row>
    <row r="29" spans="1:4" s="42" customFormat="1" ht="13.5" thickBot="1">
      <c r="A29" s="226" t="s">
        <v>162</v>
      </c>
      <c r="B29" s="227" t="s">
        <v>256</v>
      </c>
      <c r="C29" s="527">
        <f>+C30+C34+C35+C36</f>
        <v>0</v>
      </c>
      <c r="D29" s="527">
        <f>+D30+D34+D35+D36</f>
        <v>0</v>
      </c>
    </row>
    <row r="30" spans="1:4" s="42" customFormat="1">
      <c r="A30" s="228" t="s">
        <v>257</v>
      </c>
      <c r="B30" s="110" t="s">
        <v>433</v>
      </c>
      <c r="C30" s="568">
        <f>C31+C32+C33</f>
        <v>0</v>
      </c>
      <c r="D30" s="568">
        <f>D31+D32+D33</f>
        <v>0</v>
      </c>
    </row>
    <row r="31" spans="1:4" s="42" customFormat="1">
      <c r="A31" s="229" t="s">
        <v>258</v>
      </c>
      <c r="B31" s="111" t="s">
        <v>593</v>
      </c>
      <c r="C31" s="518"/>
      <c r="D31" s="518"/>
    </row>
    <row r="32" spans="1:4" s="42" customFormat="1">
      <c r="A32" s="229" t="s">
        <v>259</v>
      </c>
      <c r="B32" s="111" t="s">
        <v>594</v>
      </c>
      <c r="C32" s="518"/>
      <c r="D32" s="518"/>
    </row>
    <row r="33" spans="1:4" s="42" customFormat="1">
      <c r="A33" s="229" t="s">
        <v>431</v>
      </c>
      <c r="B33" s="112" t="s">
        <v>432</v>
      </c>
      <c r="C33" s="518"/>
      <c r="D33" s="518"/>
    </row>
    <row r="34" spans="1:4" s="42" customFormat="1">
      <c r="A34" s="229" t="s">
        <v>260</v>
      </c>
      <c r="B34" s="111" t="s">
        <v>265</v>
      </c>
      <c r="C34" s="518"/>
      <c r="D34" s="518"/>
    </row>
    <row r="35" spans="1:4" s="42" customFormat="1">
      <c r="A35" s="229" t="s">
        <v>261</v>
      </c>
      <c r="B35" s="111" t="s">
        <v>575</v>
      </c>
      <c r="C35" s="518"/>
      <c r="D35" s="518"/>
    </row>
    <row r="36" spans="1:4" s="42" customFormat="1" ht="13.5" thickBot="1">
      <c r="A36" s="231" t="s">
        <v>262</v>
      </c>
      <c r="B36" s="113" t="s">
        <v>267</v>
      </c>
      <c r="C36" s="519"/>
      <c r="D36" s="519"/>
    </row>
    <row r="37" spans="1:4" s="42" customFormat="1" ht="13.5" thickBot="1">
      <c r="A37" s="226" t="s">
        <v>18</v>
      </c>
      <c r="B37" s="227" t="s">
        <v>428</v>
      </c>
      <c r="C37" s="526">
        <f>SUM(C38:C48)</f>
        <v>117146829</v>
      </c>
      <c r="D37" s="526">
        <f>SUM(D38:D48)</f>
        <v>115922890</v>
      </c>
    </row>
    <row r="38" spans="1:4" s="42" customFormat="1">
      <c r="A38" s="228" t="s">
        <v>86</v>
      </c>
      <c r="B38" s="110" t="s">
        <v>270</v>
      </c>
      <c r="C38" s="523"/>
      <c r="D38" s="523"/>
    </row>
    <row r="39" spans="1:4" s="42" customFormat="1">
      <c r="A39" s="229" t="s">
        <v>87</v>
      </c>
      <c r="B39" s="111" t="s">
        <v>271</v>
      </c>
      <c r="C39" s="518">
        <f>99723710-4214790-3149606-787402</f>
        <v>91571912</v>
      </c>
      <c r="D39" s="518">
        <f>99723710-4214790-3149606-787402-869637-94095</f>
        <v>90608180</v>
      </c>
    </row>
    <row r="40" spans="1:4" s="42" customFormat="1">
      <c r="A40" s="229" t="s">
        <v>88</v>
      </c>
      <c r="B40" s="111" t="s">
        <v>272</v>
      </c>
      <c r="C40" s="518"/>
      <c r="D40" s="518"/>
    </row>
    <row r="41" spans="1:4" s="42" customFormat="1">
      <c r="A41" s="229" t="s">
        <v>164</v>
      </c>
      <c r="B41" s="111" t="s">
        <v>273</v>
      </c>
      <c r="C41" s="518"/>
      <c r="D41" s="518"/>
    </row>
    <row r="42" spans="1:4" s="42" customFormat="1">
      <c r="A42" s="229" t="s">
        <v>165</v>
      </c>
      <c r="B42" s="111" t="s">
        <v>274</v>
      </c>
      <c r="C42" s="518"/>
      <c r="D42" s="518"/>
    </row>
    <row r="43" spans="1:4" s="42" customFormat="1">
      <c r="A43" s="229" t="s">
        <v>166</v>
      </c>
      <c r="B43" s="111" t="s">
        <v>275</v>
      </c>
      <c r="C43" s="518">
        <f>27775902-1137993-850394-212598</f>
        <v>25574917</v>
      </c>
      <c r="D43" s="518">
        <f>27775902-1137993-850394-212598-234802-25405</f>
        <v>25314710</v>
      </c>
    </row>
    <row r="44" spans="1:4" s="42" customFormat="1">
      <c r="A44" s="229" t="s">
        <v>167</v>
      </c>
      <c r="B44" s="111" t="s">
        <v>276</v>
      </c>
      <c r="C44" s="518"/>
      <c r="D44" s="518"/>
    </row>
    <row r="45" spans="1:4" s="42" customFormat="1">
      <c r="A45" s="229" t="s">
        <v>168</v>
      </c>
      <c r="B45" s="111" t="s">
        <v>277</v>
      </c>
      <c r="C45" s="569"/>
      <c r="D45" s="569"/>
    </row>
    <row r="46" spans="1:4" s="42" customFormat="1">
      <c r="A46" s="229" t="s">
        <v>268</v>
      </c>
      <c r="B46" s="111" t="s">
        <v>278</v>
      </c>
      <c r="C46" s="569"/>
      <c r="D46" s="569"/>
    </row>
    <row r="47" spans="1:4" s="42" customFormat="1">
      <c r="A47" s="231" t="s">
        <v>269</v>
      </c>
      <c r="B47" s="113" t="s">
        <v>430</v>
      </c>
      <c r="C47" s="570"/>
      <c r="D47" s="570"/>
    </row>
    <row r="48" spans="1:4" s="42" customFormat="1" ht="13.5" thickBot="1">
      <c r="A48" s="231" t="s">
        <v>429</v>
      </c>
      <c r="B48" s="232" t="s">
        <v>279</v>
      </c>
      <c r="C48" s="570"/>
      <c r="D48" s="570"/>
    </row>
    <row r="49" spans="1:4" s="42" customFormat="1" ht="13.5" thickBot="1">
      <c r="A49" s="226" t="s">
        <v>19</v>
      </c>
      <c r="B49" s="227" t="s">
        <v>280</v>
      </c>
      <c r="C49" s="526">
        <f>SUM(C50:C54)</f>
        <v>7000000</v>
      </c>
      <c r="D49" s="526">
        <f>SUM(D50:D54)</f>
        <v>7000000</v>
      </c>
    </row>
    <row r="50" spans="1:4" s="42" customFormat="1">
      <c r="A50" s="228" t="s">
        <v>89</v>
      </c>
      <c r="B50" s="110" t="s">
        <v>284</v>
      </c>
      <c r="C50" s="571"/>
      <c r="D50" s="571"/>
    </row>
    <row r="51" spans="1:4" s="42" customFormat="1">
      <c r="A51" s="229" t="s">
        <v>90</v>
      </c>
      <c r="B51" s="111" t="s">
        <v>285</v>
      </c>
      <c r="C51" s="569">
        <v>7000000</v>
      </c>
      <c r="D51" s="569">
        <v>7000000</v>
      </c>
    </row>
    <row r="52" spans="1:4" s="42" customFormat="1">
      <c r="A52" s="229" t="s">
        <v>281</v>
      </c>
      <c r="B52" s="111" t="s">
        <v>286</v>
      </c>
      <c r="C52" s="569"/>
      <c r="D52" s="569"/>
    </row>
    <row r="53" spans="1:4" s="42" customFormat="1">
      <c r="A53" s="229" t="s">
        <v>282</v>
      </c>
      <c r="B53" s="111" t="s">
        <v>287</v>
      </c>
      <c r="C53" s="569"/>
      <c r="D53" s="569"/>
    </row>
    <row r="54" spans="1:4" s="42" customFormat="1" ht="13.5" thickBot="1">
      <c r="A54" s="231" t="s">
        <v>283</v>
      </c>
      <c r="B54" s="232" t="s">
        <v>288</v>
      </c>
      <c r="C54" s="570"/>
      <c r="D54" s="570"/>
    </row>
    <row r="55" spans="1:4" s="42" customFormat="1" ht="13.5" thickBot="1">
      <c r="A55" s="226" t="s">
        <v>169</v>
      </c>
      <c r="B55" s="227" t="s">
        <v>289</v>
      </c>
      <c r="C55" s="526">
        <f>SUM(C56:C58)</f>
        <v>0</v>
      </c>
      <c r="D55" s="526">
        <f>SUM(D56:D58)</f>
        <v>0</v>
      </c>
    </row>
    <row r="56" spans="1:4" s="42" customFormat="1">
      <c r="A56" s="228" t="s">
        <v>91</v>
      </c>
      <c r="B56" s="110" t="s">
        <v>290</v>
      </c>
      <c r="C56" s="523"/>
      <c r="D56" s="523"/>
    </row>
    <row r="57" spans="1:4" s="42" customFormat="1" ht="25.5">
      <c r="A57" s="229" t="s">
        <v>92</v>
      </c>
      <c r="B57" s="111" t="s">
        <v>420</v>
      </c>
      <c r="C57" s="518"/>
      <c r="D57" s="518"/>
    </row>
    <row r="58" spans="1:4" s="42" customFormat="1">
      <c r="A58" s="229" t="s">
        <v>293</v>
      </c>
      <c r="B58" s="111" t="s">
        <v>291</v>
      </c>
      <c r="C58" s="518"/>
      <c r="D58" s="518"/>
    </row>
    <row r="59" spans="1:4" s="42" customFormat="1" ht="13.5" thickBot="1">
      <c r="A59" s="231" t="s">
        <v>294</v>
      </c>
      <c r="B59" s="232" t="s">
        <v>292</v>
      </c>
      <c r="C59" s="519"/>
      <c r="D59" s="519"/>
    </row>
    <row r="60" spans="1:4" s="42" customFormat="1" ht="13.5" thickBot="1">
      <c r="A60" s="226" t="s">
        <v>21</v>
      </c>
      <c r="B60" s="233" t="s">
        <v>295</v>
      </c>
      <c r="C60" s="526">
        <f>SUM(C61:C63)</f>
        <v>100000</v>
      </c>
      <c r="D60" s="526">
        <f>SUM(D61:D63)</f>
        <v>100000</v>
      </c>
    </row>
    <row r="61" spans="1:4" s="42" customFormat="1">
      <c r="A61" s="228" t="s">
        <v>170</v>
      </c>
      <c r="B61" s="110" t="s">
        <v>297</v>
      </c>
      <c r="C61" s="569"/>
      <c r="D61" s="569"/>
    </row>
    <row r="62" spans="1:4" s="42" customFormat="1">
      <c r="A62" s="229" t="s">
        <v>171</v>
      </c>
      <c r="B62" s="111" t="s">
        <v>421</v>
      </c>
      <c r="C62" s="569">
        <v>100000</v>
      </c>
      <c r="D62" s="569">
        <v>100000</v>
      </c>
    </row>
    <row r="63" spans="1:4" s="42" customFormat="1">
      <c r="A63" s="229" t="s">
        <v>218</v>
      </c>
      <c r="B63" s="111" t="s">
        <v>298</v>
      </c>
      <c r="C63" s="569"/>
      <c r="D63" s="569"/>
    </row>
    <row r="64" spans="1:4" s="42" customFormat="1" ht="13.5" thickBot="1">
      <c r="A64" s="231" t="s">
        <v>296</v>
      </c>
      <c r="B64" s="232" t="s">
        <v>299</v>
      </c>
      <c r="C64" s="569"/>
      <c r="D64" s="569"/>
    </row>
    <row r="65" spans="1:4" s="42" customFormat="1" ht="13.5" thickBot="1">
      <c r="A65" s="234" t="s">
        <v>472</v>
      </c>
      <c r="B65" s="227" t="s">
        <v>300</v>
      </c>
      <c r="C65" s="527">
        <f>+C8+C15+C22+C29+C37+C49+C55+C60</f>
        <v>124246829</v>
      </c>
      <c r="D65" s="527">
        <f>+D8+D15+D22+D29+D37+D49+D55+D60</f>
        <v>123022890</v>
      </c>
    </row>
    <row r="66" spans="1:4" s="42" customFormat="1" ht="13.5" thickBot="1">
      <c r="A66" s="235" t="s">
        <v>301</v>
      </c>
      <c r="B66" s="233" t="s">
        <v>302</v>
      </c>
      <c r="C66" s="526">
        <f>SUM(C67:C69)</f>
        <v>0</v>
      </c>
      <c r="D66" s="526">
        <f>SUM(D67:D69)</f>
        <v>0</v>
      </c>
    </row>
    <row r="67" spans="1:4" s="42" customFormat="1">
      <c r="A67" s="228" t="s">
        <v>333</v>
      </c>
      <c r="B67" s="110" t="s">
        <v>303</v>
      </c>
      <c r="C67" s="569"/>
      <c r="D67" s="569"/>
    </row>
    <row r="68" spans="1:4" s="42" customFormat="1">
      <c r="A68" s="229" t="s">
        <v>342</v>
      </c>
      <c r="B68" s="111" t="s">
        <v>304</v>
      </c>
      <c r="C68" s="569"/>
      <c r="D68" s="569"/>
    </row>
    <row r="69" spans="1:4" s="42" customFormat="1" ht="13.5" thickBot="1">
      <c r="A69" s="231" t="s">
        <v>343</v>
      </c>
      <c r="B69" s="236" t="s">
        <v>457</v>
      </c>
      <c r="C69" s="569"/>
      <c r="D69" s="569"/>
    </row>
    <row r="70" spans="1:4" s="42" customFormat="1" ht="13.5" thickBot="1">
      <c r="A70" s="235" t="s">
        <v>306</v>
      </c>
      <c r="B70" s="233" t="s">
        <v>307</v>
      </c>
      <c r="C70" s="526">
        <f>SUM(C71:C74)</f>
        <v>0</v>
      </c>
      <c r="D70" s="526">
        <f>SUM(D71:D74)</f>
        <v>0</v>
      </c>
    </row>
    <row r="71" spans="1:4" s="42" customFormat="1">
      <c r="A71" s="228" t="s">
        <v>140</v>
      </c>
      <c r="B71" s="110" t="s">
        <v>308</v>
      </c>
      <c r="C71" s="569"/>
      <c r="D71" s="569"/>
    </row>
    <row r="72" spans="1:4" s="42" customFormat="1">
      <c r="A72" s="229" t="s">
        <v>141</v>
      </c>
      <c r="B72" s="111" t="s">
        <v>309</v>
      </c>
      <c r="C72" s="569"/>
      <c r="D72" s="569"/>
    </row>
    <row r="73" spans="1:4" s="42" customFormat="1">
      <c r="A73" s="229" t="s">
        <v>334</v>
      </c>
      <c r="B73" s="111" t="s">
        <v>310</v>
      </c>
      <c r="C73" s="569"/>
      <c r="D73" s="569"/>
    </row>
    <row r="74" spans="1:4" s="42" customFormat="1" ht="13.5" thickBot="1">
      <c r="A74" s="231" t="s">
        <v>335</v>
      </c>
      <c r="B74" s="232" t="s">
        <v>311</v>
      </c>
      <c r="C74" s="569"/>
      <c r="D74" s="569"/>
    </row>
    <row r="75" spans="1:4" s="42" customFormat="1" ht="13.5" thickBot="1">
      <c r="A75" s="235" t="s">
        <v>312</v>
      </c>
      <c r="B75" s="233" t="s">
        <v>313</v>
      </c>
      <c r="C75" s="526">
        <f>SUM(C76:C77)</f>
        <v>0</v>
      </c>
      <c r="D75" s="526">
        <f>SUM(D76:D77)</f>
        <v>0</v>
      </c>
    </row>
    <row r="76" spans="1:4" s="42" customFormat="1">
      <c r="A76" s="228" t="s">
        <v>336</v>
      </c>
      <c r="B76" s="110" t="s">
        <v>314</v>
      </c>
      <c r="C76" s="569"/>
      <c r="D76" s="569"/>
    </row>
    <row r="77" spans="1:4" s="42" customFormat="1" ht="13.5" thickBot="1">
      <c r="A77" s="231" t="s">
        <v>337</v>
      </c>
      <c r="B77" s="232" t="s">
        <v>315</v>
      </c>
      <c r="C77" s="569"/>
      <c r="D77" s="569"/>
    </row>
    <row r="78" spans="1:4" s="42" customFormat="1" ht="13.5" thickBot="1">
      <c r="A78" s="235" t="s">
        <v>316</v>
      </c>
      <c r="B78" s="233" t="s">
        <v>317</v>
      </c>
      <c r="C78" s="526">
        <f>SUM(C79:C81)</f>
        <v>0</v>
      </c>
      <c r="D78" s="526">
        <f>SUM(D79:D81)</f>
        <v>0</v>
      </c>
    </row>
    <row r="79" spans="1:4" s="42" customFormat="1">
      <c r="A79" s="228" t="s">
        <v>338</v>
      </c>
      <c r="B79" s="110" t="s">
        <v>318</v>
      </c>
      <c r="C79" s="569"/>
      <c r="D79" s="569"/>
    </row>
    <row r="80" spans="1:4" s="42" customFormat="1">
      <c r="A80" s="229" t="s">
        <v>339</v>
      </c>
      <c r="B80" s="111" t="s">
        <v>319</v>
      </c>
      <c r="C80" s="569"/>
      <c r="D80" s="569"/>
    </row>
    <row r="81" spans="1:7" s="42" customFormat="1" ht="13.5" thickBot="1">
      <c r="A81" s="231" t="s">
        <v>340</v>
      </c>
      <c r="B81" s="232" t="s">
        <v>320</v>
      </c>
      <c r="C81" s="569"/>
      <c r="D81" s="569"/>
    </row>
    <row r="82" spans="1:7" s="42" customFormat="1" ht="13.5" thickBot="1">
      <c r="A82" s="235" t="s">
        <v>321</v>
      </c>
      <c r="B82" s="233" t="s">
        <v>341</v>
      </c>
      <c r="C82" s="526">
        <f>SUM(C83:C86)</f>
        <v>0</v>
      </c>
      <c r="D82" s="526">
        <f>SUM(D83:D86)</f>
        <v>0</v>
      </c>
    </row>
    <row r="83" spans="1:7" s="42" customFormat="1">
      <c r="A83" s="237" t="s">
        <v>322</v>
      </c>
      <c r="B83" s="110" t="s">
        <v>323</v>
      </c>
      <c r="C83" s="569"/>
      <c r="D83" s="569"/>
    </row>
    <row r="84" spans="1:7" s="42" customFormat="1">
      <c r="A84" s="238" t="s">
        <v>324</v>
      </c>
      <c r="B84" s="111" t="s">
        <v>325</v>
      </c>
      <c r="C84" s="569"/>
      <c r="D84" s="569"/>
    </row>
    <row r="85" spans="1:7" s="42" customFormat="1">
      <c r="A85" s="238" t="s">
        <v>326</v>
      </c>
      <c r="B85" s="111" t="s">
        <v>327</v>
      </c>
      <c r="C85" s="569"/>
      <c r="D85" s="569"/>
    </row>
    <row r="86" spans="1:7" s="42" customFormat="1" ht="13.5" thickBot="1">
      <c r="A86" s="239" t="s">
        <v>328</v>
      </c>
      <c r="B86" s="232" t="s">
        <v>329</v>
      </c>
      <c r="C86" s="569"/>
      <c r="D86" s="569"/>
    </row>
    <row r="87" spans="1:7" s="42" customFormat="1" ht="13.5" thickBot="1">
      <c r="A87" s="235" t="s">
        <v>330</v>
      </c>
      <c r="B87" s="233" t="s">
        <v>471</v>
      </c>
      <c r="C87" s="572"/>
      <c r="D87" s="572"/>
    </row>
    <row r="88" spans="1:7" s="42" customFormat="1" ht="13.5" thickBot="1">
      <c r="A88" s="235" t="s">
        <v>332</v>
      </c>
      <c r="B88" s="233" t="s">
        <v>331</v>
      </c>
      <c r="C88" s="572"/>
      <c r="D88" s="572"/>
    </row>
    <row r="89" spans="1:7" s="42" customFormat="1" ht="13.5" thickBot="1">
      <c r="A89" s="235" t="s">
        <v>344</v>
      </c>
      <c r="B89" s="240" t="s">
        <v>474</v>
      </c>
      <c r="C89" s="527">
        <f>+C66+C70+C75+C78+C82+C88+C87</f>
        <v>0</v>
      </c>
      <c r="D89" s="527">
        <f>+D66+D70+D75+D78+D82+D88+D87</f>
        <v>0</v>
      </c>
    </row>
    <row r="90" spans="1:7" s="42" customFormat="1" ht="13.5" thickBot="1">
      <c r="A90" s="560" t="s">
        <v>473</v>
      </c>
      <c r="B90" s="242" t="s">
        <v>475</v>
      </c>
      <c r="C90" s="527">
        <f>+C65+C89</f>
        <v>124246829</v>
      </c>
      <c r="D90" s="527">
        <f>+D65+D89</f>
        <v>123022890</v>
      </c>
      <c r="G90" s="576"/>
    </row>
    <row r="91" spans="1:7" s="42" customFormat="1">
      <c r="A91" s="561"/>
      <c r="B91" s="562"/>
      <c r="C91" s="573"/>
      <c r="D91" s="573"/>
    </row>
    <row r="92" spans="1:7" s="557" customFormat="1">
      <c r="A92" s="703" t="s">
        <v>42</v>
      </c>
      <c r="B92" s="703"/>
    </row>
    <row r="93" spans="1:7" s="557" customFormat="1" ht="14.25" thickBot="1">
      <c r="A93" s="704" t="s">
        <v>143</v>
      </c>
      <c r="B93" s="704"/>
      <c r="C93" s="574"/>
      <c r="D93" s="574"/>
    </row>
    <row r="94" spans="1:7" s="557" customFormat="1" ht="39" thickBot="1">
      <c r="A94" s="224" t="s">
        <v>64</v>
      </c>
      <c r="B94" s="225" t="s">
        <v>43</v>
      </c>
      <c r="C94" s="507" t="s">
        <v>692</v>
      </c>
      <c r="D94" s="507" t="s">
        <v>717</v>
      </c>
    </row>
    <row r="95" spans="1:7" s="42" customFormat="1" ht="13.5" thickBot="1">
      <c r="A95" s="224" t="s">
        <v>483</v>
      </c>
      <c r="B95" s="225" t="s">
        <v>484</v>
      </c>
      <c r="C95" s="575" t="s">
        <v>485</v>
      </c>
      <c r="D95" s="575" t="s">
        <v>485</v>
      </c>
    </row>
    <row r="96" spans="1:7" s="557" customFormat="1" ht="13.5" thickBot="1">
      <c r="A96" s="243" t="s">
        <v>14</v>
      </c>
      <c r="B96" s="244" t="s">
        <v>631</v>
      </c>
      <c r="C96" s="516">
        <f>C97+C98+C99+C100+C101+C114</f>
        <v>99723129</v>
      </c>
      <c r="D96" s="516">
        <f>D97+D98+D99+D100+D101+D114</f>
        <v>98499190</v>
      </c>
    </row>
    <row r="97" spans="1:4" s="557" customFormat="1">
      <c r="A97" s="245" t="s">
        <v>93</v>
      </c>
      <c r="B97" s="246" t="s">
        <v>44</v>
      </c>
      <c r="C97" s="517">
        <v>13754400</v>
      </c>
      <c r="D97" s="517">
        <f>13754400-1006323-100000</f>
        <v>12648077</v>
      </c>
    </row>
    <row r="98" spans="1:4" s="557" customFormat="1">
      <c r="A98" s="229" t="s">
        <v>94</v>
      </c>
      <c r="B98" s="247" t="s">
        <v>172</v>
      </c>
      <c r="C98" s="518">
        <v>2831544</v>
      </c>
      <c r="D98" s="518">
        <f>2831544-98116-19500</f>
        <v>2713928</v>
      </c>
    </row>
    <row r="99" spans="1:4" s="557" customFormat="1">
      <c r="A99" s="229" t="s">
        <v>95</v>
      </c>
      <c r="B99" s="247" t="s">
        <v>131</v>
      </c>
      <c r="C99" s="519">
        <v>83137185</v>
      </c>
      <c r="D99" s="519">
        <v>83137185</v>
      </c>
    </row>
    <row r="100" spans="1:4" s="557" customFormat="1">
      <c r="A100" s="229" t="s">
        <v>96</v>
      </c>
      <c r="B100" s="248" t="s">
        <v>173</v>
      </c>
      <c r="C100" s="519"/>
      <c r="D100" s="519"/>
    </row>
    <row r="101" spans="1:4" s="557" customFormat="1">
      <c r="A101" s="229" t="s">
        <v>107</v>
      </c>
      <c r="B101" s="249" t="s">
        <v>174</v>
      </c>
      <c r="C101" s="519">
        <f>C102+C103+C104+C105+C106+C108+C109+C110+C111+C112+C113</f>
        <v>0</v>
      </c>
      <c r="D101" s="519">
        <f>D102+D103+D104+D105+D106+D108+D109+D110+D111+D112+D113</f>
        <v>0</v>
      </c>
    </row>
    <row r="102" spans="1:4" s="557" customFormat="1">
      <c r="A102" s="229" t="s">
        <v>97</v>
      </c>
      <c r="B102" s="247" t="s">
        <v>438</v>
      </c>
      <c r="C102" s="519"/>
      <c r="D102" s="519"/>
    </row>
    <row r="103" spans="1:4" s="557" customFormat="1">
      <c r="A103" s="229" t="s">
        <v>98</v>
      </c>
      <c r="B103" s="250" t="s">
        <v>437</v>
      </c>
      <c r="C103" s="519"/>
      <c r="D103" s="519"/>
    </row>
    <row r="104" spans="1:4" s="557" customFormat="1">
      <c r="A104" s="229" t="s">
        <v>108</v>
      </c>
      <c r="B104" s="250" t="s">
        <v>436</v>
      </c>
      <c r="C104" s="519"/>
      <c r="D104" s="519"/>
    </row>
    <row r="105" spans="1:4" s="557" customFormat="1">
      <c r="A105" s="229" t="s">
        <v>109</v>
      </c>
      <c r="B105" s="251" t="s">
        <v>347</v>
      </c>
      <c r="C105" s="519"/>
      <c r="D105" s="519"/>
    </row>
    <row r="106" spans="1:4" s="557" customFormat="1">
      <c r="A106" s="229" t="s">
        <v>110</v>
      </c>
      <c r="B106" s="252" t="s">
        <v>348</v>
      </c>
      <c r="C106" s="519"/>
      <c r="D106" s="519"/>
    </row>
    <row r="107" spans="1:4" s="557" customFormat="1">
      <c r="A107" s="229" t="s">
        <v>111</v>
      </c>
      <c r="B107" s="252" t="s">
        <v>349</v>
      </c>
      <c r="C107" s="519"/>
      <c r="D107" s="519"/>
    </row>
    <row r="108" spans="1:4" s="557" customFormat="1">
      <c r="A108" s="229" t="s">
        <v>113</v>
      </c>
      <c r="B108" s="251" t="s">
        <v>350</v>
      </c>
      <c r="C108" s="519"/>
      <c r="D108" s="519"/>
    </row>
    <row r="109" spans="1:4" s="557" customFormat="1">
      <c r="A109" s="229" t="s">
        <v>175</v>
      </c>
      <c r="B109" s="251" t="s">
        <v>351</v>
      </c>
      <c r="C109" s="519"/>
      <c r="D109" s="519"/>
    </row>
    <row r="110" spans="1:4" s="557" customFormat="1">
      <c r="A110" s="229" t="s">
        <v>345</v>
      </c>
      <c r="B110" s="252" t="s">
        <v>352</v>
      </c>
      <c r="C110" s="519"/>
      <c r="D110" s="519"/>
    </row>
    <row r="111" spans="1:4" s="557" customFormat="1">
      <c r="A111" s="253" t="s">
        <v>346</v>
      </c>
      <c r="B111" s="250" t="s">
        <v>353</v>
      </c>
      <c r="C111" s="519"/>
      <c r="D111" s="519"/>
    </row>
    <row r="112" spans="1:4" s="557" customFormat="1">
      <c r="A112" s="229" t="s">
        <v>434</v>
      </c>
      <c r="B112" s="250" t="s">
        <v>354</v>
      </c>
      <c r="C112" s="519"/>
      <c r="D112" s="519"/>
    </row>
    <row r="113" spans="1:4" s="557" customFormat="1">
      <c r="A113" s="231" t="s">
        <v>435</v>
      </c>
      <c r="B113" s="250" t="s">
        <v>355</v>
      </c>
      <c r="C113" s="519"/>
      <c r="D113" s="519"/>
    </row>
    <row r="114" spans="1:4" s="557" customFormat="1">
      <c r="A114" s="229" t="s">
        <v>439</v>
      </c>
      <c r="B114" s="248" t="s">
        <v>45</v>
      </c>
      <c r="C114" s="518">
        <f>C115+C116</f>
        <v>0</v>
      </c>
      <c r="D114" s="518">
        <f>D115+D116</f>
        <v>0</v>
      </c>
    </row>
    <row r="115" spans="1:4" s="557" customFormat="1">
      <c r="A115" s="229" t="s">
        <v>440</v>
      </c>
      <c r="B115" s="247" t="s">
        <v>442</v>
      </c>
      <c r="C115" s="518"/>
      <c r="D115" s="518"/>
    </row>
    <row r="116" spans="1:4" s="557" customFormat="1">
      <c r="A116" s="229" t="s">
        <v>441</v>
      </c>
      <c r="B116" s="563" t="s">
        <v>443</v>
      </c>
      <c r="C116" s="518"/>
      <c r="D116" s="518"/>
    </row>
    <row r="117" spans="1:4" s="557" customFormat="1" ht="13.5" thickBot="1">
      <c r="A117" s="256" t="s">
        <v>15</v>
      </c>
      <c r="B117" s="257" t="s">
        <v>632</v>
      </c>
      <c r="C117" s="522">
        <f>+C118+C120+C122</f>
        <v>24523700</v>
      </c>
      <c r="D117" s="522">
        <f>+D118+D120+D122</f>
        <v>24523700</v>
      </c>
    </row>
    <row r="118" spans="1:4" s="557" customFormat="1">
      <c r="A118" s="228" t="s">
        <v>99</v>
      </c>
      <c r="B118" s="247" t="s">
        <v>217</v>
      </c>
      <c r="C118" s="523">
        <v>18097500</v>
      </c>
      <c r="D118" s="523">
        <v>18097500</v>
      </c>
    </row>
    <row r="119" spans="1:4" s="557" customFormat="1">
      <c r="A119" s="228" t="s">
        <v>100</v>
      </c>
      <c r="B119" s="258" t="s">
        <v>359</v>
      </c>
      <c r="C119" s="523"/>
      <c r="D119" s="523"/>
    </row>
    <row r="120" spans="1:4" s="557" customFormat="1">
      <c r="A120" s="228" t="s">
        <v>101</v>
      </c>
      <c r="B120" s="258" t="s">
        <v>176</v>
      </c>
      <c r="C120" s="518">
        <v>6426200</v>
      </c>
      <c r="D120" s="518">
        <v>6426200</v>
      </c>
    </row>
    <row r="121" spans="1:4" s="557" customFormat="1">
      <c r="A121" s="228" t="s">
        <v>102</v>
      </c>
      <c r="B121" s="258" t="s">
        <v>360</v>
      </c>
      <c r="C121" s="524"/>
      <c r="D121" s="524"/>
    </row>
    <row r="122" spans="1:4" s="557" customFormat="1">
      <c r="A122" s="228" t="s">
        <v>103</v>
      </c>
      <c r="B122" s="232" t="s">
        <v>219</v>
      </c>
      <c r="C122" s="524">
        <f>C123+C124+C125+C126+C127+C128+C129+C130</f>
        <v>0</v>
      </c>
      <c r="D122" s="524">
        <f>D123+D124+D125+D126+D127+D128+D129+D130</f>
        <v>0</v>
      </c>
    </row>
    <row r="123" spans="1:4" s="557" customFormat="1">
      <c r="A123" s="228" t="s">
        <v>112</v>
      </c>
      <c r="B123" s="230" t="s">
        <v>422</v>
      </c>
      <c r="C123" s="524"/>
      <c r="D123" s="524"/>
    </row>
    <row r="124" spans="1:4" s="557" customFormat="1">
      <c r="A124" s="228" t="s">
        <v>114</v>
      </c>
      <c r="B124" s="259" t="s">
        <v>365</v>
      </c>
      <c r="C124" s="524"/>
      <c r="D124" s="524"/>
    </row>
    <row r="125" spans="1:4" s="557" customFormat="1">
      <c r="A125" s="228" t="s">
        <v>177</v>
      </c>
      <c r="B125" s="252" t="s">
        <v>349</v>
      </c>
      <c r="C125" s="524"/>
      <c r="D125" s="524"/>
    </row>
    <row r="126" spans="1:4" s="557" customFormat="1">
      <c r="A126" s="228" t="s">
        <v>178</v>
      </c>
      <c r="B126" s="252" t="s">
        <v>364</v>
      </c>
      <c r="C126" s="524"/>
      <c r="D126" s="524"/>
    </row>
    <row r="127" spans="1:4" s="557" customFormat="1">
      <c r="A127" s="228" t="s">
        <v>179</v>
      </c>
      <c r="B127" s="252" t="s">
        <v>363</v>
      </c>
      <c r="C127" s="524"/>
      <c r="D127" s="524"/>
    </row>
    <row r="128" spans="1:4" s="557" customFormat="1">
      <c r="A128" s="228" t="s">
        <v>356</v>
      </c>
      <c r="B128" s="252" t="s">
        <v>352</v>
      </c>
      <c r="C128" s="524"/>
      <c r="D128" s="524"/>
    </row>
    <row r="129" spans="1:4" s="557" customFormat="1">
      <c r="A129" s="228" t="s">
        <v>357</v>
      </c>
      <c r="B129" s="252" t="s">
        <v>362</v>
      </c>
      <c r="C129" s="524"/>
      <c r="D129" s="524"/>
    </row>
    <row r="130" spans="1:4" s="557" customFormat="1" ht="13.5" thickBot="1">
      <c r="A130" s="253" t="s">
        <v>358</v>
      </c>
      <c r="B130" s="252" t="s">
        <v>361</v>
      </c>
      <c r="C130" s="525"/>
      <c r="D130" s="525"/>
    </row>
    <row r="131" spans="1:4" s="557" customFormat="1" ht="13.5" thickBot="1">
      <c r="A131" s="226" t="s">
        <v>16</v>
      </c>
      <c r="B131" s="260" t="s">
        <v>444</v>
      </c>
      <c r="C131" s="526">
        <f>+C96+C117</f>
        <v>124246829</v>
      </c>
      <c r="D131" s="526">
        <f>+D96+D117</f>
        <v>123022890</v>
      </c>
    </row>
    <row r="132" spans="1:4" s="557" customFormat="1" ht="13.5" thickBot="1">
      <c r="A132" s="226" t="s">
        <v>17</v>
      </c>
      <c r="B132" s="260" t="s">
        <v>445</v>
      </c>
      <c r="C132" s="526">
        <f>+C133+C134+C135</f>
        <v>0</v>
      </c>
      <c r="D132" s="526">
        <f>+D133+D134+D135</f>
        <v>0</v>
      </c>
    </row>
    <row r="133" spans="1:4" s="557" customFormat="1">
      <c r="A133" s="228" t="s">
        <v>257</v>
      </c>
      <c r="B133" s="258" t="s">
        <v>452</v>
      </c>
      <c r="C133" s="524"/>
      <c r="D133" s="524"/>
    </row>
    <row r="134" spans="1:4" s="557" customFormat="1">
      <c r="A134" s="228" t="s">
        <v>260</v>
      </c>
      <c r="B134" s="258" t="s">
        <v>453</v>
      </c>
      <c r="C134" s="524"/>
      <c r="D134" s="524"/>
    </row>
    <row r="135" spans="1:4" s="557" customFormat="1" ht="13.5" thickBot="1">
      <c r="A135" s="253" t="s">
        <v>261</v>
      </c>
      <c r="B135" s="258" t="s">
        <v>454</v>
      </c>
      <c r="C135" s="524"/>
      <c r="D135" s="524"/>
    </row>
    <row r="136" spans="1:4" s="557" customFormat="1" ht="13.5" thickBot="1">
      <c r="A136" s="226" t="s">
        <v>18</v>
      </c>
      <c r="B136" s="260" t="s">
        <v>446</v>
      </c>
      <c r="C136" s="526">
        <f>SUM(C137:C142)</f>
        <v>0</v>
      </c>
      <c r="D136" s="526">
        <f>SUM(D137:D142)</f>
        <v>0</v>
      </c>
    </row>
    <row r="137" spans="1:4" s="557" customFormat="1">
      <c r="A137" s="228" t="s">
        <v>86</v>
      </c>
      <c r="B137" s="261" t="s">
        <v>455</v>
      </c>
      <c r="C137" s="524"/>
      <c r="D137" s="524"/>
    </row>
    <row r="138" spans="1:4" s="557" customFormat="1">
      <c r="A138" s="228" t="s">
        <v>87</v>
      </c>
      <c r="B138" s="261" t="s">
        <v>447</v>
      </c>
      <c r="C138" s="524"/>
      <c r="D138" s="524"/>
    </row>
    <row r="139" spans="1:4" s="557" customFormat="1">
      <c r="A139" s="228" t="s">
        <v>88</v>
      </c>
      <c r="B139" s="261" t="s">
        <v>448</v>
      </c>
      <c r="C139" s="524"/>
      <c r="D139" s="524"/>
    </row>
    <row r="140" spans="1:4" s="557" customFormat="1">
      <c r="A140" s="228" t="s">
        <v>164</v>
      </c>
      <c r="B140" s="261" t="s">
        <v>449</v>
      </c>
      <c r="C140" s="524"/>
      <c r="D140" s="524"/>
    </row>
    <row r="141" spans="1:4" s="557" customFormat="1">
      <c r="A141" s="228" t="s">
        <v>165</v>
      </c>
      <c r="B141" s="261" t="s">
        <v>450</v>
      </c>
      <c r="C141" s="524"/>
      <c r="D141" s="524"/>
    </row>
    <row r="142" spans="1:4" s="557" customFormat="1" ht="13.5" thickBot="1">
      <c r="A142" s="253" t="s">
        <v>166</v>
      </c>
      <c r="B142" s="261" t="s">
        <v>451</v>
      </c>
      <c r="C142" s="524"/>
      <c r="D142" s="524"/>
    </row>
    <row r="143" spans="1:4" s="557" customFormat="1" ht="13.5" thickBot="1">
      <c r="A143" s="226" t="s">
        <v>19</v>
      </c>
      <c r="B143" s="260" t="s">
        <v>459</v>
      </c>
      <c r="C143" s="527">
        <f>+C144+C145+C146+C147</f>
        <v>0</v>
      </c>
      <c r="D143" s="527">
        <f>+D144+D145+D146+D147</f>
        <v>0</v>
      </c>
    </row>
    <row r="144" spans="1:4" s="557" customFormat="1">
      <c r="A144" s="228" t="s">
        <v>89</v>
      </c>
      <c r="B144" s="261" t="s">
        <v>366</v>
      </c>
      <c r="C144" s="524"/>
      <c r="D144" s="524"/>
    </row>
    <row r="145" spans="1:4" s="557" customFormat="1">
      <c r="A145" s="228" t="s">
        <v>90</v>
      </c>
      <c r="B145" s="261" t="s">
        <v>367</v>
      </c>
      <c r="C145" s="524"/>
      <c r="D145" s="524"/>
    </row>
    <row r="146" spans="1:4" s="557" customFormat="1">
      <c r="A146" s="228" t="s">
        <v>281</v>
      </c>
      <c r="B146" s="261" t="s">
        <v>460</v>
      </c>
      <c r="C146" s="524"/>
      <c r="D146" s="524"/>
    </row>
    <row r="147" spans="1:4" s="557" customFormat="1" ht="13.5" thickBot="1">
      <c r="A147" s="253" t="s">
        <v>282</v>
      </c>
      <c r="B147" s="262" t="s">
        <v>386</v>
      </c>
      <c r="C147" s="524"/>
      <c r="D147" s="524"/>
    </row>
    <row r="148" spans="1:4" s="557" customFormat="1" ht="13.5" thickBot="1">
      <c r="A148" s="226" t="s">
        <v>20</v>
      </c>
      <c r="B148" s="260" t="s">
        <v>461</v>
      </c>
      <c r="C148" s="528">
        <f>SUM(C149:C153)</f>
        <v>0</v>
      </c>
      <c r="D148" s="528">
        <f>SUM(D149:D153)</f>
        <v>0</v>
      </c>
    </row>
    <row r="149" spans="1:4" s="557" customFormat="1">
      <c r="A149" s="228" t="s">
        <v>91</v>
      </c>
      <c r="B149" s="261" t="s">
        <v>456</v>
      </c>
      <c r="C149" s="524"/>
      <c r="D149" s="524"/>
    </row>
    <row r="150" spans="1:4" s="557" customFormat="1">
      <c r="A150" s="228" t="s">
        <v>92</v>
      </c>
      <c r="B150" s="261" t="s">
        <v>463</v>
      </c>
      <c r="C150" s="524"/>
      <c r="D150" s="524"/>
    </row>
    <row r="151" spans="1:4" s="557" customFormat="1">
      <c r="A151" s="228" t="s">
        <v>293</v>
      </c>
      <c r="B151" s="261" t="s">
        <v>458</v>
      </c>
      <c r="C151" s="524"/>
      <c r="D151" s="524"/>
    </row>
    <row r="152" spans="1:4" s="557" customFormat="1">
      <c r="A152" s="228" t="s">
        <v>294</v>
      </c>
      <c r="B152" s="261" t="s">
        <v>464</v>
      </c>
      <c r="C152" s="524"/>
      <c r="D152" s="524"/>
    </row>
    <row r="153" spans="1:4" s="557" customFormat="1" ht="13.5" thickBot="1">
      <c r="A153" s="228" t="s">
        <v>462</v>
      </c>
      <c r="B153" s="261" t="s">
        <v>465</v>
      </c>
      <c r="C153" s="524"/>
      <c r="D153" s="524"/>
    </row>
    <row r="154" spans="1:4" s="557" customFormat="1" ht="13.5" thickBot="1">
      <c r="A154" s="226" t="s">
        <v>21</v>
      </c>
      <c r="B154" s="260" t="s">
        <v>466</v>
      </c>
      <c r="C154" s="529"/>
      <c r="D154" s="529"/>
    </row>
    <row r="155" spans="1:4" s="557" customFormat="1" ht="13.5" thickBot="1">
      <c r="A155" s="226" t="s">
        <v>22</v>
      </c>
      <c r="B155" s="260" t="s">
        <v>467</v>
      </c>
      <c r="C155" s="529"/>
      <c r="D155" s="529"/>
    </row>
    <row r="156" spans="1:4" s="557" customFormat="1" ht="13.5" thickBot="1">
      <c r="A156" s="226" t="s">
        <v>23</v>
      </c>
      <c r="B156" s="260" t="s">
        <v>469</v>
      </c>
      <c r="C156" s="530">
        <f>+C132+C136+C143+C148+C154+C155</f>
        <v>0</v>
      </c>
      <c r="D156" s="530">
        <f>+D132+D136+D143+D148+D154+D155</f>
        <v>0</v>
      </c>
    </row>
    <row r="157" spans="1:4" s="42" customFormat="1" ht="13.5" thickBot="1">
      <c r="A157" s="264" t="s">
        <v>24</v>
      </c>
      <c r="B157" s="265" t="s">
        <v>468</v>
      </c>
      <c r="C157" s="530">
        <f>+C131+C156</f>
        <v>124246829</v>
      </c>
      <c r="D157" s="530">
        <f>+D131+D156</f>
        <v>123022890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90" orientation="portrait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D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28" customWidth="1"/>
    <col min="2" max="2" width="72" style="9" customWidth="1"/>
    <col min="3" max="4" width="25" style="29" customWidth="1"/>
    <col min="5" max="16384" width="9.33203125" style="9"/>
  </cols>
  <sheetData>
    <row r="1" spans="1:4" s="101" customFormat="1" ht="16.5" customHeight="1" thickBot="1">
      <c r="A1" s="1"/>
      <c r="B1" s="102" t="s">
        <v>727</v>
      </c>
      <c r="C1" s="102"/>
      <c r="D1" s="102"/>
    </row>
    <row r="2" spans="1:4" s="104" customFormat="1" ht="21" customHeight="1">
      <c r="A2" s="2" t="s">
        <v>56</v>
      </c>
      <c r="B2" s="3" t="s">
        <v>536</v>
      </c>
      <c r="C2" s="103" t="s">
        <v>49</v>
      </c>
      <c r="D2" s="103" t="s">
        <v>49</v>
      </c>
    </row>
    <row r="3" spans="1:4" s="104" customFormat="1" ht="16.5" thickBot="1">
      <c r="A3" s="105" t="s">
        <v>191</v>
      </c>
      <c r="B3" s="4" t="s">
        <v>519</v>
      </c>
      <c r="C3" s="106" t="s">
        <v>425</v>
      </c>
      <c r="D3" s="106" t="s">
        <v>425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6.25" thickBot="1">
      <c r="A5" s="7" t="s">
        <v>193</v>
      </c>
      <c r="B5" s="8" t="s">
        <v>50</v>
      </c>
      <c r="C5" s="507" t="s">
        <v>692</v>
      </c>
      <c r="D5" s="507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109"/>
      <c r="D7" s="109"/>
    </row>
    <row r="8" spans="1:4" s="108" customFormat="1" ht="12" customHeight="1" thickBot="1">
      <c r="A8" s="73" t="s">
        <v>14</v>
      </c>
      <c r="B8" s="40" t="s">
        <v>241</v>
      </c>
      <c r="C8" s="41">
        <f>+C9+C10+C11+C12+C13+C14</f>
        <v>0</v>
      </c>
      <c r="D8" s="41">
        <f>+D9+D10+D11+D12+D13+D14</f>
        <v>0</v>
      </c>
    </row>
    <row r="9" spans="1:4" s="198" customFormat="1" ht="12" customHeight="1">
      <c r="A9" s="197" t="s">
        <v>93</v>
      </c>
      <c r="B9" s="44" t="s">
        <v>242</v>
      </c>
      <c r="C9" s="45"/>
      <c r="D9" s="45"/>
    </row>
    <row r="10" spans="1:4" s="200" customFormat="1" ht="12" customHeight="1">
      <c r="A10" s="199" t="s">
        <v>94</v>
      </c>
      <c r="B10" s="47" t="s">
        <v>243</v>
      </c>
      <c r="C10" s="48"/>
      <c r="D10" s="48"/>
    </row>
    <row r="11" spans="1:4" s="200" customFormat="1" ht="12" customHeight="1">
      <c r="A11" s="199" t="s">
        <v>95</v>
      </c>
      <c r="B11" s="47" t="s">
        <v>244</v>
      </c>
      <c r="C11" s="48"/>
      <c r="D11" s="48"/>
    </row>
    <row r="12" spans="1:4" s="200" customFormat="1" ht="12" customHeight="1">
      <c r="A12" s="199" t="s">
        <v>96</v>
      </c>
      <c r="B12" s="47" t="s">
        <v>245</v>
      </c>
      <c r="C12" s="48"/>
      <c r="D12" s="48"/>
    </row>
    <row r="13" spans="1:4" s="200" customFormat="1" ht="12" customHeight="1">
      <c r="A13" s="199" t="s">
        <v>139</v>
      </c>
      <c r="B13" s="47" t="s">
        <v>497</v>
      </c>
      <c r="C13" s="48"/>
      <c r="D13" s="48"/>
    </row>
    <row r="14" spans="1:4" s="198" customFormat="1" ht="12" customHeight="1" thickBot="1">
      <c r="A14" s="201" t="s">
        <v>97</v>
      </c>
      <c r="B14" s="54" t="s">
        <v>427</v>
      </c>
      <c r="C14" s="48"/>
      <c r="D14" s="48"/>
    </row>
    <row r="15" spans="1:4" s="198" customFormat="1" ht="12" customHeight="1" thickBot="1">
      <c r="A15" s="73" t="s">
        <v>15</v>
      </c>
      <c r="B15" s="52" t="s">
        <v>246</v>
      </c>
      <c r="C15" s="41">
        <f>+C16+C17+C18+C19+C20</f>
        <v>0</v>
      </c>
      <c r="D15" s="41">
        <f>+D16+D17+D18+D19+D20</f>
        <v>0</v>
      </c>
    </row>
    <row r="16" spans="1:4" s="198" customFormat="1" ht="12" customHeight="1">
      <c r="A16" s="197" t="s">
        <v>99</v>
      </c>
      <c r="B16" s="44" t="s">
        <v>247</v>
      </c>
      <c r="C16" s="45"/>
      <c r="D16" s="45"/>
    </row>
    <row r="17" spans="1:4" s="198" customFormat="1" ht="12" customHeight="1">
      <c r="A17" s="199" t="s">
        <v>100</v>
      </c>
      <c r="B17" s="47" t="s">
        <v>248</v>
      </c>
      <c r="C17" s="48"/>
      <c r="D17" s="48"/>
    </row>
    <row r="18" spans="1:4" s="198" customFormat="1" ht="12" customHeight="1">
      <c r="A18" s="199" t="s">
        <v>101</v>
      </c>
      <c r="B18" s="47" t="s">
        <v>416</v>
      </c>
      <c r="C18" s="48"/>
      <c r="D18" s="48"/>
    </row>
    <row r="19" spans="1:4" s="198" customFormat="1" ht="12" customHeight="1">
      <c r="A19" s="199" t="s">
        <v>102</v>
      </c>
      <c r="B19" s="47" t="s">
        <v>417</v>
      </c>
      <c r="C19" s="48"/>
      <c r="D19" s="48"/>
    </row>
    <row r="20" spans="1:4" s="198" customFormat="1" ht="12" customHeight="1">
      <c r="A20" s="199" t="s">
        <v>103</v>
      </c>
      <c r="B20" s="47" t="s">
        <v>249</v>
      </c>
      <c r="C20" s="48"/>
      <c r="D20" s="48"/>
    </row>
    <row r="21" spans="1:4" s="200" customFormat="1" ht="12" customHeight="1" thickBot="1">
      <c r="A21" s="201" t="s">
        <v>112</v>
      </c>
      <c r="B21" s="54" t="s">
        <v>250</v>
      </c>
      <c r="C21" s="53"/>
      <c r="D21" s="53"/>
    </row>
    <row r="22" spans="1:4" s="200" customFormat="1" ht="12" customHeight="1" thickBot="1">
      <c r="A22" s="73" t="s">
        <v>16</v>
      </c>
      <c r="B22" s="40" t="s">
        <v>251</v>
      </c>
      <c r="C22" s="41">
        <f>+C23+C24+C25+C26+C27</f>
        <v>0</v>
      </c>
      <c r="D22" s="41">
        <f>+D23+D24+D25+D26+D27</f>
        <v>0</v>
      </c>
    </row>
    <row r="23" spans="1:4" s="200" customFormat="1" ht="12" customHeight="1">
      <c r="A23" s="197" t="s">
        <v>82</v>
      </c>
      <c r="B23" s="44" t="s">
        <v>252</v>
      </c>
      <c r="C23" s="45"/>
      <c r="D23" s="45"/>
    </row>
    <row r="24" spans="1:4" s="198" customFormat="1" ht="12" customHeight="1">
      <c r="A24" s="199" t="s">
        <v>83</v>
      </c>
      <c r="B24" s="47" t="s">
        <v>253</v>
      </c>
      <c r="C24" s="48"/>
      <c r="D24" s="48"/>
    </row>
    <row r="25" spans="1:4" s="200" customFormat="1" ht="12" customHeight="1">
      <c r="A25" s="199" t="s">
        <v>84</v>
      </c>
      <c r="B25" s="47" t="s">
        <v>418</v>
      </c>
      <c r="C25" s="48"/>
      <c r="D25" s="48"/>
    </row>
    <row r="26" spans="1:4" s="200" customFormat="1" ht="12" customHeight="1">
      <c r="A26" s="199" t="s">
        <v>85</v>
      </c>
      <c r="B26" s="47" t="s">
        <v>419</v>
      </c>
      <c r="C26" s="48"/>
      <c r="D26" s="48"/>
    </row>
    <row r="27" spans="1:4" s="200" customFormat="1" ht="12" customHeight="1">
      <c r="A27" s="199" t="s">
        <v>160</v>
      </c>
      <c r="B27" s="47" t="s">
        <v>254</v>
      </c>
      <c r="C27" s="48"/>
      <c r="D27" s="48"/>
    </row>
    <row r="28" spans="1:4" s="200" customFormat="1" ht="12" customHeight="1" thickBot="1">
      <c r="A28" s="201" t="s">
        <v>161</v>
      </c>
      <c r="B28" s="54" t="s">
        <v>255</v>
      </c>
      <c r="C28" s="53"/>
      <c r="D28" s="53"/>
    </row>
    <row r="29" spans="1:4" s="200" customFormat="1" ht="12" customHeight="1" thickBot="1">
      <c r="A29" s="73" t="s">
        <v>162</v>
      </c>
      <c r="B29" s="40" t="s">
        <v>256</v>
      </c>
      <c r="C29" s="55">
        <f>+C30+C34+C35+C36</f>
        <v>0</v>
      </c>
      <c r="D29" s="55">
        <f>+D30+D34+D35+D36</f>
        <v>0</v>
      </c>
    </row>
    <row r="30" spans="1:4" s="200" customFormat="1" ht="12" customHeight="1">
      <c r="A30" s="197" t="s">
        <v>257</v>
      </c>
      <c r="B30" s="44" t="s">
        <v>498</v>
      </c>
      <c r="C30" s="56">
        <f>+C31+C32+C33</f>
        <v>0</v>
      </c>
      <c r="D30" s="56">
        <f>+D31+D32+D33</f>
        <v>0</v>
      </c>
    </row>
    <row r="31" spans="1:4" s="200" customFormat="1" ht="12" customHeight="1">
      <c r="A31" s="199" t="s">
        <v>258</v>
      </c>
      <c r="B31" s="47" t="s">
        <v>263</v>
      </c>
      <c r="C31" s="48"/>
      <c r="D31" s="48"/>
    </row>
    <row r="32" spans="1:4" s="200" customFormat="1" ht="12" customHeight="1">
      <c r="A32" s="199" t="s">
        <v>259</v>
      </c>
      <c r="B32" s="47" t="s">
        <v>264</v>
      </c>
      <c r="C32" s="48"/>
      <c r="D32" s="48"/>
    </row>
    <row r="33" spans="1:4" s="200" customFormat="1" ht="12" customHeight="1">
      <c r="A33" s="199" t="s">
        <v>431</v>
      </c>
      <c r="B33" s="57" t="s">
        <v>432</v>
      </c>
      <c r="C33" s="48"/>
      <c r="D33" s="48"/>
    </row>
    <row r="34" spans="1:4" s="200" customFormat="1" ht="12" customHeight="1">
      <c r="A34" s="199" t="s">
        <v>260</v>
      </c>
      <c r="B34" s="47" t="s">
        <v>265</v>
      </c>
      <c r="C34" s="48"/>
      <c r="D34" s="48"/>
    </row>
    <row r="35" spans="1:4" s="200" customFormat="1" ht="12" customHeight="1">
      <c r="A35" s="199" t="s">
        <v>261</v>
      </c>
      <c r="B35" s="47" t="s">
        <v>266</v>
      </c>
      <c r="C35" s="48"/>
      <c r="D35" s="48"/>
    </row>
    <row r="36" spans="1:4" s="200" customFormat="1" ht="12" customHeight="1" thickBot="1">
      <c r="A36" s="201" t="s">
        <v>262</v>
      </c>
      <c r="B36" s="54" t="s">
        <v>267</v>
      </c>
      <c r="C36" s="53"/>
      <c r="D36" s="53"/>
    </row>
    <row r="37" spans="1:4" s="200" customFormat="1" ht="12" customHeight="1" thickBot="1">
      <c r="A37" s="73" t="s">
        <v>18</v>
      </c>
      <c r="B37" s="40" t="s">
        <v>428</v>
      </c>
      <c r="C37" s="41">
        <f>SUM(C38:C48)</f>
        <v>0</v>
      </c>
      <c r="D37" s="41">
        <f>SUM(D38:D48)</f>
        <v>0</v>
      </c>
    </row>
    <row r="38" spans="1:4" s="200" customFormat="1" ht="12" customHeight="1">
      <c r="A38" s="197" t="s">
        <v>86</v>
      </c>
      <c r="B38" s="44" t="s">
        <v>270</v>
      </c>
      <c r="C38" s="45"/>
      <c r="D38" s="45"/>
    </row>
    <row r="39" spans="1:4" s="200" customFormat="1" ht="12" customHeight="1">
      <c r="A39" s="199" t="s">
        <v>87</v>
      </c>
      <c r="B39" s="47" t="s">
        <v>271</v>
      </c>
      <c r="C39" s="48"/>
      <c r="D39" s="48"/>
    </row>
    <row r="40" spans="1:4" s="200" customFormat="1" ht="12" customHeight="1">
      <c r="A40" s="199" t="s">
        <v>88</v>
      </c>
      <c r="B40" s="47" t="s">
        <v>272</v>
      </c>
      <c r="C40" s="48"/>
      <c r="D40" s="48"/>
    </row>
    <row r="41" spans="1:4" s="200" customFormat="1" ht="12" customHeight="1">
      <c r="A41" s="199" t="s">
        <v>164</v>
      </c>
      <c r="B41" s="47" t="s">
        <v>273</v>
      </c>
      <c r="C41" s="48"/>
      <c r="D41" s="48"/>
    </row>
    <row r="42" spans="1:4" s="200" customFormat="1" ht="12" customHeight="1">
      <c r="A42" s="199" t="s">
        <v>165</v>
      </c>
      <c r="B42" s="47" t="s">
        <v>274</v>
      </c>
      <c r="C42" s="48"/>
      <c r="D42" s="48"/>
    </row>
    <row r="43" spans="1:4" s="200" customFormat="1" ht="12" customHeight="1">
      <c r="A43" s="199" t="s">
        <v>166</v>
      </c>
      <c r="B43" s="47" t="s">
        <v>275</v>
      </c>
      <c r="C43" s="48"/>
      <c r="D43" s="48"/>
    </row>
    <row r="44" spans="1:4" s="200" customFormat="1" ht="12" customHeight="1">
      <c r="A44" s="199" t="s">
        <v>167</v>
      </c>
      <c r="B44" s="47" t="s">
        <v>276</v>
      </c>
      <c r="C44" s="48"/>
      <c r="D44" s="48"/>
    </row>
    <row r="45" spans="1:4" s="200" customFormat="1" ht="12" customHeight="1">
      <c r="A45" s="199" t="s">
        <v>168</v>
      </c>
      <c r="B45" s="47" t="s">
        <v>277</v>
      </c>
      <c r="C45" s="48"/>
      <c r="D45" s="48"/>
    </row>
    <row r="46" spans="1:4" s="200" customFormat="1" ht="12" customHeight="1">
      <c r="A46" s="199" t="s">
        <v>268</v>
      </c>
      <c r="B46" s="47" t="s">
        <v>278</v>
      </c>
      <c r="C46" s="58"/>
      <c r="D46" s="58"/>
    </row>
    <row r="47" spans="1:4" s="200" customFormat="1" ht="12" customHeight="1">
      <c r="A47" s="201" t="s">
        <v>269</v>
      </c>
      <c r="B47" s="54" t="s">
        <v>430</v>
      </c>
      <c r="C47" s="59"/>
      <c r="D47" s="59"/>
    </row>
    <row r="48" spans="1:4" s="200" customFormat="1" ht="12" customHeight="1" thickBot="1">
      <c r="A48" s="201" t="s">
        <v>429</v>
      </c>
      <c r="B48" s="54" t="s">
        <v>279</v>
      </c>
      <c r="C48" s="59"/>
      <c r="D48" s="59"/>
    </row>
    <row r="49" spans="1:4" s="200" customFormat="1" ht="12" customHeight="1" thickBot="1">
      <c r="A49" s="73" t="s">
        <v>19</v>
      </c>
      <c r="B49" s="40" t="s">
        <v>280</v>
      </c>
      <c r="C49" s="41">
        <f>SUM(C50:C54)</f>
        <v>0</v>
      </c>
      <c r="D49" s="41">
        <f>SUM(D50:D54)</f>
        <v>0</v>
      </c>
    </row>
    <row r="50" spans="1:4" s="200" customFormat="1" ht="12" customHeight="1">
      <c r="A50" s="197" t="s">
        <v>89</v>
      </c>
      <c r="B50" s="44" t="s">
        <v>284</v>
      </c>
      <c r="C50" s="60"/>
      <c r="D50" s="60"/>
    </row>
    <row r="51" spans="1:4" s="200" customFormat="1" ht="12" customHeight="1">
      <c r="A51" s="199" t="s">
        <v>90</v>
      </c>
      <c r="B51" s="47" t="s">
        <v>285</v>
      </c>
      <c r="C51" s="58"/>
      <c r="D51" s="58"/>
    </row>
    <row r="52" spans="1:4" s="200" customFormat="1" ht="12" customHeight="1">
      <c r="A52" s="199" t="s">
        <v>281</v>
      </c>
      <c r="B52" s="47" t="s">
        <v>286</v>
      </c>
      <c r="C52" s="58"/>
      <c r="D52" s="58"/>
    </row>
    <row r="53" spans="1:4" s="200" customFormat="1" ht="12" customHeight="1">
      <c r="A53" s="199" t="s">
        <v>282</v>
      </c>
      <c r="B53" s="47" t="s">
        <v>287</v>
      </c>
      <c r="C53" s="58"/>
      <c r="D53" s="58"/>
    </row>
    <row r="54" spans="1:4" s="200" customFormat="1" ht="12" customHeight="1" thickBot="1">
      <c r="A54" s="201" t="s">
        <v>283</v>
      </c>
      <c r="B54" s="54" t="s">
        <v>288</v>
      </c>
      <c r="C54" s="59"/>
      <c r="D54" s="59"/>
    </row>
    <row r="55" spans="1:4" s="200" customFormat="1" ht="12" customHeight="1" thickBot="1">
      <c r="A55" s="73" t="s">
        <v>169</v>
      </c>
      <c r="B55" s="40" t="s">
        <v>289</v>
      </c>
      <c r="C55" s="41">
        <f>SUM(C56:C58)</f>
        <v>0</v>
      </c>
      <c r="D55" s="41">
        <f>SUM(D56:D58)</f>
        <v>0</v>
      </c>
    </row>
    <row r="56" spans="1:4" s="200" customFormat="1" ht="12" customHeight="1">
      <c r="A56" s="197" t="s">
        <v>91</v>
      </c>
      <c r="B56" s="44" t="s">
        <v>290</v>
      </c>
      <c r="C56" s="45"/>
      <c r="D56" s="45"/>
    </row>
    <row r="57" spans="1:4" s="200" customFormat="1" ht="12" customHeight="1">
      <c r="A57" s="199" t="s">
        <v>92</v>
      </c>
      <c r="B57" s="47" t="s">
        <v>420</v>
      </c>
      <c r="C57" s="48"/>
      <c r="D57" s="48"/>
    </row>
    <row r="58" spans="1:4" s="200" customFormat="1" ht="12" customHeight="1">
      <c r="A58" s="199" t="s">
        <v>293</v>
      </c>
      <c r="B58" s="47" t="s">
        <v>291</v>
      </c>
      <c r="C58" s="48"/>
      <c r="D58" s="48"/>
    </row>
    <row r="59" spans="1:4" s="200" customFormat="1" ht="12" customHeight="1" thickBot="1">
      <c r="A59" s="201" t="s">
        <v>294</v>
      </c>
      <c r="B59" s="54" t="s">
        <v>292</v>
      </c>
      <c r="C59" s="53"/>
      <c r="D59" s="53"/>
    </row>
    <row r="60" spans="1:4" s="200" customFormat="1" ht="12" customHeight="1" thickBot="1">
      <c r="A60" s="73" t="s">
        <v>21</v>
      </c>
      <c r="B60" s="52" t="s">
        <v>295</v>
      </c>
      <c r="C60" s="41">
        <f>SUM(C61:C63)</f>
        <v>0</v>
      </c>
      <c r="D60" s="41">
        <f>SUM(D61:D63)</f>
        <v>0</v>
      </c>
    </row>
    <row r="61" spans="1:4" s="200" customFormat="1" ht="12" customHeight="1">
      <c r="A61" s="197" t="s">
        <v>170</v>
      </c>
      <c r="B61" s="44" t="s">
        <v>297</v>
      </c>
      <c r="C61" s="58"/>
      <c r="D61" s="58"/>
    </row>
    <row r="62" spans="1:4" s="200" customFormat="1" ht="12" customHeight="1">
      <c r="A62" s="199" t="s">
        <v>171</v>
      </c>
      <c r="B62" s="47" t="s">
        <v>421</v>
      </c>
      <c r="C62" s="58"/>
      <c r="D62" s="58"/>
    </row>
    <row r="63" spans="1:4" s="200" customFormat="1" ht="12" customHeight="1">
      <c r="A63" s="199" t="s">
        <v>218</v>
      </c>
      <c r="B63" s="47" t="s">
        <v>298</v>
      </c>
      <c r="C63" s="58"/>
      <c r="D63" s="58"/>
    </row>
    <row r="64" spans="1:4" s="200" customFormat="1" ht="12" customHeight="1" thickBot="1">
      <c r="A64" s="201" t="s">
        <v>296</v>
      </c>
      <c r="B64" s="54" t="s">
        <v>299</v>
      </c>
      <c r="C64" s="58"/>
      <c r="D64" s="58"/>
    </row>
    <row r="65" spans="1:4" s="200" customFormat="1" ht="12" customHeight="1" thickBot="1">
      <c r="A65" s="73" t="s">
        <v>22</v>
      </c>
      <c r="B65" s="40" t="s">
        <v>300</v>
      </c>
      <c r="C65" s="55">
        <f>+C8+C15+C22+C29+C37+C49+C55+C60</f>
        <v>0</v>
      </c>
      <c r="D65" s="55">
        <f>+D8+D15+D22+D29+D37+D49+D55+D60</f>
        <v>0</v>
      </c>
    </row>
    <row r="66" spans="1:4" s="200" customFormat="1" ht="12" customHeight="1" thickBot="1">
      <c r="A66" s="202" t="s">
        <v>390</v>
      </c>
      <c r="B66" s="52" t="s">
        <v>302</v>
      </c>
      <c r="C66" s="41">
        <f>SUM(C67:C69)</f>
        <v>0</v>
      </c>
      <c r="D66" s="41">
        <f>SUM(D67:D69)</f>
        <v>0</v>
      </c>
    </row>
    <row r="67" spans="1:4" s="200" customFormat="1" ht="12" customHeight="1">
      <c r="A67" s="197" t="s">
        <v>333</v>
      </c>
      <c r="B67" s="44" t="s">
        <v>303</v>
      </c>
      <c r="C67" s="58"/>
      <c r="D67" s="58"/>
    </row>
    <row r="68" spans="1:4" s="200" customFormat="1" ht="12" customHeight="1">
      <c r="A68" s="199" t="s">
        <v>342</v>
      </c>
      <c r="B68" s="47" t="s">
        <v>304</v>
      </c>
      <c r="C68" s="58"/>
      <c r="D68" s="58"/>
    </row>
    <row r="69" spans="1:4" s="200" customFormat="1" ht="12" customHeight="1" thickBot="1">
      <c r="A69" s="201" t="s">
        <v>343</v>
      </c>
      <c r="B69" s="203" t="s">
        <v>305</v>
      </c>
      <c r="C69" s="58"/>
      <c r="D69" s="58"/>
    </row>
    <row r="70" spans="1:4" s="200" customFormat="1" ht="12" customHeight="1" thickBot="1">
      <c r="A70" s="202" t="s">
        <v>306</v>
      </c>
      <c r="B70" s="52" t="s">
        <v>307</v>
      </c>
      <c r="C70" s="41">
        <f>SUM(C71:C74)</f>
        <v>0</v>
      </c>
      <c r="D70" s="41">
        <f>SUM(D71:D74)</f>
        <v>0</v>
      </c>
    </row>
    <row r="71" spans="1:4" s="200" customFormat="1" ht="12" customHeight="1">
      <c r="A71" s="197" t="s">
        <v>140</v>
      </c>
      <c r="B71" s="44" t="s">
        <v>308</v>
      </c>
      <c r="C71" s="58"/>
      <c r="D71" s="58"/>
    </row>
    <row r="72" spans="1:4" s="200" customFormat="1" ht="12" customHeight="1">
      <c r="A72" s="199" t="s">
        <v>141</v>
      </c>
      <c r="B72" s="47" t="s">
        <v>309</v>
      </c>
      <c r="C72" s="58"/>
      <c r="D72" s="58"/>
    </row>
    <row r="73" spans="1:4" s="200" customFormat="1" ht="12" customHeight="1">
      <c r="A73" s="199" t="s">
        <v>334</v>
      </c>
      <c r="B73" s="47" t="s">
        <v>310</v>
      </c>
      <c r="C73" s="58"/>
      <c r="D73" s="58"/>
    </row>
    <row r="74" spans="1:4" s="200" customFormat="1" ht="12" customHeight="1" thickBot="1">
      <c r="A74" s="201" t="s">
        <v>335</v>
      </c>
      <c r="B74" s="54" t="s">
        <v>311</v>
      </c>
      <c r="C74" s="58"/>
      <c r="D74" s="58"/>
    </row>
    <row r="75" spans="1:4" s="200" customFormat="1" ht="12" customHeight="1" thickBot="1">
      <c r="A75" s="202" t="s">
        <v>312</v>
      </c>
      <c r="B75" s="52" t="s">
        <v>313</v>
      </c>
      <c r="C75" s="41">
        <f>SUM(C76:C77)</f>
        <v>0</v>
      </c>
      <c r="D75" s="41">
        <f>SUM(D76:D77)</f>
        <v>0</v>
      </c>
    </row>
    <row r="76" spans="1:4" s="200" customFormat="1" ht="12" customHeight="1">
      <c r="A76" s="197" t="s">
        <v>336</v>
      </c>
      <c r="B76" s="44" t="s">
        <v>314</v>
      </c>
      <c r="C76" s="58"/>
      <c r="D76" s="58"/>
    </row>
    <row r="77" spans="1:4" s="200" customFormat="1" ht="12" customHeight="1" thickBot="1">
      <c r="A77" s="201" t="s">
        <v>337</v>
      </c>
      <c r="B77" s="54" t="s">
        <v>315</v>
      </c>
      <c r="C77" s="58"/>
      <c r="D77" s="58"/>
    </row>
    <row r="78" spans="1:4" s="198" customFormat="1" ht="12" customHeight="1" thickBot="1">
      <c r="A78" s="202" t="s">
        <v>316</v>
      </c>
      <c r="B78" s="52" t="s">
        <v>317</v>
      </c>
      <c r="C78" s="41">
        <f>SUM(C79:C81)</f>
        <v>0</v>
      </c>
      <c r="D78" s="41">
        <f>SUM(D79:D81)</f>
        <v>0</v>
      </c>
    </row>
    <row r="79" spans="1:4" s="200" customFormat="1" ht="12" customHeight="1">
      <c r="A79" s="197" t="s">
        <v>338</v>
      </c>
      <c r="B79" s="44" t="s">
        <v>318</v>
      </c>
      <c r="C79" s="58"/>
      <c r="D79" s="58"/>
    </row>
    <row r="80" spans="1:4" s="200" customFormat="1" ht="12" customHeight="1">
      <c r="A80" s="199" t="s">
        <v>339</v>
      </c>
      <c r="B80" s="47" t="s">
        <v>319</v>
      </c>
      <c r="C80" s="58"/>
      <c r="D80" s="58"/>
    </row>
    <row r="81" spans="1:4" s="200" customFormat="1" ht="12" customHeight="1" thickBot="1">
      <c r="A81" s="201" t="s">
        <v>340</v>
      </c>
      <c r="B81" s="54" t="s">
        <v>320</v>
      </c>
      <c r="C81" s="58"/>
      <c r="D81" s="58"/>
    </row>
    <row r="82" spans="1:4" s="200" customFormat="1" ht="12" customHeight="1" thickBot="1">
      <c r="A82" s="202" t="s">
        <v>321</v>
      </c>
      <c r="B82" s="52" t="s">
        <v>341</v>
      </c>
      <c r="C82" s="41">
        <f>SUM(C83:C86)</f>
        <v>0</v>
      </c>
      <c r="D82" s="41">
        <f>SUM(D83:D86)</f>
        <v>0</v>
      </c>
    </row>
    <row r="83" spans="1:4" s="200" customFormat="1" ht="12" customHeight="1">
      <c r="A83" s="204" t="s">
        <v>322</v>
      </c>
      <c r="B83" s="44" t="s">
        <v>323</v>
      </c>
      <c r="C83" s="58"/>
      <c r="D83" s="58"/>
    </row>
    <row r="84" spans="1:4" s="200" customFormat="1" ht="12" customHeight="1">
      <c r="A84" s="205" t="s">
        <v>324</v>
      </c>
      <c r="B84" s="47" t="s">
        <v>325</v>
      </c>
      <c r="C84" s="58"/>
      <c r="D84" s="58"/>
    </row>
    <row r="85" spans="1:4" s="200" customFormat="1" ht="12" customHeight="1">
      <c r="A85" s="205" t="s">
        <v>326</v>
      </c>
      <c r="B85" s="47" t="s">
        <v>327</v>
      </c>
      <c r="C85" s="58"/>
      <c r="D85" s="58"/>
    </row>
    <row r="86" spans="1:4" s="198" customFormat="1" ht="12" customHeight="1" thickBot="1">
      <c r="A86" s="206" t="s">
        <v>328</v>
      </c>
      <c r="B86" s="54" t="s">
        <v>329</v>
      </c>
      <c r="C86" s="58"/>
      <c r="D86" s="58"/>
    </row>
    <row r="87" spans="1:4" s="198" customFormat="1" ht="12" customHeight="1" thickBot="1">
      <c r="A87" s="202" t="s">
        <v>330</v>
      </c>
      <c r="B87" s="52" t="s">
        <v>471</v>
      </c>
      <c r="C87" s="67"/>
      <c r="D87" s="67"/>
    </row>
    <row r="88" spans="1:4" s="198" customFormat="1" ht="12" customHeight="1" thickBot="1">
      <c r="A88" s="202" t="s">
        <v>499</v>
      </c>
      <c r="B88" s="52" t="s">
        <v>331</v>
      </c>
      <c r="C88" s="67"/>
      <c r="D88" s="67"/>
    </row>
    <row r="89" spans="1:4" s="198" customFormat="1" ht="12" customHeight="1" thickBot="1">
      <c r="A89" s="202" t="s">
        <v>500</v>
      </c>
      <c r="B89" s="68" t="s">
        <v>474</v>
      </c>
      <c r="C89" s="55">
        <f>+C66+C70+C75+C78+C82+C88+C87</f>
        <v>0</v>
      </c>
      <c r="D89" s="55">
        <f>+D66+D70+D75+D78+D82+D88+D87</f>
        <v>0</v>
      </c>
    </row>
    <row r="90" spans="1:4" s="198" customFormat="1" ht="12" customHeight="1" thickBot="1">
      <c r="A90" s="207" t="s">
        <v>501</v>
      </c>
      <c r="B90" s="70" t="s">
        <v>502</v>
      </c>
      <c r="C90" s="55">
        <f>+C65+C89</f>
        <v>0</v>
      </c>
      <c r="D90" s="55">
        <f>+D65+D89</f>
        <v>0</v>
      </c>
    </row>
    <row r="91" spans="1:4" s="200" customFormat="1" ht="15" customHeight="1" thickBot="1">
      <c r="A91" s="22"/>
      <c r="B91" s="23"/>
      <c r="C91" s="24"/>
      <c r="D91" s="24"/>
    </row>
    <row r="92" spans="1:4" s="108" customFormat="1" ht="26.25" thickBot="1">
      <c r="A92" s="25"/>
      <c r="B92" s="26" t="s">
        <v>52</v>
      </c>
      <c r="C92" s="507" t="s">
        <v>692</v>
      </c>
      <c r="D92" s="507" t="s">
        <v>717</v>
      </c>
    </row>
    <row r="93" spans="1:4" s="208" customFormat="1" ht="12" customHeight="1" thickBot="1">
      <c r="A93" s="36" t="s">
        <v>14</v>
      </c>
      <c r="B93" s="76" t="s">
        <v>630</v>
      </c>
      <c r="C93" s="77">
        <f>+C94+C95+C96+C97+C98+C111</f>
        <v>0</v>
      </c>
      <c r="D93" s="77">
        <f>+D94+D95+D96+D97+D98+D111</f>
        <v>0</v>
      </c>
    </row>
    <row r="94" spans="1:4" ht="12" customHeight="1">
      <c r="A94" s="209" t="s">
        <v>93</v>
      </c>
      <c r="B94" s="15" t="s">
        <v>44</v>
      </c>
      <c r="C94" s="79"/>
      <c r="D94" s="79"/>
    </row>
    <row r="95" spans="1:4" ht="12" customHeight="1">
      <c r="A95" s="199" t="s">
        <v>94</v>
      </c>
      <c r="B95" s="16" t="s">
        <v>172</v>
      </c>
      <c r="C95" s="48"/>
      <c r="D95" s="48"/>
    </row>
    <row r="96" spans="1:4" ht="12" customHeight="1">
      <c r="A96" s="199" t="s">
        <v>95</v>
      </c>
      <c r="B96" s="16" t="s">
        <v>131</v>
      </c>
      <c r="C96" s="53"/>
      <c r="D96" s="53"/>
    </row>
    <row r="97" spans="1:4" ht="12" customHeight="1">
      <c r="A97" s="199" t="s">
        <v>96</v>
      </c>
      <c r="B97" s="80" t="s">
        <v>173</v>
      </c>
      <c r="C97" s="53"/>
      <c r="D97" s="53"/>
    </row>
    <row r="98" spans="1:4" ht="12" customHeight="1">
      <c r="A98" s="199" t="s">
        <v>107</v>
      </c>
      <c r="B98" s="81" t="s">
        <v>174</v>
      </c>
      <c r="C98" s="53"/>
      <c r="D98" s="53"/>
    </row>
    <row r="99" spans="1:4" ht="12" customHeight="1">
      <c r="A99" s="199" t="s">
        <v>97</v>
      </c>
      <c r="B99" s="16" t="s">
        <v>503</v>
      </c>
      <c r="C99" s="53"/>
      <c r="D99" s="53"/>
    </row>
    <row r="100" spans="1:4" ht="12" customHeight="1">
      <c r="A100" s="199" t="s">
        <v>98</v>
      </c>
      <c r="B100" s="83" t="s">
        <v>437</v>
      </c>
      <c r="C100" s="53"/>
      <c r="D100" s="53"/>
    </row>
    <row r="101" spans="1:4" ht="12" customHeight="1">
      <c r="A101" s="199" t="s">
        <v>108</v>
      </c>
      <c r="B101" s="83" t="s">
        <v>436</v>
      </c>
      <c r="C101" s="53"/>
      <c r="D101" s="53"/>
    </row>
    <row r="102" spans="1:4" ht="12" customHeight="1">
      <c r="A102" s="199" t="s">
        <v>109</v>
      </c>
      <c r="B102" s="83" t="s">
        <v>347</v>
      </c>
      <c r="C102" s="53"/>
      <c r="D102" s="53"/>
    </row>
    <row r="103" spans="1:4" ht="12" customHeight="1">
      <c r="A103" s="199" t="s">
        <v>110</v>
      </c>
      <c r="B103" s="84" t="s">
        <v>348</v>
      </c>
      <c r="C103" s="53"/>
      <c r="D103" s="53"/>
    </row>
    <row r="104" spans="1:4" ht="12" customHeight="1">
      <c r="A104" s="199" t="s">
        <v>111</v>
      </c>
      <c r="B104" s="84" t="s">
        <v>349</v>
      </c>
      <c r="C104" s="53"/>
      <c r="D104" s="53"/>
    </row>
    <row r="105" spans="1:4" ht="12" customHeight="1">
      <c r="A105" s="199" t="s">
        <v>113</v>
      </c>
      <c r="B105" s="83" t="s">
        <v>350</v>
      </c>
      <c r="C105" s="53"/>
      <c r="D105" s="53"/>
    </row>
    <row r="106" spans="1:4" ht="12" customHeight="1">
      <c r="A106" s="199" t="s">
        <v>175</v>
      </c>
      <c r="B106" s="83" t="s">
        <v>351</v>
      </c>
      <c r="C106" s="53"/>
      <c r="D106" s="53"/>
    </row>
    <row r="107" spans="1:4" ht="12" customHeight="1">
      <c r="A107" s="199" t="s">
        <v>345</v>
      </c>
      <c r="B107" s="84" t="s">
        <v>352</v>
      </c>
      <c r="C107" s="53"/>
      <c r="D107" s="53"/>
    </row>
    <row r="108" spans="1:4" ht="12" customHeight="1">
      <c r="A108" s="210" t="s">
        <v>346</v>
      </c>
      <c r="B108" s="82" t="s">
        <v>353</v>
      </c>
      <c r="C108" s="53"/>
      <c r="D108" s="53"/>
    </row>
    <row r="109" spans="1:4" ht="12" customHeight="1">
      <c r="A109" s="199" t="s">
        <v>434</v>
      </c>
      <c r="B109" s="82" t="s">
        <v>354</v>
      </c>
      <c r="C109" s="53"/>
      <c r="D109" s="53"/>
    </row>
    <row r="110" spans="1:4" ht="12" customHeight="1">
      <c r="A110" s="199" t="s">
        <v>435</v>
      </c>
      <c r="B110" s="84" t="s">
        <v>355</v>
      </c>
      <c r="C110" s="48"/>
      <c r="D110" s="48"/>
    </row>
    <row r="111" spans="1:4" ht="12" customHeight="1">
      <c r="A111" s="199" t="s">
        <v>439</v>
      </c>
      <c r="B111" s="80" t="s">
        <v>45</v>
      </c>
      <c r="C111" s="48"/>
      <c r="D111" s="48"/>
    </row>
    <row r="112" spans="1:4" ht="12" customHeight="1">
      <c r="A112" s="201" t="s">
        <v>440</v>
      </c>
      <c r="B112" s="16" t="s">
        <v>504</v>
      </c>
      <c r="C112" s="53"/>
      <c r="D112" s="53"/>
    </row>
    <row r="113" spans="1:4" ht="12" customHeight="1" thickBot="1">
      <c r="A113" s="211" t="s">
        <v>441</v>
      </c>
      <c r="B113" s="212" t="s">
        <v>505</v>
      </c>
      <c r="C113" s="88"/>
      <c r="D113" s="88"/>
    </row>
    <row r="114" spans="1:4" ht="12" customHeight="1" thickBot="1">
      <c r="A114" s="73" t="s">
        <v>15</v>
      </c>
      <c r="B114" s="100" t="s">
        <v>626</v>
      </c>
      <c r="C114" s="41">
        <f>+C115+C117+C119</f>
        <v>0</v>
      </c>
      <c r="D114" s="41">
        <f>+D115+D117+D119</f>
        <v>0</v>
      </c>
    </row>
    <row r="115" spans="1:4" ht="12" customHeight="1">
      <c r="A115" s="197" t="s">
        <v>99</v>
      </c>
      <c r="B115" s="16" t="s">
        <v>217</v>
      </c>
      <c r="C115" s="45"/>
      <c r="D115" s="45"/>
    </row>
    <row r="116" spans="1:4" ht="12" customHeight="1">
      <c r="A116" s="197" t="s">
        <v>100</v>
      </c>
      <c r="B116" s="91" t="s">
        <v>359</v>
      </c>
      <c r="C116" s="45"/>
      <c r="D116" s="45"/>
    </row>
    <row r="117" spans="1:4" ht="12" customHeight="1">
      <c r="A117" s="197" t="s">
        <v>101</v>
      </c>
      <c r="B117" s="91" t="s">
        <v>176</v>
      </c>
      <c r="C117" s="48"/>
      <c r="D117" s="48"/>
    </row>
    <row r="118" spans="1:4" ht="12" customHeight="1">
      <c r="A118" s="197" t="s">
        <v>102</v>
      </c>
      <c r="B118" s="91" t="s">
        <v>360</v>
      </c>
      <c r="C118" s="92"/>
      <c r="D118" s="92"/>
    </row>
    <row r="119" spans="1:4" ht="12" customHeight="1">
      <c r="A119" s="197" t="s">
        <v>103</v>
      </c>
      <c r="B119" s="51" t="s">
        <v>219</v>
      </c>
      <c r="C119" s="92"/>
      <c r="D119" s="92"/>
    </row>
    <row r="120" spans="1:4" ht="12" customHeight="1">
      <c r="A120" s="197" t="s">
        <v>112</v>
      </c>
      <c r="B120" s="49" t="s">
        <v>422</v>
      </c>
      <c r="C120" s="92"/>
      <c r="D120" s="92"/>
    </row>
    <row r="121" spans="1:4" ht="12" customHeight="1">
      <c r="A121" s="197" t="s">
        <v>114</v>
      </c>
      <c r="B121" s="93" t="s">
        <v>365</v>
      </c>
      <c r="C121" s="92"/>
      <c r="D121" s="92"/>
    </row>
    <row r="122" spans="1:4" ht="12" customHeight="1">
      <c r="A122" s="197" t="s">
        <v>177</v>
      </c>
      <c r="B122" s="84" t="s">
        <v>349</v>
      </c>
      <c r="C122" s="92"/>
      <c r="D122" s="92"/>
    </row>
    <row r="123" spans="1:4" ht="12" customHeight="1">
      <c r="A123" s="197" t="s">
        <v>178</v>
      </c>
      <c r="B123" s="84" t="s">
        <v>364</v>
      </c>
      <c r="C123" s="92"/>
      <c r="D123" s="92"/>
    </row>
    <row r="124" spans="1:4" ht="12" customHeight="1">
      <c r="A124" s="197" t="s">
        <v>179</v>
      </c>
      <c r="B124" s="84" t="s">
        <v>363</v>
      </c>
      <c r="C124" s="92"/>
      <c r="D124" s="92"/>
    </row>
    <row r="125" spans="1:4" ht="12" customHeight="1">
      <c r="A125" s="197" t="s">
        <v>356</v>
      </c>
      <c r="B125" s="84" t="s">
        <v>352</v>
      </c>
      <c r="C125" s="92"/>
      <c r="D125" s="92"/>
    </row>
    <row r="126" spans="1:4" ht="12" customHeight="1">
      <c r="A126" s="197" t="s">
        <v>357</v>
      </c>
      <c r="B126" s="84" t="s">
        <v>362</v>
      </c>
      <c r="C126" s="92"/>
      <c r="D126" s="92"/>
    </row>
    <row r="127" spans="1:4" ht="12" customHeight="1" thickBot="1">
      <c r="A127" s="210" t="s">
        <v>358</v>
      </c>
      <c r="B127" s="84" t="s">
        <v>361</v>
      </c>
      <c r="C127" s="94"/>
      <c r="D127" s="94"/>
    </row>
    <row r="128" spans="1:4" ht="12" customHeight="1" thickBot="1">
      <c r="A128" s="73" t="s">
        <v>16</v>
      </c>
      <c r="B128" s="19" t="s">
        <v>444</v>
      </c>
      <c r="C128" s="41">
        <f>+C93+C114</f>
        <v>0</v>
      </c>
      <c r="D128" s="41">
        <f>+D93+D114</f>
        <v>0</v>
      </c>
    </row>
    <row r="129" spans="1:4" ht="12" customHeight="1" thickBot="1">
      <c r="A129" s="73" t="s">
        <v>17</v>
      </c>
      <c r="B129" s="19" t="s">
        <v>445</v>
      </c>
      <c r="C129" s="41">
        <f>+C130+C131+C132</f>
        <v>0</v>
      </c>
      <c r="D129" s="41">
        <f>+D130+D131+D132</f>
        <v>0</v>
      </c>
    </row>
    <row r="130" spans="1:4" s="208" customFormat="1" ht="12" customHeight="1">
      <c r="A130" s="197" t="s">
        <v>257</v>
      </c>
      <c r="B130" s="18" t="s">
        <v>508</v>
      </c>
      <c r="C130" s="92"/>
      <c r="D130" s="92"/>
    </row>
    <row r="131" spans="1:4" ht="12" customHeight="1">
      <c r="A131" s="197" t="s">
        <v>260</v>
      </c>
      <c r="B131" s="18" t="s">
        <v>453</v>
      </c>
      <c r="C131" s="92"/>
      <c r="D131" s="92"/>
    </row>
    <row r="132" spans="1:4" ht="12" customHeight="1" thickBot="1">
      <c r="A132" s="210" t="s">
        <v>261</v>
      </c>
      <c r="B132" s="17" t="s">
        <v>507</v>
      </c>
      <c r="C132" s="92"/>
      <c r="D132" s="92"/>
    </row>
    <row r="133" spans="1:4" ht="12" customHeight="1" thickBot="1">
      <c r="A133" s="73" t="s">
        <v>18</v>
      </c>
      <c r="B133" s="19" t="s">
        <v>446</v>
      </c>
      <c r="C133" s="41">
        <f>+C134+C135+C136+C137+C138+C139</f>
        <v>0</v>
      </c>
      <c r="D133" s="41">
        <f>+D134+D135+D136+D137+D138+D139</f>
        <v>0</v>
      </c>
    </row>
    <row r="134" spans="1:4" ht="12" customHeight="1">
      <c r="A134" s="197" t="s">
        <v>86</v>
      </c>
      <c r="B134" s="18" t="s">
        <v>455</v>
      </c>
      <c r="C134" s="92"/>
      <c r="D134" s="92"/>
    </row>
    <row r="135" spans="1:4" ht="12" customHeight="1">
      <c r="A135" s="197" t="s">
        <v>87</v>
      </c>
      <c r="B135" s="18" t="s">
        <v>447</v>
      </c>
      <c r="C135" s="92"/>
      <c r="D135" s="92"/>
    </row>
    <row r="136" spans="1:4" ht="12" customHeight="1">
      <c r="A136" s="197" t="s">
        <v>88</v>
      </c>
      <c r="B136" s="18" t="s">
        <v>448</v>
      </c>
      <c r="C136" s="92"/>
      <c r="D136" s="92"/>
    </row>
    <row r="137" spans="1:4" ht="12" customHeight="1">
      <c r="A137" s="197" t="s">
        <v>164</v>
      </c>
      <c r="B137" s="18" t="s">
        <v>506</v>
      </c>
      <c r="C137" s="92"/>
      <c r="D137" s="92"/>
    </row>
    <row r="138" spans="1:4" ht="12" customHeight="1">
      <c r="A138" s="197" t="s">
        <v>165</v>
      </c>
      <c r="B138" s="18" t="s">
        <v>450</v>
      </c>
      <c r="C138" s="92"/>
      <c r="D138" s="92"/>
    </row>
    <row r="139" spans="1:4" s="208" customFormat="1" ht="12" customHeight="1" thickBot="1">
      <c r="A139" s="210" t="s">
        <v>166</v>
      </c>
      <c r="B139" s="17" t="s">
        <v>451</v>
      </c>
      <c r="C139" s="92"/>
      <c r="D139" s="92"/>
    </row>
    <row r="140" spans="1:4" ht="12" customHeight="1" thickBot="1">
      <c r="A140" s="73" t="s">
        <v>19</v>
      </c>
      <c r="B140" s="19" t="s">
        <v>532</v>
      </c>
      <c r="C140" s="55">
        <f>+C141+C142+C144+C145+C143</f>
        <v>0</v>
      </c>
      <c r="D140" s="55">
        <f>+D141+D142+D144+D145+D143</f>
        <v>0</v>
      </c>
    </row>
    <row r="141" spans="1:4">
      <c r="A141" s="197" t="s">
        <v>89</v>
      </c>
      <c r="B141" s="18" t="s">
        <v>366</v>
      </c>
      <c r="C141" s="92"/>
      <c r="D141" s="92"/>
    </row>
    <row r="142" spans="1:4" ht="12" customHeight="1">
      <c r="A142" s="197" t="s">
        <v>90</v>
      </c>
      <c r="B142" s="18" t="s">
        <v>367</v>
      </c>
      <c r="C142" s="92"/>
      <c r="D142" s="92"/>
    </row>
    <row r="143" spans="1:4" s="208" customFormat="1" ht="12" customHeight="1">
      <c r="A143" s="197" t="s">
        <v>281</v>
      </c>
      <c r="B143" s="18" t="s">
        <v>531</v>
      </c>
      <c r="C143" s="92"/>
      <c r="D143" s="92"/>
    </row>
    <row r="144" spans="1:4" s="208" customFormat="1" ht="12" customHeight="1">
      <c r="A144" s="197" t="s">
        <v>282</v>
      </c>
      <c r="B144" s="18" t="s">
        <v>460</v>
      </c>
      <c r="C144" s="92"/>
      <c r="D144" s="92"/>
    </row>
    <row r="145" spans="1:4" s="208" customFormat="1" ht="12" customHeight="1" thickBot="1">
      <c r="A145" s="210" t="s">
        <v>283</v>
      </c>
      <c r="B145" s="17" t="s">
        <v>386</v>
      </c>
      <c r="C145" s="92"/>
      <c r="D145" s="92"/>
    </row>
    <row r="146" spans="1:4" s="208" customFormat="1" ht="12" customHeight="1" thickBot="1">
      <c r="A146" s="73" t="s">
        <v>20</v>
      </c>
      <c r="B146" s="19" t="s">
        <v>461</v>
      </c>
      <c r="C146" s="95">
        <f>+C147+C148+C149+C150+C151</f>
        <v>0</v>
      </c>
      <c r="D146" s="95">
        <f>+D147+D148+D149+D150+D151</f>
        <v>0</v>
      </c>
    </row>
    <row r="147" spans="1:4" s="208" customFormat="1" ht="12" customHeight="1">
      <c r="A147" s="197" t="s">
        <v>91</v>
      </c>
      <c r="B147" s="18" t="s">
        <v>456</v>
      </c>
      <c r="C147" s="92"/>
      <c r="D147" s="92"/>
    </row>
    <row r="148" spans="1:4" s="208" customFormat="1" ht="12" customHeight="1">
      <c r="A148" s="197" t="s">
        <v>92</v>
      </c>
      <c r="B148" s="18" t="s">
        <v>463</v>
      </c>
      <c r="C148" s="92"/>
      <c r="D148" s="92"/>
    </row>
    <row r="149" spans="1:4" s="208" customFormat="1" ht="12" customHeight="1">
      <c r="A149" s="197" t="s">
        <v>293</v>
      </c>
      <c r="B149" s="18" t="s">
        <v>458</v>
      </c>
      <c r="C149" s="92"/>
      <c r="D149" s="92"/>
    </row>
    <row r="150" spans="1:4" ht="12.75" customHeight="1">
      <c r="A150" s="197" t="s">
        <v>294</v>
      </c>
      <c r="B150" s="18" t="s">
        <v>509</v>
      </c>
      <c r="C150" s="92"/>
      <c r="D150" s="92"/>
    </row>
    <row r="151" spans="1:4" ht="12.75" customHeight="1" thickBot="1">
      <c r="A151" s="210" t="s">
        <v>462</v>
      </c>
      <c r="B151" s="17" t="s">
        <v>465</v>
      </c>
      <c r="C151" s="94"/>
      <c r="D151" s="94"/>
    </row>
    <row r="152" spans="1:4" ht="12.75" customHeight="1" thickBot="1">
      <c r="A152" s="213" t="s">
        <v>21</v>
      </c>
      <c r="B152" s="19" t="s">
        <v>466</v>
      </c>
      <c r="C152" s="95"/>
      <c r="D152" s="95"/>
    </row>
    <row r="153" spans="1:4" ht="12" customHeight="1" thickBot="1">
      <c r="A153" s="213" t="s">
        <v>22</v>
      </c>
      <c r="B153" s="19" t="s">
        <v>467</v>
      </c>
      <c r="C153" s="95"/>
      <c r="D153" s="95"/>
    </row>
    <row r="154" spans="1:4" ht="15" customHeight="1" thickBot="1">
      <c r="A154" s="73" t="s">
        <v>23</v>
      </c>
      <c r="B154" s="19" t="s">
        <v>469</v>
      </c>
      <c r="C154" s="96">
        <f>+C129+C133+C140+C146+C152+C153</f>
        <v>0</v>
      </c>
      <c r="D154" s="96">
        <f>+D129+D133+D140+D146+D152+D153</f>
        <v>0</v>
      </c>
    </row>
    <row r="155" spans="1:4" ht="13.5" thickBot="1">
      <c r="A155" s="214" t="s">
        <v>24</v>
      </c>
      <c r="B155" s="99" t="s">
        <v>468</v>
      </c>
      <c r="C155" s="96">
        <f>+C128+C154</f>
        <v>0</v>
      </c>
      <c r="D155" s="96">
        <f>+D128+D154</f>
        <v>0</v>
      </c>
    </row>
    <row r="156" spans="1:4" ht="15" customHeight="1" thickBot="1"/>
    <row r="157" spans="1:4" ht="14.25" customHeight="1" thickBot="1">
      <c r="A157" s="30" t="s">
        <v>510</v>
      </c>
      <c r="B157" s="31"/>
      <c r="C157" s="32"/>
      <c r="D157" s="32"/>
    </row>
    <row r="158" spans="1:4" ht="13.5" thickBot="1">
      <c r="A158" s="30" t="s">
        <v>194</v>
      </c>
      <c r="B158" s="31"/>
      <c r="C158" s="32"/>
      <c r="D158" s="32"/>
    </row>
  </sheetData>
  <sheetProtection formatCells="0"/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4" orientation="portrait" verticalDpi="300" r:id="rId1"/>
  <headerFooter alignWithMargins="0">
    <oddFooter>&amp;P. oldal, összesen: &amp;N</oddFooter>
  </headerFooter>
  <rowBreaks count="3" manualBreakCount="3">
    <brk id="65" max="16383" man="1"/>
    <brk id="90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728</v>
      </c>
      <c r="C1" s="421"/>
      <c r="D1" s="421"/>
    </row>
    <row r="2" spans="1:4" s="104" customFormat="1" ht="33" customHeight="1">
      <c r="A2" s="2" t="s">
        <v>192</v>
      </c>
      <c r="B2" s="3" t="s">
        <v>537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394</v>
      </c>
      <c r="C3" s="534" t="s">
        <v>54</v>
      </c>
      <c r="D3" s="534" t="s">
        <v>54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44.45" customHeight="1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501010</v>
      </c>
      <c r="D8" s="536">
        <f>SUM(D9:D19)</f>
        <v>501010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>
        <v>500000</v>
      </c>
      <c r="D11" s="538">
        <v>500000</v>
      </c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>
        <v>10</v>
      </c>
      <c r="D16" s="539">
        <v>10</v>
      </c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>
        <v>1000</v>
      </c>
      <c r="D19" s="540">
        <v>1000</v>
      </c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>
        <v>1050000</v>
      </c>
      <c r="D25" s="541">
        <v>1050000</v>
      </c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1551010</v>
      </c>
      <c r="D37" s="544">
        <f>+D8+D20+D25+D26+D31+D35+D36</f>
        <v>1551010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121437129</v>
      </c>
      <c r="D38" s="544">
        <f>+D39+D40+D41</f>
        <v>121437129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>
        <v>121437129</v>
      </c>
      <c r="D41" s="21">
        <f>121437129</f>
        <v>121437129</v>
      </c>
    </row>
    <row r="42" spans="1:4" s="200" customFormat="1" ht="15" customHeight="1" thickBot="1">
      <c r="A42" s="430" t="s">
        <v>23</v>
      </c>
      <c r="B42" s="431" t="s">
        <v>410</v>
      </c>
      <c r="C42" s="545">
        <f>C37+C38</f>
        <v>122988139</v>
      </c>
      <c r="D42" s="545">
        <f>D37+D38</f>
        <v>122988139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122162639</v>
      </c>
      <c r="D46" s="536">
        <f>SUM(D47:D51)</f>
        <v>122162639</v>
      </c>
    </row>
    <row r="47" spans="1:4" ht="12" customHeight="1">
      <c r="A47" s="425" t="s">
        <v>93</v>
      </c>
      <c r="B47" s="18" t="s">
        <v>44</v>
      </c>
      <c r="C47" s="20">
        <v>78369300</v>
      </c>
      <c r="D47" s="20">
        <v>78369300</v>
      </c>
    </row>
    <row r="48" spans="1:4" ht="12" customHeight="1">
      <c r="A48" s="425" t="s">
        <v>94</v>
      </c>
      <c r="B48" s="16" t="s">
        <v>172</v>
      </c>
      <c r="C48" s="27">
        <v>15968871</v>
      </c>
      <c r="D48" s="27">
        <v>15968871</v>
      </c>
    </row>
    <row r="49" spans="1:4" ht="12" customHeight="1">
      <c r="A49" s="425" t="s">
        <v>95</v>
      </c>
      <c r="B49" s="16" t="s">
        <v>131</v>
      </c>
      <c r="C49" s="27">
        <v>27824468</v>
      </c>
      <c r="D49" s="27">
        <v>27824468</v>
      </c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825500</v>
      </c>
      <c r="D52" s="536">
        <f>SUM(D53:D55)</f>
        <v>825500</v>
      </c>
    </row>
    <row r="53" spans="1:4" s="208" customFormat="1" ht="12" customHeight="1">
      <c r="A53" s="425" t="s">
        <v>99</v>
      </c>
      <c r="B53" s="18" t="s">
        <v>217</v>
      </c>
      <c r="C53" s="20">
        <v>825500</v>
      </c>
      <c r="D53" s="20">
        <v>825500</v>
      </c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5" customHeight="1" thickBot="1">
      <c r="A57" s="367" t="s">
        <v>16</v>
      </c>
      <c r="B57" s="19" t="s">
        <v>10</v>
      </c>
      <c r="C57" s="541"/>
      <c r="D57" s="541"/>
    </row>
    <row r="58" spans="1:4" ht="13.5" thickBot="1">
      <c r="A58" s="367" t="s">
        <v>17</v>
      </c>
      <c r="B58" s="434" t="s">
        <v>520</v>
      </c>
      <c r="C58" s="547">
        <f>+C46+C52+C57</f>
        <v>122988139</v>
      </c>
      <c r="D58" s="547">
        <f>+D46+D52+D57</f>
        <v>122988139</v>
      </c>
    </row>
    <row r="59" spans="1:4" ht="15" customHeight="1" thickBot="1">
      <c r="C59" s="29"/>
      <c r="D59" s="29"/>
    </row>
    <row r="60" spans="1:4" ht="14.25" customHeight="1" thickBot="1">
      <c r="A60" s="30" t="s">
        <v>510</v>
      </c>
      <c r="B60" s="31"/>
      <c r="C60" s="32">
        <v>19</v>
      </c>
      <c r="D60" s="32">
        <v>19</v>
      </c>
    </row>
    <row r="61" spans="1:4" ht="13.5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729</v>
      </c>
      <c r="C1" s="421"/>
      <c r="D1" s="421"/>
    </row>
    <row r="2" spans="1:4" s="104" customFormat="1" ht="34.5" customHeight="1">
      <c r="A2" s="2" t="s">
        <v>192</v>
      </c>
      <c r="B2" s="3" t="s">
        <v>551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394</v>
      </c>
      <c r="C3" s="534" t="s">
        <v>49</v>
      </c>
      <c r="D3" s="534" t="s">
        <v>49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501010</v>
      </c>
      <c r="D8" s="536">
        <f>SUM(D9:D19)</f>
        <v>501010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>
        <v>500000</v>
      </c>
      <c r="D11" s="538">
        <v>500000</v>
      </c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>
        <v>10</v>
      </c>
      <c r="D16" s="539">
        <v>10</v>
      </c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>
        <v>1000</v>
      </c>
      <c r="D19" s="540">
        <v>1000</v>
      </c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>
        <v>625000</v>
      </c>
      <c r="D25" s="541">
        <v>625000</v>
      </c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1126010</v>
      </c>
      <c r="D37" s="544">
        <f>+D8+D20+D25+D26+D31+D35+D36</f>
        <v>1126010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73006425</v>
      </c>
      <c r="D38" s="544">
        <f>+D39+D40+D41</f>
        <v>73006425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>
        <v>73006425</v>
      </c>
      <c r="D41" s="21">
        <f>73006425</f>
        <v>73006425</v>
      </c>
    </row>
    <row r="42" spans="1:4" s="200" customFormat="1" ht="15" customHeight="1" thickBot="1">
      <c r="A42" s="430" t="s">
        <v>23</v>
      </c>
      <c r="B42" s="431" t="s">
        <v>410</v>
      </c>
      <c r="C42" s="545">
        <f>C37+C38</f>
        <v>74132435</v>
      </c>
      <c r="D42" s="545">
        <f>D37+D38</f>
        <v>74132435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73433935</v>
      </c>
      <c r="D46" s="536">
        <f>SUM(D47:D51)</f>
        <v>73433935</v>
      </c>
    </row>
    <row r="47" spans="1:4" ht="12" customHeight="1">
      <c r="A47" s="425" t="s">
        <v>93</v>
      </c>
      <c r="B47" s="18" t="s">
        <v>44</v>
      </c>
      <c r="C47" s="20">
        <v>42298401</v>
      </c>
      <c r="D47" s="20">
        <v>42298401</v>
      </c>
    </row>
    <row r="48" spans="1:4" ht="12" customHeight="1">
      <c r="A48" s="425" t="s">
        <v>94</v>
      </c>
      <c r="B48" s="16" t="s">
        <v>172</v>
      </c>
      <c r="C48" s="27">
        <v>8712834</v>
      </c>
      <c r="D48" s="27">
        <v>8712834</v>
      </c>
    </row>
    <row r="49" spans="1:4" ht="12" customHeight="1">
      <c r="A49" s="425" t="s">
        <v>95</v>
      </c>
      <c r="B49" s="16" t="s">
        <v>131</v>
      </c>
      <c r="C49" s="27">
        <v>22422700</v>
      </c>
      <c r="D49" s="27">
        <v>22422700</v>
      </c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698500</v>
      </c>
      <c r="D52" s="536">
        <f>SUM(D53:D55)</f>
        <v>698500</v>
      </c>
    </row>
    <row r="53" spans="1:4" s="208" customFormat="1" ht="12" customHeight="1">
      <c r="A53" s="425" t="s">
        <v>99</v>
      </c>
      <c r="B53" s="18" t="s">
        <v>217</v>
      </c>
      <c r="C53" s="20">
        <v>698500</v>
      </c>
      <c r="D53" s="20">
        <v>698500</v>
      </c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2" customHeight="1" thickBot="1">
      <c r="A57" s="367" t="s">
        <v>16</v>
      </c>
      <c r="B57" s="19" t="s">
        <v>10</v>
      </c>
      <c r="C57" s="541"/>
      <c r="D57" s="541"/>
    </row>
    <row r="58" spans="1:4" ht="15" customHeight="1" thickBot="1">
      <c r="A58" s="367" t="s">
        <v>17</v>
      </c>
      <c r="B58" s="434" t="s">
        <v>520</v>
      </c>
      <c r="C58" s="547">
        <f>+C46+C52+C57</f>
        <v>74132435</v>
      </c>
      <c r="D58" s="547">
        <f>+D46+D52+D57</f>
        <v>74132435</v>
      </c>
    </row>
    <row r="59" spans="1:4" ht="13.5" thickBot="1">
      <c r="C59" s="29"/>
      <c r="D59" s="29"/>
    </row>
    <row r="60" spans="1:4" ht="15" customHeight="1" thickBot="1">
      <c r="A60" s="30" t="s">
        <v>510</v>
      </c>
      <c r="B60" s="31"/>
      <c r="C60" s="32">
        <v>11</v>
      </c>
      <c r="D60" s="32">
        <v>11</v>
      </c>
    </row>
    <row r="61" spans="1:4" ht="14.25" customHeight="1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730</v>
      </c>
      <c r="C1" s="421"/>
      <c r="D1" s="421"/>
    </row>
    <row r="2" spans="1:4" s="104" customFormat="1" ht="34.5" customHeight="1">
      <c r="A2" s="2" t="s">
        <v>192</v>
      </c>
      <c r="B2" s="3" t="s">
        <v>552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394</v>
      </c>
      <c r="C3" s="534" t="s">
        <v>49</v>
      </c>
      <c r="D3" s="534" t="s">
        <v>49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0</v>
      </c>
      <c r="D8" s="536">
        <f>SUM(D9:D19)</f>
        <v>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/>
      <c r="D11" s="538"/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/>
      <c r="D16" s="539"/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/>
      <c r="D19" s="540"/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>
        <v>425000</v>
      </c>
      <c r="D25" s="541">
        <v>425000</v>
      </c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425000</v>
      </c>
      <c r="D37" s="544">
        <f>+D8+D20+D25+D26+D31+D35+D36</f>
        <v>425000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48430704</v>
      </c>
      <c r="D38" s="544">
        <f>+D39+D40+D41</f>
        <v>48430704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>
        <v>48430704</v>
      </c>
      <c r="D41" s="21">
        <v>48430704</v>
      </c>
    </row>
    <row r="42" spans="1:4" s="200" customFormat="1" ht="15" customHeight="1" thickBot="1">
      <c r="A42" s="430" t="s">
        <v>23</v>
      </c>
      <c r="B42" s="431" t="s">
        <v>410</v>
      </c>
      <c r="C42" s="545">
        <f>+C37+C38</f>
        <v>48855704</v>
      </c>
      <c r="D42" s="545">
        <f>+D37+D38</f>
        <v>48855704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48728704</v>
      </c>
      <c r="D46" s="536">
        <f>SUM(D47:D51)</f>
        <v>48728704</v>
      </c>
    </row>
    <row r="47" spans="1:4" ht="12" customHeight="1">
      <c r="A47" s="425" t="s">
        <v>93</v>
      </c>
      <c r="B47" s="18" t="s">
        <v>44</v>
      </c>
      <c r="C47" s="20">
        <v>36070899</v>
      </c>
      <c r="D47" s="20">
        <v>36070899</v>
      </c>
    </row>
    <row r="48" spans="1:4" ht="12" customHeight="1">
      <c r="A48" s="425" t="s">
        <v>94</v>
      </c>
      <c r="B48" s="16" t="s">
        <v>172</v>
      </c>
      <c r="C48" s="27">
        <v>7256037</v>
      </c>
      <c r="D48" s="27">
        <v>7256037</v>
      </c>
    </row>
    <row r="49" spans="1:4" ht="12" customHeight="1">
      <c r="A49" s="425" t="s">
        <v>95</v>
      </c>
      <c r="B49" s="16" t="s">
        <v>131</v>
      </c>
      <c r="C49" s="27">
        <v>5401768</v>
      </c>
      <c r="D49" s="27">
        <v>5401768</v>
      </c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127000</v>
      </c>
      <c r="D52" s="536">
        <f>SUM(D53:D55)</f>
        <v>127000</v>
      </c>
    </row>
    <row r="53" spans="1:4" s="208" customFormat="1" ht="12" customHeight="1">
      <c r="A53" s="425" t="s">
        <v>99</v>
      </c>
      <c r="B53" s="18" t="s">
        <v>217</v>
      </c>
      <c r="C53" s="20">
        <v>127000</v>
      </c>
      <c r="D53" s="20">
        <v>127000</v>
      </c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2" customHeight="1" thickBot="1">
      <c r="A57" s="367" t="s">
        <v>16</v>
      </c>
      <c r="B57" s="19" t="s">
        <v>10</v>
      </c>
      <c r="C57" s="541"/>
      <c r="D57" s="541"/>
    </row>
    <row r="58" spans="1:4" ht="15" customHeight="1" thickBot="1">
      <c r="A58" s="367" t="s">
        <v>17</v>
      </c>
      <c r="B58" s="434" t="s">
        <v>520</v>
      </c>
      <c r="C58" s="547">
        <f>+C46+C52+C57</f>
        <v>48855704</v>
      </c>
      <c r="D58" s="547">
        <f>+D46+D52+D57</f>
        <v>48855704</v>
      </c>
    </row>
    <row r="59" spans="1:4" ht="13.5" thickBot="1">
      <c r="C59" s="29"/>
      <c r="D59" s="29"/>
    </row>
    <row r="60" spans="1:4" ht="15" customHeight="1" thickBot="1">
      <c r="A60" s="30" t="s">
        <v>510</v>
      </c>
      <c r="B60" s="31"/>
      <c r="C60" s="32">
        <v>8</v>
      </c>
      <c r="D60" s="32">
        <v>8</v>
      </c>
    </row>
    <row r="61" spans="1:4" ht="14.25" customHeight="1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D163"/>
  <sheetViews>
    <sheetView zoomScaleNormal="100" zoomScaleSheetLayoutView="100" workbookViewId="0">
      <selection activeCell="B1" sqref="B1"/>
    </sheetView>
  </sheetViews>
  <sheetFormatPr defaultRowHeight="15.75"/>
  <cols>
    <col min="1" max="1" width="7.1640625" style="33" bestFit="1" customWidth="1"/>
    <col min="2" max="2" width="76.5" style="33" bestFit="1" customWidth="1"/>
    <col min="3" max="4" width="21.33203125" style="454" customWidth="1"/>
    <col min="5" max="16384" width="9.33203125" style="33"/>
  </cols>
  <sheetData>
    <row r="1" spans="1:4" s="402" customFormat="1">
      <c r="B1" s="402" t="s">
        <v>720</v>
      </c>
      <c r="C1" s="676"/>
      <c r="D1" s="676"/>
    </row>
    <row r="5" spans="1:4">
      <c r="B5" s="376" t="s">
        <v>645</v>
      </c>
    </row>
    <row r="6" spans="1:4">
      <c r="B6" s="376" t="s">
        <v>674</v>
      </c>
    </row>
    <row r="7" spans="1:4">
      <c r="B7" s="379" t="s">
        <v>646</v>
      </c>
    </row>
    <row r="10" spans="1:4">
      <c r="A10" s="705" t="s">
        <v>11</v>
      </c>
      <c r="B10" s="705"/>
      <c r="C10" s="33"/>
      <c r="D10" s="33"/>
    </row>
    <row r="11" spans="1:4" ht="16.5" thickBot="1">
      <c r="A11" s="706" t="s">
        <v>142</v>
      </c>
      <c r="B11" s="706"/>
      <c r="C11" s="506" t="s">
        <v>581</v>
      </c>
      <c r="D11" s="506" t="s">
        <v>581</v>
      </c>
    </row>
    <row r="12" spans="1:4" ht="24.75" thickBot="1">
      <c r="A12" s="34" t="s">
        <v>64</v>
      </c>
      <c r="B12" s="35" t="s">
        <v>13</v>
      </c>
      <c r="C12" s="625" t="s">
        <v>692</v>
      </c>
      <c r="D12" s="625" t="s">
        <v>717</v>
      </c>
    </row>
    <row r="13" spans="1:4" s="38" customFormat="1" ht="12" thickBot="1">
      <c r="A13" s="36" t="s">
        <v>483</v>
      </c>
      <c r="B13" s="37" t="s">
        <v>484</v>
      </c>
      <c r="C13" s="578" t="s">
        <v>485</v>
      </c>
      <c r="D13" s="578" t="s">
        <v>485</v>
      </c>
    </row>
    <row r="14" spans="1:4" s="42" customFormat="1" ht="13.5" thickBot="1">
      <c r="A14" s="39" t="s">
        <v>14</v>
      </c>
      <c r="B14" s="40" t="s">
        <v>241</v>
      </c>
      <c r="C14" s="41">
        <f>+C15+C16+C17+C18+C19+C20</f>
        <v>223966276</v>
      </c>
      <c r="D14" s="41">
        <f>+D15+D16+D17+D18+D19+D20</f>
        <v>233099072</v>
      </c>
    </row>
    <row r="15" spans="1:4" s="42" customFormat="1" ht="12.75">
      <c r="A15" s="43" t="s">
        <v>93</v>
      </c>
      <c r="B15" s="44" t="s">
        <v>242</v>
      </c>
      <c r="C15" s="45">
        <v>118506104</v>
      </c>
      <c r="D15" s="45">
        <f>118774024</f>
        <v>118774024</v>
      </c>
    </row>
    <row r="16" spans="1:4" s="42" customFormat="1" ht="12.75">
      <c r="A16" s="46" t="s">
        <v>94</v>
      </c>
      <c r="B16" s="47" t="s">
        <v>243</v>
      </c>
      <c r="C16" s="48">
        <v>64532484</v>
      </c>
      <c r="D16" s="48">
        <f>64532484</f>
        <v>64532484</v>
      </c>
    </row>
    <row r="17" spans="1:4" s="42" customFormat="1" ht="12.75">
      <c r="A17" s="46" t="s">
        <v>95</v>
      </c>
      <c r="B17" s="47" t="s">
        <v>244</v>
      </c>
      <c r="C17" s="48">
        <v>37842188</v>
      </c>
      <c r="D17" s="48">
        <f>37842188</f>
        <v>37842188</v>
      </c>
    </row>
    <row r="18" spans="1:4" s="42" customFormat="1" ht="12.75">
      <c r="A18" s="46" t="s">
        <v>96</v>
      </c>
      <c r="B18" s="47" t="s">
        <v>245</v>
      </c>
      <c r="C18" s="48">
        <v>3085500</v>
      </c>
      <c r="D18" s="48">
        <f>3430376</f>
        <v>3430376</v>
      </c>
    </row>
    <row r="19" spans="1:4" s="42" customFormat="1" ht="12.75">
      <c r="A19" s="46" t="s">
        <v>139</v>
      </c>
      <c r="B19" s="49" t="s">
        <v>426</v>
      </c>
      <c r="C19" s="48"/>
      <c r="D19" s="48">
        <f>8520000</f>
        <v>8520000</v>
      </c>
    </row>
    <row r="20" spans="1:4" s="42" customFormat="1" ht="13.5" thickBot="1">
      <c r="A20" s="50" t="s">
        <v>97</v>
      </c>
      <c r="B20" s="51" t="s">
        <v>427</v>
      </c>
      <c r="C20" s="48"/>
      <c r="D20" s="48"/>
    </row>
    <row r="21" spans="1:4" s="42" customFormat="1" ht="13.5" thickBot="1">
      <c r="A21" s="39" t="s">
        <v>15</v>
      </c>
      <c r="B21" s="52" t="s">
        <v>246</v>
      </c>
      <c r="C21" s="41">
        <f>+C22+C23+C24+C25+C26</f>
        <v>75745329</v>
      </c>
      <c r="D21" s="41">
        <f>+D22+D23+D24+D25+D26</f>
        <v>80592522</v>
      </c>
    </row>
    <row r="22" spans="1:4" s="42" customFormat="1" ht="12.75">
      <c r="A22" s="43" t="s">
        <v>99</v>
      </c>
      <c r="B22" s="44" t="s">
        <v>247</v>
      </c>
      <c r="C22" s="45"/>
      <c r="D22" s="45"/>
    </row>
    <row r="23" spans="1:4" s="42" customFormat="1" ht="12.75">
      <c r="A23" s="46" t="s">
        <v>100</v>
      </c>
      <c r="B23" s="47" t="s">
        <v>248</v>
      </c>
      <c r="C23" s="48"/>
      <c r="D23" s="48"/>
    </row>
    <row r="24" spans="1:4" s="42" customFormat="1" ht="12.75">
      <c r="A24" s="46" t="s">
        <v>101</v>
      </c>
      <c r="B24" s="47" t="s">
        <v>416</v>
      </c>
      <c r="C24" s="48"/>
      <c r="D24" s="48"/>
    </row>
    <row r="25" spans="1:4" s="42" customFormat="1" ht="12.75">
      <c r="A25" s="46" t="s">
        <v>102</v>
      </c>
      <c r="B25" s="47" t="s">
        <v>417</v>
      </c>
      <c r="C25" s="48"/>
      <c r="D25" s="48"/>
    </row>
    <row r="26" spans="1:4" s="42" customFormat="1" ht="12.75">
      <c r="A26" s="46" t="s">
        <v>103</v>
      </c>
      <c r="B26" s="47" t="s">
        <v>249</v>
      </c>
      <c r="C26" s="48">
        <f>75066371+678958</f>
        <v>75745329</v>
      </c>
      <c r="D26" s="48">
        <f>79913564+678958</f>
        <v>80592522</v>
      </c>
    </row>
    <row r="27" spans="1:4" s="42" customFormat="1" ht="13.5" thickBot="1">
      <c r="A27" s="50" t="s">
        <v>112</v>
      </c>
      <c r="B27" s="51" t="s">
        <v>250</v>
      </c>
      <c r="C27" s="53"/>
      <c r="D27" s="53"/>
    </row>
    <row r="28" spans="1:4" s="42" customFormat="1" ht="13.5" thickBot="1">
      <c r="A28" s="39" t="s">
        <v>16</v>
      </c>
      <c r="B28" s="40" t="s">
        <v>251</v>
      </c>
      <c r="C28" s="41">
        <f>+C29+C30+C31+C32+C33</f>
        <v>39844721</v>
      </c>
      <c r="D28" s="41">
        <f>+D29+D30+D31+D32+D33</f>
        <v>32531109</v>
      </c>
    </row>
    <row r="29" spans="1:4" s="42" customFormat="1" ht="12.75">
      <c r="A29" s="43" t="s">
        <v>82</v>
      </c>
      <c r="B29" s="44" t="s">
        <v>252</v>
      </c>
      <c r="C29" s="45"/>
      <c r="D29" s="45"/>
    </row>
    <row r="30" spans="1:4" s="42" customFormat="1" ht="12.75">
      <c r="A30" s="46" t="s">
        <v>83</v>
      </c>
      <c r="B30" s="47" t="s">
        <v>253</v>
      </c>
      <c r="C30" s="48"/>
      <c r="D30" s="48"/>
    </row>
    <row r="31" spans="1:4" s="42" customFormat="1" ht="12.75">
      <c r="A31" s="46" t="s">
        <v>84</v>
      </c>
      <c r="B31" s="47" t="s">
        <v>418</v>
      </c>
      <c r="C31" s="48"/>
      <c r="D31" s="48"/>
    </row>
    <row r="32" spans="1:4" s="42" customFormat="1" ht="12.75">
      <c r="A32" s="46" t="s">
        <v>85</v>
      </c>
      <c r="B32" s="47" t="s">
        <v>419</v>
      </c>
      <c r="C32" s="48"/>
      <c r="D32" s="48"/>
    </row>
    <row r="33" spans="1:4" s="42" customFormat="1" ht="12.75">
      <c r="A33" s="46" t="s">
        <v>160</v>
      </c>
      <c r="B33" s="47" t="s">
        <v>254</v>
      </c>
      <c r="C33" s="48">
        <v>39844721</v>
      </c>
      <c r="D33" s="48">
        <f>32531109</f>
        <v>32531109</v>
      </c>
    </row>
    <row r="34" spans="1:4" s="42" customFormat="1" ht="13.5" thickBot="1">
      <c r="A34" s="50" t="s">
        <v>161</v>
      </c>
      <c r="B34" s="54" t="s">
        <v>255</v>
      </c>
      <c r="C34" s="53"/>
      <c r="D34" s="53"/>
    </row>
    <row r="35" spans="1:4" s="42" customFormat="1" ht="13.5" thickBot="1">
      <c r="A35" s="39" t="s">
        <v>162</v>
      </c>
      <c r="B35" s="40" t="s">
        <v>256</v>
      </c>
      <c r="C35" s="55">
        <f>+C36+C40+C41+C42</f>
        <v>137750000</v>
      </c>
      <c r="D35" s="55">
        <f>+D36+D40+D41+D42</f>
        <v>137750000</v>
      </c>
    </row>
    <row r="36" spans="1:4" s="42" customFormat="1" ht="12.75">
      <c r="A36" s="43" t="s">
        <v>257</v>
      </c>
      <c r="B36" s="110" t="s">
        <v>433</v>
      </c>
      <c r="C36" s="56">
        <f>+C37+C38+C39</f>
        <v>100000000</v>
      </c>
      <c r="D36" s="56">
        <f>+D37+D38+D39</f>
        <v>100000000</v>
      </c>
    </row>
    <row r="37" spans="1:4" s="42" customFormat="1" ht="12.75">
      <c r="A37" s="46" t="s">
        <v>258</v>
      </c>
      <c r="B37" s="111" t="s">
        <v>593</v>
      </c>
      <c r="C37" s="48">
        <v>58000000</v>
      </c>
      <c r="D37" s="48">
        <v>58000000</v>
      </c>
    </row>
    <row r="38" spans="1:4" s="42" customFormat="1" ht="12.75">
      <c r="A38" s="46" t="s">
        <v>259</v>
      </c>
      <c r="B38" s="111" t="s">
        <v>594</v>
      </c>
      <c r="C38" s="48"/>
      <c r="D38" s="48"/>
    </row>
    <row r="39" spans="1:4" s="42" customFormat="1" ht="12.75">
      <c r="A39" s="46" t="s">
        <v>431</v>
      </c>
      <c r="B39" s="112" t="s">
        <v>432</v>
      </c>
      <c r="C39" s="48">
        <v>42000000</v>
      </c>
      <c r="D39" s="48">
        <v>42000000</v>
      </c>
    </row>
    <row r="40" spans="1:4" s="42" customFormat="1" ht="12.75">
      <c r="A40" s="46" t="s">
        <v>260</v>
      </c>
      <c r="B40" s="111" t="s">
        <v>265</v>
      </c>
      <c r="C40" s="48">
        <v>9000000</v>
      </c>
      <c r="D40" s="48">
        <v>9000000</v>
      </c>
    </row>
    <row r="41" spans="1:4" s="42" customFormat="1" ht="12.75">
      <c r="A41" s="46" t="s">
        <v>261</v>
      </c>
      <c r="B41" s="111" t="s">
        <v>575</v>
      </c>
      <c r="C41" s="48">
        <v>27500000</v>
      </c>
      <c r="D41" s="48">
        <v>27500000</v>
      </c>
    </row>
    <row r="42" spans="1:4" s="42" customFormat="1" ht="13.5" thickBot="1">
      <c r="A42" s="50" t="s">
        <v>262</v>
      </c>
      <c r="B42" s="113" t="s">
        <v>267</v>
      </c>
      <c r="C42" s="53">
        <f>200000+1050000</f>
        <v>1250000</v>
      </c>
      <c r="D42" s="53">
        <f>200000+1050000</f>
        <v>1250000</v>
      </c>
    </row>
    <row r="43" spans="1:4" s="42" customFormat="1" ht="13.5" thickBot="1">
      <c r="A43" s="39" t="s">
        <v>18</v>
      </c>
      <c r="B43" s="40" t="s">
        <v>428</v>
      </c>
      <c r="C43" s="41">
        <f>SUM(C44:C54)</f>
        <v>15235803</v>
      </c>
      <c r="D43" s="41">
        <f>SUM(D44:D54)</f>
        <v>17675699</v>
      </c>
    </row>
    <row r="44" spans="1:4" s="42" customFormat="1" ht="12.75">
      <c r="A44" s="43" t="s">
        <v>86</v>
      </c>
      <c r="B44" s="44" t="s">
        <v>270</v>
      </c>
      <c r="C44" s="45"/>
      <c r="D44" s="45"/>
    </row>
    <row r="45" spans="1:4" s="42" customFormat="1" ht="12.75">
      <c r="A45" s="46" t="s">
        <v>87</v>
      </c>
      <c r="B45" s="47" t="s">
        <v>271</v>
      </c>
      <c r="C45" s="48">
        <f>4214790+3149606+2120000</f>
        <v>9484396</v>
      </c>
      <c r="D45" s="48">
        <f>9285575+2120000</f>
        <v>11405575</v>
      </c>
    </row>
    <row r="46" spans="1:4" s="42" customFormat="1" ht="12.75">
      <c r="A46" s="46" t="s">
        <v>88</v>
      </c>
      <c r="B46" s="47" t="s">
        <v>272</v>
      </c>
      <c r="C46" s="48">
        <f>1650000+500000+100000</f>
        <v>2250000</v>
      </c>
      <c r="D46" s="48">
        <f>1650000+500000+100000</f>
        <v>2250000</v>
      </c>
    </row>
    <row r="47" spans="1:4" s="42" customFormat="1" ht="12.75">
      <c r="A47" s="46" t="s">
        <v>164</v>
      </c>
      <c r="B47" s="47" t="s">
        <v>273</v>
      </c>
      <c r="C47" s="48"/>
      <c r="D47" s="48"/>
    </row>
    <row r="48" spans="1:4" s="42" customFormat="1" ht="12.75">
      <c r="A48" s="46" t="s">
        <v>165</v>
      </c>
      <c r="B48" s="47" t="s">
        <v>274</v>
      </c>
      <c r="C48" s="48">
        <f>1500000</f>
        <v>1500000</v>
      </c>
      <c r="D48" s="48">
        <f>1500000</f>
        <v>1500000</v>
      </c>
    </row>
    <row r="49" spans="1:4" s="42" customFormat="1" ht="12.75">
      <c r="A49" s="46" t="s">
        <v>166</v>
      </c>
      <c r="B49" s="47" t="s">
        <v>275</v>
      </c>
      <c r="C49" s="48">
        <f>1137993+850394</f>
        <v>1988387</v>
      </c>
      <c r="D49" s="48">
        <f>2507104</f>
        <v>2507104</v>
      </c>
    </row>
    <row r="50" spans="1:4" s="42" customFormat="1" ht="12.75">
      <c r="A50" s="46" t="s">
        <v>167</v>
      </c>
      <c r="B50" s="47" t="s">
        <v>276</v>
      </c>
      <c r="C50" s="48"/>
      <c r="D50" s="48"/>
    </row>
    <row r="51" spans="1:4" s="42" customFormat="1" ht="12.75">
      <c r="A51" s="46" t="s">
        <v>168</v>
      </c>
      <c r="B51" s="47" t="s">
        <v>277</v>
      </c>
      <c r="C51" s="48">
        <f>1000+10+10</f>
        <v>1020</v>
      </c>
      <c r="D51" s="48">
        <f>1000+10+10</f>
        <v>1020</v>
      </c>
    </row>
    <row r="52" spans="1:4" s="42" customFormat="1" ht="12.75">
      <c r="A52" s="46" t="s">
        <v>268</v>
      </c>
      <c r="B52" s="47" t="s">
        <v>278</v>
      </c>
      <c r="C52" s="58"/>
      <c r="D52" s="58"/>
    </row>
    <row r="53" spans="1:4" s="42" customFormat="1" ht="12.75">
      <c r="A53" s="50" t="s">
        <v>269</v>
      </c>
      <c r="B53" s="54" t="s">
        <v>430</v>
      </c>
      <c r="C53" s="59"/>
      <c r="D53" s="59"/>
    </row>
    <row r="54" spans="1:4" s="42" customFormat="1" ht="13.5" thickBot="1">
      <c r="A54" s="50" t="s">
        <v>429</v>
      </c>
      <c r="B54" s="51" t="s">
        <v>279</v>
      </c>
      <c r="C54" s="59">
        <f>10000+1000+1000</f>
        <v>12000</v>
      </c>
      <c r="D54" s="59">
        <f>10000+1000+1000</f>
        <v>12000</v>
      </c>
    </row>
    <row r="55" spans="1:4" s="42" customFormat="1" ht="13.5" thickBot="1">
      <c r="A55" s="39" t="s">
        <v>19</v>
      </c>
      <c r="B55" s="40" t="s">
        <v>280</v>
      </c>
      <c r="C55" s="41">
        <f>SUM(C56:C60)</f>
        <v>0</v>
      </c>
      <c r="D55" s="41">
        <f>SUM(D56:D60)</f>
        <v>0</v>
      </c>
    </row>
    <row r="56" spans="1:4" s="42" customFormat="1" ht="12.75">
      <c r="A56" s="43" t="s">
        <v>89</v>
      </c>
      <c r="B56" s="44" t="s">
        <v>284</v>
      </c>
      <c r="C56" s="60"/>
      <c r="D56" s="60"/>
    </row>
    <row r="57" spans="1:4" s="42" customFormat="1" ht="12.75">
      <c r="A57" s="46" t="s">
        <v>90</v>
      </c>
      <c r="B57" s="47" t="s">
        <v>285</v>
      </c>
      <c r="C57" s="58"/>
      <c r="D57" s="58"/>
    </row>
    <row r="58" spans="1:4" s="42" customFormat="1" ht="12.75">
      <c r="A58" s="46" t="s">
        <v>281</v>
      </c>
      <c r="B58" s="47" t="s">
        <v>286</v>
      </c>
      <c r="C58" s="58"/>
      <c r="D58" s="58"/>
    </row>
    <row r="59" spans="1:4" s="42" customFormat="1" ht="12.75">
      <c r="A59" s="46" t="s">
        <v>282</v>
      </c>
      <c r="B59" s="47" t="s">
        <v>287</v>
      </c>
      <c r="C59" s="58"/>
      <c r="D59" s="58"/>
    </row>
    <row r="60" spans="1:4" s="42" customFormat="1" ht="13.5" thickBot="1">
      <c r="A60" s="50" t="s">
        <v>283</v>
      </c>
      <c r="B60" s="51" t="s">
        <v>288</v>
      </c>
      <c r="C60" s="59"/>
      <c r="D60" s="59"/>
    </row>
    <row r="61" spans="1:4" s="42" customFormat="1" ht="13.5" thickBot="1">
      <c r="A61" s="39" t="s">
        <v>169</v>
      </c>
      <c r="B61" s="40" t="s">
        <v>289</v>
      </c>
      <c r="C61" s="41">
        <f>SUM(C62:C64)</f>
        <v>505503</v>
      </c>
      <c r="D61" s="41">
        <f>SUM(D62:D64)</f>
        <v>505503</v>
      </c>
    </row>
    <row r="62" spans="1:4" s="42" customFormat="1" ht="12.75">
      <c r="A62" s="43" t="s">
        <v>91</v>
      </c>
      <c r="B62" s="44" t="s">
        <v>290</v>
      </c>
      <c r="C62" s="45"/>
      <c r="D62" s="45"/>
    </row>
    <row r="63" spans="1:4" s="42" customFormat="1" ht="12.75">
      <c r="A63" s="46" t="s">
        <v>92</v>
      </c>
      <c r="B63" s="47" t="s">
        <v>420</v>
      </c>
      <c r="C63" s="48"/>
      <c r="D63" s="48"/>
    </row>
    <row r="64" spans="1:4" s="42" customFormat="1" ht="12.75">
      <c r="A64" s="46" t="s">
        <v>293</v>
      </c>
      <c r="B64" s="47" t="s">
        <v>291</v>
      </c>
      <c r="C64" s="48">
        <v>505503</v>
      </c>
      <c r="D64" s="48">
        <v>505503</v>
      </c>
    </row>
    <row r="65" spans="1:4" s="42" customFormat="1" ht="13.5" thickBot="1">
      <c r="A65" s="50" t="s">
        <v>294</v>
      </c>
      <c r="B65" s="51" t="s">
        <v>292</v>
      </c>
      <c r="C65" s="53"/>
      <c r="D65" s="53"/>
    </row>
    <row r="66" spans="1:4" s="42" customFormat="1" ht="13.5" thickBot="1">
      <c r="A66" s="39" t="s">
        <v>21</v>
      </c>
      <c r="B66" s="52" t="s">
        <v>295</v>
      </c>
      <c r="C66" s="41">
        <f>SUM(C67:C69)</f>
        <v>0</v>
      </c>
      <c r="D66" s="41">
        <f>SUM(D67:D69)</f>
        <v>0</v>
      </c>
    </row>
    <row r="67" spans="1:4" s="42" customFormat="1" ht="12.75">
      <c r="A67" s="43" t="s">
        <v>170</v>
      </c>
      <c r="B67" s="44" t="s">
        <v>297</v>
      </c>
      <c r="C67" s="58"/>
      <c r="D67" s="58"/>
    </row>
    <row r="68" spans="1:4" s="42" customFormat="1" ht="12.75">
      <c r="A68" s="46" t="s">
        <v>171</v>
      </c>
      <c r="B68" s="47" t="s">
        <v>421</v>
      </c>
      <c r="C68" s="58"/>
      <c r="D68" s="58"/>
    </row>
    <row r="69" spans="1:4" s="42" customFormat="1" ht="12.75">
      <c r="A69" s="46" t="s">
        <v>218</v>
      </c>
      <c r="B69" s="47" t="s">
        <v>298</v>
      </c>
      <c r="C69" s="58"/>
      <c r="D69" s="58"/>
    </row>
    <row r="70" spans="1:4" s="42" customFormat="1" ht="13.5" thickBot="1">
      <c r="A70" s="50" t="s">
        <v>296</v>
      </c>
      <c r="B70" s="51" t="s">
        <v>299</v>
      </c>
      <c r="C70" s="58"/>
      <c r="D70" s="58"/>
    </row>
    <row r="71" spans="1:4" s="42" customFormat="1" ht="13.5" thickBot="1">
      <c r="A71" s="61" t="s">
        <v>472</v>
      </c>
      <c r="B71" s="40" t="s">
        <v>300</v>
      </c>
      <c r="C71" s="55">
        <f>+C14+C21+C28+C35+C43+C55+C61+C66</f>
        <v>493047632</v>
      </c>
      <c r="D71" s="55">
        <f>+D14+D21+D28+D35+D43+D55+D61+D66</f>
        <v>502153905</v>
      </c>
    </row>
    <row r="72" spans="1:4" s="42" customFormat="1" ht="13.5" thickBot="1">
      <c r="A72" s="62" t="s">
        <v>301</v>
      </c>
      <c r="B72" s="52" t="s">
        <v>302</v>
      </c>
      <c r="C72" s="41">
        <f>SUM(C73:C75)</f>
        <v>0</v>
      </c>
      <c r="D72" s="41">
        <f>SUM(D73:D75)</f>
        <v>0</v>
      </c>
    </row>
    <row r="73" spans="1:4" s="42" customFormat="1" ht="12.75">
      <c r="A73" s="43" t="s">
        <v>333</v>
      </c>
      <c r="B73" s="44" t="s">
        <v>303</v>
      </c>
      <c r="C73" s="58"/>
      <c r="D73" s="58"/>
    </row>
    <row r="74" spans="1:4" s="42" customFormat="1" ht="12.75">
      <c r="A74" s="46" t="s">
        <v>342</v>
      </c>
      <c r="B74" s="47" t="s">
        <v>304</v>
      </c>
      <c r="C74" s="58"/>
      <c r="D74" s="58"/>
    </row>
    <row r="75" spans="1:4" s="42" customFormat="1" ht="13.5" thickBot="1">
      <c r="A75" s="50" t="s">
        <v>343</v>
      </c>
      <c r="B75" s="63" t="s">
        <v>457</v>
      </c>
      <c r="C75" s="58"/>
      <c r="D75" s="58"/>
    </row>
    <row r="76" spans="1:4" s="42" customFormat="1" ht="13.5" thickBot="1">
      <c r="A76" s="62" t="s">
        <v>306</v>
      </c>
      <c r="B76" s="52" t="s">
        <v>307</v>
      </c>
      <c r="C76" s="41">
        <f>SUM(C77:C80)</f>
        <v>0</v>
      </c>
      <c r="D76" s="41">
        <f>SUM(D77:D80)</f>
        <v>0</v>
      </c>
    </row>
    <row r="77" spans="1:4" s="42" customFormat="1" ht="12.75">
      <c r="A77" s="43" t="s">
        <v>140</v>
      </c>
      <c r="B77" s="44" t="s">
        <v>308</v>
      </c>
      <c r="C77" s="58"/>
      <c r="D77" s="58"/>
    </row>
    <row r="78" spans="1:4" s="42" customFormat="1" ht="12.75">
      <c r="A78" s="46" t="s">
        <v>141</v>
      </c>
      <c r="B78" s="47" t="s">
        <v>309</v>
      </c>
      <c r="C78" s="58"/>
      <c r="D78" s="58"/>
    </row>
    <row r="79" spans="1:4" s="42" customFormat="1" ht="12.75">
      <c r="A79" s="46" t="s">
        <v>334</v>
      </c>
      <c r="B79" s="47" t="s">
        <v>310</v>
      </c>
      <c r="C79" s="58"/>
      <c r="D79" s="58"/>
    </row>
    <row r="80" spans="1:4" s="42" customFormat="1" ht="13.5" thickBot="1">
      <c r="A80" s="50" t="s">
        <v>335</v>
      </c>
      <c r="B80" s="51" t="s">
        <v>311</v>
      </c>
      <c r="C80" s="58"/>
      <c r="D80" s="58"/>
    </row>
    <row r="81" spans="1:4" s="42" customFormat="1" ht="13.5" thickBot="1">
      <c r="A81" s="62" t="s">
        <v>312</v>
      </c>
      <c r="B81" s="52" t="s">
        <v>313</v>
      </c>
      <c r="C81" s="41">
        <f>SUM(C82:C83)</f>
        <v>541000000</v>
      </c>
      <c r="D81" s="41">
        <f>SUM(D82:D83)</f>
        <v>541475499</v>
      </c>
    </row>
    <row r="82" spans="1:4" s="42" customFormat="1" ht="12.75">
      <c r="A82" s="43" t="s">
        <v>336</v>
      </c>
      <c r="B82" s="44" t="s">
        <v>314</v>
      </c>
      <c r="C82" s="58">
        <v>541000000</v>
      </c>
      <c r="D82" s="58">
        <f>541475499</f>
        <v>541475499</v>
      </c>
    </row>
    <row r="83" spans="1:4" s="42" customFormat="1" ht="13.5" thickBot="1">
      <c r="A83" s="50" t="s">
        <v>337</v>
      </c>
      <c r="B83" s="51" t="s">
        <v>315</v>
      </c>
      <c r="C83" s="58"/>
      <c r="D83" s="58"/>
    </row>
    <row r="84" spans="1:4" s="42" customFormat="1" ht="13.5" thickBot="1">
      <c r="A84" s="62" t="s">
        <v>316</v>
      </c>
      <c r="B84" s="52" t="s">
        <v>317</v>
      </c>
      <c r="C84" s="41">
        <f>SUM(C85:C87)</f>
        <v>0</v>
      </c>
      <c r="D84" s="41">
        <f>SUM(D85:D87)</f>
        <v>0</v>
      </c>
    </row>
    <row r="85" spans="1:4" s="42" customFormat="1" ht="12.75">
      <c r="A85" s="43" t="s">
        <v>338</v>
      </c>
      <c r="B85" s="44" t="s">
        <v>318</v>
      </c>
      <c r="C85" s="58"/>
      <c r="D85" s="58"/>
    </row>
    <row r="86" spans="1:4" s="42" customFormat="1" ht="12.75">
      <c r="A86" s="46" t="s">
        <v>339</v>
      </c>
      <c r="B86" s="47" t="s">
        <v>319</v>
      </c>
      <c r="C86" s="58"/>
      <c r="D86" s="58"/>
    </row>
    <row r="87" spans="1:4" s="42" customFormat="1" ht="13.5" thickBot="1">
      <c r="A87" s="50" t="s">
        <v>340</v>
      </c>
      <c r="B87" s="51" t="s">
        <v>320</v>
      </c>
      <c r="C87" s="58"/>
      <c r="D87" s="58"/>
    </row>
    <row r="88" spans="1:4" s="42" customFormat="1" ht="13.5" thickBot="1">
      <c r="A88" s="62" t="s">
        <v>321</v>
      </c>
      <c r="B88" s="52" t="s">
        <v>341</v>
      </c>
      <c r="C88" s="41">
        <f>SUM(C89:C92)</f>
        <v>0</v>
      </c>
      <c r="D88" s="41">
        <f>SUM(D89:D92)</f>
        <v>0</v>
      </c>
    </row>
    <row r="89" spans="1:4" s="42" customFormat="1" ht="12.75">
      <c r="A89" s="64" t="s">
        <v>322</v>
      </c>
      <c r="B89" s="44" t="s">
        <v>323</v>
      </c>
      <c r="C89" s="58"/>
      <c r="D89" s="58"/>
    </row>
    <row r="90" spans="1:4" s="42" customFormat="1" ht="12.75">
      <c r="A90" s="65" t="s">
        <v>324</v>
      </c>
      <c r="B90" s="47" t="s">
        <v>325</v>
      </c>
      <c r="C90" s="58"/>
      <c r="D90" s="58"/>
    </row>
    <row r="91" spans="1:4" s="42" customFormat="1" ht="12.75">
      <c r="A91" s="65" t="s">
        <v>326</v>
      </c>
      <c r="B91" s="47" t="s">
        <v>327</v>
      </c>
      <c r="C91" s="58"/>
      <c r="D91" s="58"/>
    </row>
    <row r="92" spans="1:4" s="42" customFormat="1" ht="13.5" thickBot="1">
      <c r="A92" s="66" t="s">
        <v>328</v>
      </c>
      <c r="B92" s="51" t="s">
        <v>329</v>
      </c>
      <c r="C92" s="58"/>
      <c r="D92" s="58"/>
    </row>
    <row r="93" spans="1:4" s="42" customFormat="1" ht="13.5" thickBot="1">
      <c r="A93" s="62" t="s">
        <v>330</v>
      </c>
      <c r="B93" s="52" t="s">
        <v>471</v>
      </c>
      <c r="C93" s="67"/>
      <c r="D93" s="67"/>
    </row>
    <row r="94" spans="1:4" s="42" customFormat="1" ht="13.5" thickBot="1">
      <c r="A94" s="62" t="s">
        <v>332</v>
      </c>
      <c r="B94" s="52" t="s">
        <v>331</v>
      </c>
      <c r="C94" s="67"/>
      <c r="D94" s="67"/>
    </row>
    <row r="95" spans="1:4" s="42" customFormat="1" ht="13.5" thickBot="1">
      <c r="A95" s="62" t="s">
        <v>344</v>
      </c>
      <c r="B95" s="68" t="s">
        <v>474</v>
      </c>
      <c r="C95" s="55">
        <f>+C72+C76+C81+C84+C88+C94+C93</f>
        <v>541000000</v>
      </c>
      <c r="D95" s="55">
        <f>+D72+D76+D81+D84+D88+D94+D93</f>
        <v>541475499</v>
      </c>
    </row>
    <row r="96" spans="1:4" s="42" customFormat="1" ht="13.5" thickBot="1">
      <c r="A96" s="69" t="s">
        <v>473</v>
      </c>
      <c r="B96" s="70" t="s">
        <v>475</v>
      </c>
      <c r="C96" s="55">
        <f>+C71+C95</f>
        <v>1034047632</v>
      </c>
      <c r="D96" s="55">
        <f>+D71+D95</f>
        <v>1043629404</v>
      </c>
    </row>
    <row r="97" spans="1:4" s="42" customFormat="1">
      <c r="A97" s="71"/>
      <c r="B97" s="72"/>
      <c r="C97" s="579"/>
      <c r="D97" s="579"/>
    </row>
    <row r="98" spans="1:4">
      <c r="A98" s="705" t="s">
        <v>42</v>
      </c>
      <c r="B98" s="705"/>
      <c r="C98" s="33"/>
      <c r="D98" s="33"/>
    </row>
    <row r="99" spans="1:4" ht="16.5" thickBot="1">
      <c r="A99" s="707" t="s">
        <v>143</v>
      </c>
      <c r="B99" s="707"/>
      <c r="C99" s="574"/>
      <c r="D99" s="574"/>
    </row>
    <row r="100" spans="1:4" ht="24.75" thickBot="1">
      <c r="A100" s="34" t="s">
        <v>64</v>
      </c>
      <c r="B100" s="35" t="s">
        <v>43</v>
      </c>
      <c r="C100" s="625" t="s">
        <v>692</v>
      </c>
      <c r="D100" s="625" t="s">
        <v>717</v>
      </c>
    </row>
    <row r="101" spans="1:4" s="38" customFormat="1" ht="12" thickBot="1">
      <c r="A101" s="73" t="s">
        <v>483</v>
      </c>
      <c r="B101" s="74" t="s">
        <v>484</v>
      </c>
      <c r="C101" s="580" t="s">
        <v>485</v>
      </c>
      <c r="D101" s="580" t="s">
        <v>485</v>
      </c>
    </row>
    <row r="102" spans="1:4" ht="16.5" thickBot="1">
      <c r="A102" s="75" t="s">
        <v>14</v>
      </c>
      <c r="B102" s="76" t="s">
        <v>625</v>
      </c>
      <c r="C102" s="77">
        <f>C103+C104+C105+C106+C107+C120</f>
        <v>652688651</v>
      </c>
      <c r="D102" s="77">
        <f>D103+D104+D105+D106+D107+D120</f>
        <v>676770648</v>
      </c>
    </row>
    <row r="103" spans="1:4">
      <c r="A103" s="78" t="s">
        <v>93</v>
      </c>
      <c r="B103" s="15" t="s">
        <v>44</v>
      </c>
      <c r="C103" s="79">
        <f>81039317-'1.3.sz.mell.'!C99+78369300+21392976</f>
        <v>167047193</v>
      </c>
      <c r="D103" s="79">
        <f>72807816+78369300+21392976</f>
        <v>172570092</v>
      </c>
    </row>
    <row r="104" spans="1:4">
      <c r="A104" s="46" t="s">
        <v>94</v>
      </c>
      <c r="B104" s="16" t="s">
        <v>172</v>
      </c>
      <c r="C104" s="48">
        <f>17133121-'1.3.sz.mell.'!C100+15968871+4668631</f>
        <v>34939079</v>
      </c>
      <c r="D104" s="48">
        <f>14849810+15968871+4668631</f>
        <v>35487312</v>
      </c>
    </row>
    <row r="105" spans="1:4">
      <c r="A105" s="46" t="s">
        <v>95</v>
      </c>
      <c r="B105" s="16" t="s">
        <v>131</v>
      </c>
      <c r="C105" s="678">
        <f>263854593-'1.3.sz.mell.'!C101+27824468+29148920</f>
        <v>236690796</v>
      </c>
      <c r="D105" s="678">
        <f>180806365+27824468+29148920</f>
        <v>237779753</v>
      </c>
    </row>
    <row r="106" spans="1:4">
      <c r="A106" s="46" t="s">
        <v>96</v>
      </c>
      <c r="B106" s="80" t="s">
        <v>173</v>
      </c>
      <c r="C106" s="53">
        <f>7330000</f>
        <v>7330000</v>
      </c>
      <c r="D106" s="53">
        <f>7330000</f>
        <v>7330000</v>
      </c>
    </row>
    <row r="107" spans="1:4">
      <c r="A107" s="46" t="s">
        <v>107</v>
      </c>
      <c r="B107" s="81" t="s">
        <v>174</v>
      </c>
      <c r="C107" s="53">
        <f>C108+C109+C110+C111+C112+C113+C114+C115+C116+C117+C118+C119</f>
        <v>173511355</v>
      </c>
      <c r="D107" s="53">
        <f>D108+D109+D110+D111+D112+D113+D114+D115+D116+D117+D118+D119</f>
        <v>176463084</v>
      </c>
    </row>
    <row r="108" spans="1:4">
      <c r="A108" s="46" t="s">
        <v>97</v>
      </c>
      <c r="B108" s="16" t="s">
        <v>438</v>
      </c>
      <c r="C108" s="53"/>
      <c r="D108" s="53"/>
    </row>
    <row r="109" spans="1:4">
      <c r="A109" s="46" t="s">
        <v>98</v>
      </c>
      <c r="B109" s="82" t="s">
        <v>437</v>
      </c>
      <c r="C109" s="53"/>
      <c r="D109" s="53"/>
    </row>
    <row r="110" spans="1:4">
      <c r="A110" s="46" t="s">
        <v>108</v>
      </c>
      <c r="B110" s="82" t="s">
        <v>436</v>
      </c>
      <c r="C110" s="53">
        <v>1505503</v>
      </c>
      <c r="D110" s="53">
        <f>4457232</f>
        <v>4457232</v>
      </c>
    </row>
    <row r="111" spans="1:4">
      <c r="A111" s="46" t="s">
        <v>109</v>
      </c>
      <c r="B111" s="83" t="s">
        <v>347</v>
      </c>
      <c r="C111" s="53"/>
      <c r="D111" s="53"/>
    </row>
    <row r="112" spans="1:4">
      <c r="A112" s="46" t="s">
        <v>110</v>
      </c>
      <c r="B112" s="84" t="s">
        <v>348</v>
      </c>
      <c r="C112" s="53"/>
      <c r="D112" s="53"/>
    </row>
    <row r="113" spans="1:4">
      <c r="A113" s="46" t="s">
        <v>111</v>
      </c>
      <c r="B113" s="84" t="s">
        <v>349</v>
      </c>
      <c r="C113" s="53"/>
      <c r="D113" s="53"/>
    </row>
    <row r="114" spans="1:4">
      <c r="A114" s="46" t="s">
        <v>113</v>
      </c>
      <c r="B114" s="83" t="s">
        <v>350</v>
      </c>
      <c r="C114" s="53">
        <v>129940852</v>
      </c>
      <c r="D114" s="53">
        <v>129940852</v>
      </c>
    </row>
    <row r="115" spans="1:4">
      <c r="A115" s="46" t="s">
        <v>175</v>
      </c>
      <c r="B115" s="83" t="s">
        <v>351</v>
      </c>
      <c r="C115" s="53"/>
      <c r="D115" s="53"/>
    </row>
    <row r="116" spans="1:4">
      <c r="A116" s="46" t="s">
        <v>345</v>
      </c>
      <c r="B116" s="84" t="s">
        <v>352</v>
      </c>
      <c r="C116" s="53"/>
      <c r="D116" s="53"/>
    </row>
    <row r="117" spans="1:4">
      <c r="A117" s="85" t="s">
        <v>346</v>
      </c>
      <c r="B117" s="82" t="s">
        <v>353</v>
      </c>
      <c r="C117" s="53"/>
      <c r="D117" s="53"/>
    </row>
    <row r="118" spans="1:4">
      <c r="A118" s="46" t="s">
        <v>434</v>
      </c>
      <c r="B118" s="82" t="s">
        <v>354</v>
      </c>
      <c r="C118" s="53"/>
      <c r="D118" s="53"/>
    </row>
    <row r="119" spans="1:4">
      <c r="A119" s="50" t="s">
        <v>435</v>
      </c>
      <c r="B119" s="82" t="s">
        <v>355</v>
      </c>
      <c r="C119" s="53">
        <f>42065000</f>
        <v>42065000</v>
      </c>
      <c r="D119" s="53">
        <f>42065000</f>
        <v>42065000</v>
      </c>
    </row>
    <row r="120" spans="1:4">
      <c r="A120" s="46" t="s">
        <v>439</v>
      </c>
      <c r="B120" s="80" t="s">
        <v>45</v>
      </c>
      <c r="C120" s="48">
        <f>C121+C122</f>
        <v>33170228</v>
      </c>
      <c r="D120" s="48">
        <f>D121+D122</f>
        <v>47140407</v>
      </c>
    </row>
    <row r="121" spans="1:4">
      <c r="A121" s="46" t="s">
        <v>440</v>
      </c>
      <c r="B121" s="16" t="s">
        <v>442</v>
      </c>
      <c r="C121" s="48">
        <v>4078482</v>
      </c>
      <c r="D121" s="48">
        <f>8497082</f>
        <v>8497082</v>
      </c>
    </row>
    <row r="122" spans="1:4" ht="16.5" thickBot="1">
      <c r="A122" s="86" t="s">
        <v>441</v>
      </c>
      <c r="B122" s="87" t="s">
        <v>443</v>
      </c>
      <c r="C122" s="88">
        <f>29091746</f>
        <v>29091746</v>
      </c>
      <c r="D122" s="88">
        <f>38643325</f>
        <v>38643325</v>
      </c>
    </row>
    <row r="123" spans="1:4" ht="16.5" thickBot="1">
      <c r="A123" s="89" t="s">
        <v>15</v>
      </c>
      <c r="B123" s="90" t="s">
        <v>626</v>
      </c>
      <c r="C123" s="581">
        <f>+C124+C126+C128</f>
        <v>373251261</v>
      </c>
      <c r="D123" s="581">
        <f>+D124+D126+D128</f>
        <v>358751036</v>
      </c>
    </row>
    <row r="124" spans="1:4">
      <c r="A124" s="43" t="s">
        <v>99</v>
      </c>
      <c r="B124" s="16" t="s">
        <v>217</v>
      </c>
      <c r="C124" s="45">
        <f>304198564-'1.3.sz.mell.'!C120+825500+2513000</f>
        <v>289439564</v>
      </c>
      <c r="D124" s="45">
        <f>271600839+825500+2513000</f>
        <v>274939339</v>
      </c>
    </row>
    <row r="125" spans="1:4">
      <c r="A125" s="43" t="s">
        <v>100</v>
      </c>
      <c r="B125" s="91" t="s">
        <v>359</v>
      </c>
      <c r="C125" s="45"/>
      <c r="D125" s="45"/>
    </row>
    <row r="126" spans="1:4">
      <c r="A126" s="43" t="s">
        <v>101</v>
      </c>
      <c r="B126" s="91" t="s">
        <v>176</v>
      </c>
      <c r="C126" s="48">
        <f>89587897-'1.3.sz.mell.'!C122</f>
        <v>83161697</v>
      </c>
      <c r="D126" s="48">
        <f>89587897-'1.3.sz.mell.'!D122</f>
        <v>83161697</v>
      </c>
    </row>
    <row r="127" spans="1:4">
      <c r="A127" s="43" t="s">
        <v>102</v>
      </c>
      <c r="B127" s="91" t="s">
        <v>360</v>
      </c>
      <c r="C127" s="92"/>
      <c r="D127" s="92"/>
    </row>
    <row r="128" spans="1:4">
      <c r="A128" s="43" t="s">
        <v>103</v>
      </c>
      <c r="B128" s="51" t="s">
        <v>219</v>
      </c>
      <c r="C128" s="92">
        <f>C129+C130+C131+C132+C133+C134+C135+C136</f>
        <v>650000</v>
      </c>
      <c r="D128" s="92">
        <f>D129+D130+D131+D132+D133+D134+D135+D136</f>
        <v>650000</v>
      </c>
    </row>
    <row r="129" spans="1:4">
      <c r="A129" s="43" t="s">
        <v>112</v>
      </c>
      <c r="B129" s="49" t="s">
        <v>422</v>
      </c>
      <c r="C129" s="92"/>
      <c r="D129" s="92"/>
    </row>
    <row r="130" spans="1:4">
      <c r="A130" s="43" t="s">
        <v>114</v>
      </c>
      <c r="B130" s="93" t="s">
        <v>365</v>
      </c>
      <c r="C130" s="92"/>
      <c r="D130" s="92"/>
    </row>
    <row r="131" spans="1:4">
      <c r="A131" s="43" t="s">
        <v>177</v>
      </c>
      <c r="B131" s="84" t="s">
        <v>349</v>
      </c>
      <c r="C131" s="92"/>
      <c r="D131" s="92"/>
    </row>
    <row r="132" spans="1:4">
      <c r="A132" s="43" t="s">
        <v>178</v>
      </c>
      <c r="B132" s="84" t="s">
        <v>364</v>
      </c>
      <c r="C132" s="92"/>
      <c r="D132" s="92"/>
    </row>
    <row r="133" spans="1:4">
      <c r="A133" s="43" t="s">
        <v>179</v>
      </c>
      <c r="B133" s="84" t="s">
        <v>363</v>
      </c>
      <c r="C133" s="92"/>
      <c r="D133" s="92"/>
    </row>
    <row r="134" spans="1:4">
      <c r="A134" s="43" t="s">
        <v>356</v>
      </c>
      <c r="B134" s="84" t="s">
        <v>352</v>
      </c>
      <c r="C134" s="92"/>
      <c r="D134" s="92"/>
    </row>
    <row r="135" spans="1:4">
      <c r="A135" s="43" t="s">
        <v>357</v>
      </c>
      <c r="B135" s="84" t="s">
        <v>362</v>
      </c>
      <c r="C135" s="92"/>
      <c r="D135" s="92"/>
    </row>
    <row r="136" spans="1:4" ht="16.5" thickBot="1">
      <c r="A136" s="85" t="s">
        <v>358</v>
      </c>
      <c r="B136" s="84" t="s">
        <v>361</v>
      </c>
      <c r="C136" s="94">
        <v>650000</v>
      </c>
      <c r="D136" s="94">
        <v>650000</v>
      </c>
    </row>
    <row r="137" spans="1:4" ht="16.5" thickBot="1">
      <c r="A137" s="39" t="s">
        <v>16</v>
      </c>
      <c r="B137" s="19" t="s">
        <v>444</v>
      </c>
      <c r="C137" s="41">
        <f>+C102+C123</f>
        <v>1025939912</v>
      </c>
      <c r="D137" s="41">
        <f>+D102+D123</f>
        <v>1035521684</v>
      </c>
    </row>
    <row r="138" spans="1:4" ht="16.5" thickBot="1">
      <c r="A138" s="39" t="s">
        <v>17</v>
      </c>
      <c r="B138" s="19" t="s">
        <v>445</v>
      </c>
      <c r="C138" s="41">
        <f>+C139+C140+C141</f>
        <v>0</v>
      </c>
      <c r="D138" s="41">
        <f>+D139+D140+D141</f>
        <v>0</v>
      </c>
    </row>
    <row r="139" spans="1:4">
      <c r="A139" s="43" t="s">
        <v>257</v>
      </c>
      <c r="B139" s="91" t="s">
        <v>452</v>
      </c>
      <c r="C139" s="92"/>
      <c r="D139" s="92"/>
    </row>
    <row r="140" spans="1:4">
      <c r="A140" s="43" t="s">
        <v>260</v>
      </c>
      <c r="B140" s="91" t="s">
        <v>453</v>
      </c>
      <c r="C140" s="92"/>
      <c r="D140" s="92"/>
    </row>
    <row r="141" spans="1:4" ht="16.5" thickBot="1">
      <c r="A141" s="85" t="s">
        <v>261</v>
      </c>
      <c r="B141" s="91" t="s">
        <v>454</v>
      </c>
      <c r="C141" s="92"/>
      <c r="D141" s="92"/>
    </row>
    <row r="142" spans="1:4" ht="16.5" thickBot="1">
      <c r="A142" s="39" t="s">
        <v>18</v>
      </c>
      <c r="B142" s="19" t="s">
        <v>446</v>
      </c>
      <c r="C142" s="41">
        <f>SUM(C143:C148)</f>
        <v>0</v>
      </c>
      <c r="D142" s="41">
        <f>SUM(D143:D148)</f>
        <v>0</v>
      </c>
    </row>
    <row r="143" spans="1:4">
      <c r="A143" s="43" t="s">
        <v>86</v>
      </c>
      <c r="B143" s="18" t="s">
        <v>455</v>
      </c>
      <c r="C143" s="92"/>
      <c r="D143" s="92"/>
    </row>
    <row r="144" spans="1:4">
      <c r="A144" s="43" t="s">
        <v>87</v>
      </c>
      <c r="B144" s="18" t="s">
        <v>447</v>
      </c>
      <c r="C144" s="92"/>
      <c r="D144" s="92"/>
    </row>
    <row r="145" spans="1:4">
      <c r="A145" s="43" t="s">
        <v>88</v>
      </c>
      <c r="B145" s="18" t="s">
        <v>448</v>
      </c>
      <c r="C145" s="92"/>
      <c r="D145" s="92"/>
    </row>
    <row r="146" spans="1:4">
      <c r="A146" s="43" t="s">
        <v>164</v>
      </c>
      <c r="B146" s="18" t="s">
        <v>449</v>
      </c>
      <c r="C146" s="92"/>
      <c r="D146" s="92"/>
    </row>
    <row r="147" spans="1:4">
      <c r="A147" s="43" t="s">
        <v>165</v>
      </c>
      <c r="B147" s="18" t="s">
        <v>450</v>
      </c>
      <c r="C147" s="92"/>
      <c r="D147" s="92"/>
    </row>
    <row r="148" spans="1:4" ht="16.5" thickBot="1">
      <c r="A148" s="85" t="s">
        <v>166</v>
      </c>
      <c r="B148" s="18" t="s">
        <v>451</v>
      </c>
      <c r="C148" s="92"/>
      <c r="D148" s="92"/>
    </row>
    <row r="149" spans="1:4" ht="16.5" thickBot="1">
      <c r="A149" s="39" t="s">
        <v>19</v>
      </c>
      <c r="B149" s="19" t="s">
        <v>459</v>
      </c>
      <c r="C149" s="55">
        <f>+C150+C151+C152+C153</f>
        <v>8107720</v>
      </c>
      <c r="D149" s="55">
        <f>+D150+D151+D152+D153</f>
        <v>8107720</v>
      </c>
    </row>
    <row r="150" spans="1:4">
      <c r="A150" s="43" t="s">
        <v>89</v>
      </c>
      <c r="B150" s="18" t="s">
        <v>366</v>
      </c>
      <c r="C150" s="92"/>
      <c r="D150" s="92"/>
    </row>
    <row r="151" spans="1:4">
      <c r="A151" s="43" t="s">
        <v>90</v>
      </c>
      <c r="B151" s="18" t="s">
        <v>367</v>
      </c>
      <c r="C151" s="92">
        <f>8107720</f>
        <v>8107720</v>
      </c>
      <c r="D151" s="92">
        <f>8107720</f>
        <v>8107720</v>
      </c>
    </row>
    <row r="152" spans="1:4">
      <c r="A152" s="43" t="s">
        <v>281</v>
      </c>
      <c r="B152" s="18" t="s">
        <v>460</v>
      </c>
      <c r="C152" s="92"/>
      <c r="D152" s="92"/>
    </row>
    <row r="153" spans="1:4" ht="16.5" thickBot="1">
      <c r="A153" s="85" t="s">
        <v>282</v>
      </c>
      <c r="B153" s="17" t="s">
        <v>386</v>
      </c>
      <c r="C153" s="92"/>
      <c r="D153" s="92"/>
    </row>
    <row r="154" spans="1:4" ht="16.5" thickBot="1">
      <c r="A154" s="39" t="s">
        <v>20</v>
      </c>
      <c r="B154" s="19" t="s">
        <v>461</v>
      </c>
      <c r="C154" s="95">
        <f>SUM(C155:C159)</f>
        <v>0</v>
      </c>
      <c r="D154" s="95">
        <f>SUM(D155:D159)</f>
        <v>0</v>
      </c>
    </row>
    <row r="155" spans="1:4">
      <c r="A155" s="43" t="s">
        <v>91</v>
      </c>
      <c r="B155" s="18" t="s">
        <v>456</v>
      </c>
      <c r="C155" s="92"/>
      <c r="D155" s="92"/>
    </row>
    <row r="156" spans="1:4">
      <c r="A156" s="43" t="s">
        <v>92</v>
      </c>
      <c r="B156" s="18" t="s">
        <v>463</v>
      </c>
      <c r="C156" s="92"/>
      <c r="D156" s="92"/>
    </row>
    <row r="157" spans="1:4">
      <c r="A157" s="43" t="s">
        <v>293</v>
      </c>
      <c r="B157" s="18" t="s">
        <v>458</v>
      </c>
      <c r="C157" s="92"/>
      <c r="D157" s="92"/>
    </row>
    <row r="158" spans="1:4">
      <c r="A158" s="43" t="s">
        <v>294</v>
      </c>
      <c r="B158" s="18" t="s">
        <v>464</v>
      </c>
      <c r="C158" s="92"/>
      <c r="D158" s="92"/>
    </row>
    <row r="159" spans="1:4" ht="16.5" thickBot="1">
      <c r="A159" s="43" t="s">
        <v>462</v>
      </c>
      <c r="B159" s="18" t="s">
        <v>465</v>
      </c>
      <c r="C159" s="92"/>
      <c r="D159" s="92"/>
    </row>
    <row r="160" spans="1:4" ht="16.5" thickBot="1">
      <c r="A160" s="39" t="s">
        <v>21</v>
      </c>
      <c r="B160" s="19" t="s">
        <v>466</v>
      </c>
      <c r="C160" s="582"/>
      <c r="D160" s="582"/>
    </row>
    <row r="161" spans="1:4" ht="16.5" thickBot="1">
      <c r="A161" s="39" t="s">
        <v>22</v>
      </c>
      <c r="B161" s="19" t="s">
        <v>541</v>
      </c>
      <c r="C161" s="582"/>
      <c r="D161" s="582"/>
    </row>
    <row r="162" spans="1:4" ht="16.5" thickBot="1">
      <c r="A162" s="39" t="s">
        <v>23</v>
      </c>
      <c r="B162" s="19" t="s">
        <v>469</v>
      </c>
      <c r="C162" s="96">
        <f>+C138+C142+C149+C154+C160+C161</f>
        <v>8107720</v>
      </c>
      <c r="D162" s="96">
        <f>+D138+D142+D149+D154+D160+D161</f>
        <v>8107720</v>
      </c>
    </row>
    <row r="163" spans="1:4" s="42" customFormat="1" ht="13.5" thickBot="1">
      <c r="A163" s="98" t="s">
        <v>24</v>
      </c>
      <c r="B163" s="99" t="s">
        <v>468</v>
      </c>
      <c r="C163" s="96">
        <f>+C137+C162</f>
        <v>1034047632</v>
      </c>
      <c r="D163" s="96">
        <f>+D137+D162</f>
        <v>1043629404</v>
      </c>
    </row>
  </sheetData>
  <mergeCells count="4"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3" orientation="portrait" r:id="rId1"/>
  <headerFooter alignWithMargins="0">
    <oddHeader>&amp;R&amp;"Times New Roman CE,Félkövér dőlt"&amp;11 1.1. melléklet a ........./2019. () önkormányzati rendelethez</oddHeader>
    <oddFooter>&amp;P. oldal, összesen: &amp;N</oddFooter>
  </headerFooter>
  <rowBreaks count="2" manualBreakCount="2">
    <brk id="71" max="3" man="1"/>
    <brk id="97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731</v>
      </c>
      <c r="C1" s="421"/>
      <c r="D1" s="421"/>
    </row>
    <row r="2" spans="1:4" s="104" customFormat="1" ht="33" customHeight="1">
      <c r="A2" s="2" t="s">
        <v>192</v>
      </c>
      <c r="B2" s="3" t="s">
        <v>537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413</v>
      </c>
      <c r="C3" s="534" t="s">
        <v>54</v>
      </c>
      <c r="D3" s="534" t="s">
        <v>54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501010</v>
      </c>
      <c r="D8" s="536">
        <f>SUM(D9:D19)</f>
        <v>501010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>
        <v>500000</v>
      </c>
      <c r="D11" s="538">
        <v>500000</v>
      </c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>
        <v>10</v>
      </c>
      <c r="D16" s="539">
        <v>10</v>
      </c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>
        <v>1000</v>
      </c>
      <c r="D19" s="540">
        <v>1000</v>
      </c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>
        <v>1050000</v>
      </c>
      <c r="D25" s="541">
        <v>1050000</v>
      </c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1551010</v>
      </c>
      <c r="D37" s="544">
        <f>+D8+D20+D25+D26+D31+D35+D36</f>
        <v>1551010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121437129</v>
      </c>
      <c r="D38" s="544">
        <f>+D39+D40+D41</f>
        <v>121437129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>
        <v>121437129</v>
      </c>
      <c r="D41" s="21">
        <f>121437129</f>
        <v>121437129</v>
      </c>
    </row>
    <row r="42" spans="1:4" s="200" customFormat="1" ht="15" customHeight="1" thickBot="1">
      <c r="A42" s="430" t="s">
        <v>23</v>
      </c>
      <c r="B42" s="431" t="s">
        <v>410</v>
      </c>
      <c r="C42" s="545">
        <f>C37+C38</f>
        <v>122988139</v>
      </c>
      <c r="D42" s="545">
        <f>D37+D38</f>
        <v>122988139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122162639</v>
      </c>
      <c r="D46" s="536">
        <f>SUM(D47:D51)</f>
        <v>122162639</v>
      </c>
    </row>
    <row r="47" spans="1:4" ht="12" customHeight="1">
      <c r="A47" s="425" t="s">
        <v>93</v>
      </c>
      <c r="B47" s="18" t="s">
        <v>44</v>
      </c>
      <c r="C47" s="20">
        <v>78369300</v>
      </c>
      <c r="D47" s="20">
        <v>78369300</v>
      </c>
    </row>
    <row r="48" spans="1:4" ht="12" customHeight="1">
      <c r="A48" s="425" t="s">
        <v>94</v>
      </c>
      <c r="B48" s="16" t="s">
        <v>172</v>
      </c>
      <c r="C48" s="27">
        <v>15968871</v>
      </c>
      <c r="D48" s="27">
        <v>15968871</v>
      </c>
    </row>
    <row r="49" spans="1:4" ht="12" customHeight="1">
      <c r="A49" s="425" t="s">
        <v>95</v>
      </c>
      <c r="B49" s="16" t="s">
        <v>131</v>
      </c>
      <c r="C49" s="27">
        <v>27824468</v>
      </c>
      <c r="D49" s="27">
        <v>27824468</v>
      </c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825500</v>
      </c>
      <c r="D52" s="536">
        <f>SUM(D53:D55)</f>
        <v>825500</v>
      </c>
    </row>
    <row r="53" spans="1:4" s="208" customFormat="1" ht="12" customHeight="1">
      <c r="A53" s="425" t="s">
        <v>99</v>
      </c>
      <c r="B53" s="18" t="s">
        <v>217</v>
      </c>
      <c r="C53" s="20">
        <v>825500</v>
      </c>
      <c r="D53" s="20">
        <v>825500</v>
      </c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5" customHeight="1" thickBot="1">
      <c r="A57" s="367" t="s">
        <v>16</v>
      </c>
      <c r="B57" s="19" t="s">
        <v>10</v>
      </c>
      <c r="C57" s="541"/>
      <c r="D57" s="541"/>
    </row>
    <row r="58" spans="1:4" ht="13.5" thickBot="1">
      <c r="A58" s="367" t="s">
        <v>17</v>
      </c>
      <c r="B58" s="434" t="s">
        <v>520</v>
      </c>
      <c r="C58" s="547">
        <f>+C46+C52+C57</f>
        <v>122988139</v>
      </c>
      <c r="D58" s="547">
        <f>+D46+D52+D57</f>
        <v>122988139</v>
      </c>
    </row>
    <row r="59" spans="1:4" ht="15" customHeight="1" thickBot="1">
      <c r="C59" s="29"/>
      <c r="D59" s="29"/>
    </row>
    <row r="60" spans="1:4" ht="14.25" customHeight="1" thickBot="1">
      <c r="A60" s="30" t="s">
        <v>510</v>
      </c>
      <c r="B60" s="31"/>
      <c r="C60" s="32">
        <v>19</v>
      </c>
      <c r="D60" s="32">
        <v>19</v>
      </c>
    </row>
    <row r="61" spans="1:4" ht="13.5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732</v>
      </c>
      <c r="C1" s="421"/>
      <c r="D1" s="421"/>
    </row>
    <row r="2" spans="1:4" s="104" customFormat="1" ht="25.5" customHeight="1">
      <c r="A2" s="2" t="s">
        <v>192</v>
      </c>
      <c r="B2" s="3" t="s">
        <v>537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414</v>
      </c>
      <c r="C3" s="534" t="s">
        <v>55</v>
      </c>
      <c r="D3" s="534" t="s">
        <v>55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0</v>
      </c>
      <c r="D8" s="536">
        <f>SUM(D9:D19)</f>
        <v>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/>
      <c r="D11" s="538"/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/>
      <c r="D16" s="539"/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/>
      <c r="D19" s="540"/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0</v>
      </c>
      <c r="D37" s="544">
        <f>+D8+D20+D25+D26+D31+D35+D36</f>
        <v>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0</v>
      </c>
      <c r="D38" s="544">
        <f>+D39+D40+D41</f>
        <v>0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/>
      <c r="D41" s="21"/>
    </row>
    <row r="42" spans="1:4" s="200" customFormat="1" ht="15" customHeight="1" thickBot="1">
      <c r="A42" s="430" t="s">
        <v>23</v>
      </c>
      <c r="B42" s="431" t="s">
        <v>410</v>
      </c>
      <c r="C42" s="545">
        <f>+C37+C38</f>
        <v>0</v>
      </c>
      <c r="D42" s="545">
        <f>+D37+D38</f>
        <v>0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0</v>
      </c>
      <c r="D46" s="536">
        <f>SUM(D47:D51)</f>
        <v>0</v>
      </c>
    </row>
    <row r="47" spans="1:4" ht="12" customHeight="1">
      <c r="A47" s="425" t="s">
        <v>93</v>
      </c>
      <c r="B47" s="18" t="s">
        <v>44</v>
      </c>
      <c r="C47" s="20"/>
      <c r="D47" s="20"/>
    </row>
    <row r="48" spans="1:4" ht="12" customHeight="1">
      <c r="A48" s="425" t="s">
        <v>94</v>
      </c>
      <c r="B48" s="16" t="s">
        <v>172</v>
      </c>
      <c r="C48" s="27"/>
      <c r="D48" s="27"/>
    </row>
    <row r="49" spans="1:4" ht="12" customHeight="1">
      <c r="A49" s="425" t="s">
        <v>95</v>
      </c>
      <c r="B49" s="16" t="s">
        <v>131</v>
      </c>
      <c r="C49" s="27"/>
      <c r="D49" s="27"/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0</v>
      </c>
      <c r="D52" s="536">
        <f>SUM(D53:D55)</f>
        <v>0</v>
      </c>
    </row>
    <row r="53" spans="1:4" s="208" customFormat="1" ht="12" customHeight="1">
      <c r="A53" s="425" t="s">
        <v>99</v>
      </c>
      <c r="B53" s="18" t="s">
        <v>217</v>
      </c>
      <c r="C53" s="20"/>
      <c r="D53" s="20"/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5" customHeight="1" thickBot="1">
      <c r="A57" s="367" t="s">
        <v>16</v>
      </c>
      <c r="B57" s="19" t="s">
        <v>10</v>
      </c>
      <c r="C57" s="541"/>
      <c r="D57" s="541"/>
    </row>
    <row r="58" spans="1:4" ht="13.5" thickBot="1">
      <c r="A58" s="367" t="s">
        <v>17</v>
      </c>
      <c r="B58" s="434" t="s">
        <v>520</v>
      </c>
      <c r="C58" s="547">
        <f>+C46+C52+C57</f>
        <v>0</v>
      </c>
      <c r="D58" s="547">
        <f>+D46+D52+D57</f>
        <v>0</v>
      </c>
    </row>
    <row r="59" spans="1:4" ht="15" customHeight="1" thickBot="1">
      <c r="C59" s="29"/>
      <c r="D59" s="29"/>
    </row>
    <row r="60" spans="1:4" ht="14.25" customHeight="1" thickBot="1">
      <c r="A60" s="30" t="s">
        <v>510</v>
      </c>
      <c r="B60" s="31"/>
      <c r="C60" s="32"/>
      <c r="D60" s="32"/>
    </row>
    <row r="61" spans="1:4" ht="13.5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70C0"/>
  </sheetPr>
  <dimension ref="A1:D61"/>
  <sheetViews>
    <sheetView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">
        <v>733</v>
      </c>
      <c r="C1" s="421"/>
      <c r="D1" s="421"/>
    </row>
    <row r="2" spans="1:4" s="104" customFormat="1" ht="33" customHeight="1">
      <c r="A2" s="2" t="s">
        <v>192</v>
      </c>
      <c r="B2" s="3" t="s">
        <v>537</v>
      </c>
      <c r="C2" s="533" t="s">
        <v>54</v>
      </c>
      <c r="D2" s="533" t="s">
        <v>54</v>
      </c>
    </row>
    <row r="3" spans="1:4" s="104" customFormat="1" ht="24.75" thickBot="1">
      <c r="A3" s="422" t="s">
        <v>191</v>
      </c>
      <c r="B3" s="4" t="s">
        <v>521</v>
      </c>
      <c r="C3" s="534" t="s">
        <v>425</v>
      </c>
      <c r="D3" s="534" t="s">
        <v>425</v>
      </c>
    </row>
    <row r="4" spans="1:4" s="107" customFormat="1" ht="15.95" customHeight="1" thickBot="1">
      <c r="A4" s="5"/>
      <c r="B4" s="5"/>
      <c r="C4" s="6" t="s">
        <v>581</v>
      </c>
      <c r="D4" s="6" t="s">
        <v>581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0</v>
      </c>
      <c r="D8" s="536">
        <f>SUM(D9:D19)</f>
        <v>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/>
      <c r="D11" s="538"/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/>
      <c r="D16" s="539"/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/>
      <c r="D19" s="540"/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512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513</v>
      </c>
      <c r="C26" s="536">
        <f>+C27+C28+C29</f>
        <v>0</v>
      </c>
      <c r="D26" s="536">
        <f>+D27+D28+D29</f>
        <v>0</v>
      </c>
    </row>
    <row r="27" spans="1:4" s="200" customFormat="1" ht="12" customHeight="1">
      <c r="A27" s="426" t="s">
        <v>257</v>
      </c>
      <c r="B27" s="427" t="s">
        <v>252</v>
      </c>
      <c r="C27" s="20"/>
      <c r="D27" s="20"/>
    </row>
    <row r="28" spans="1:4" s="200" customFormat="1" ht="12" customHeight="1">
      <c r="A28" s="426" t="s">
        <v>260</v>
      </c>
      <c r="B28" s="427" t="s">
        <v>398</v>
      </c>
      <c r="C28" s="538"/>
      <c r="D28" s="538"/>
    </row>
    <row r="29" spans="1:4" s="200" customFormat="1" ht="12" customHeight="1">
      <c r="A29" s="426" t="s">
        <v>261</v>
      </c>
      <c r="B29" s="428" t="s">
        <v>401</v>
      </c>
      <c r="C29" s="538"/>
      <c r="D29" s="538"/>
    </row>
    <row r="30" spans="1:4" s="200" customFormat="1" ht="12" customHeight="1" thickBot="1">
      <c r="A30" s="425" t="s">
        <v>262</v>
      </c>
      <c r="B30" s="429" t="s">
        <v>514</v>
      </c>
      <c r="C30" s="21"/>
      <c r="D30" s="21"/>
    </row>
    <row r="31" spans="1:4" s="200" customFormat="1" ht="12" customHeight="1" thickBot="1">
      <c r="A31" s="367" t="s">
        <v>18</v>
      </c>
      <c r="B31" s="19" t="s">
        <v>402</v>
      </c>
      <c r="C31" s="536">
        <f>+C32+C33+C34</f>
        <v>0</v>
      </c>
      <c r="D31" s="536">
        <f>+D32+D33+D34</f>
        <v>0</v>
      </c>
    </row>
    <row r="32" spans="1:4" s="200" customFormat="1" ht="12" customHeight="1">
      <c r="A32" s="426" t="s">
        <v>86</v>
      </c>
      <c r="B32" s="427" t="s">
        <v>284</v>
      </c>
      <c r="C32" s="20"/>
      <c r="D32" s="20"/>
    </row>
    <row r="33" spans="1:4" s="200" customFormat="1" ht="12" customHeight="1">
      <c r="A33" s="426" t="s">
        <v>87</v>
      </c>
      <c r="B33" s="428" t="s">
        <v>285</v>
      </c>
      <c r="C33" s="542"/>
      <c r="D33" s="542"/>
    </row>
    <row r="34" spans="1:4" s="200" customFormat="1" ht="12" customHeight="1" thickBot="1">
      <c r="A34" s="425" t="s">
        <v>88</v>
      </c>
      <c r="B34" s="429" t="s">
        <v>286</v>
      </c>
      <c r="C34" s="21"/>
      <c r="D34" s="21"/>
    </row>
    <row r="35" spans="1:4" s="198" customFormat="1" ht="12" customHeight="1" thickBot="1">
      <c r="A35" s="367" t="s">
        <v>19</v>
      </c>
      <c r="B35" s="19" t="s">
        <v>371</v>
      </c>
      <c r="C35" s="541"/>
      <c r="D35" s="541"/>
    </row>
    <row r="36" spans="1:4" s="198" customFormat="1" ht="12" customHeight="1" thickBot="1">
      <c r="A36" s="367" t="s">
        <v>20</v>
      </c>
      <c r="B36" s="19" t="s">
        <v>403</v>
      </c>
      <c r="C36" s="543"/>
      <c r="D36" s="543"/>
    </row>
    <row r="37" spans="1:4" s="198" customFormat="1" ht="12" customHeight="1" thickBot="1">
      <c r="A37" s="10" t="s">
        <v>21</v>
      </c>
      <c r="B37" s="19" t="s">
        <v>404</v>
      </c>
      <c r="C37" s="544">
        <f>+C8+C20+C25+C26+C31+C35+C36</f>
        <v>0</v>
      </c>
      <c r="D37" s="544">
        <f>+D8+D20+D25+D26+D31+D35+D36</f>
        <v>0</v>
      </c>
    </row>
    <row r="38" spans="1:4" s="198" customFormat="1" ht="12" customHeight="1" thickBot="1">
      <c r="A38" s="430" t="s">
        <v>22</v>
      </c>
      <c r="B38" s="19" t="s">
        <v>405</v>
      </c>
      <c r="C38" s="544">
        <f>+C39+C40+C41</f>
        <v>0</v>
      </c>
      <c r="D38" s="544">
        <f>+D39+D40+D41</f>
        <v>0</v>
      </c>
    </row>
    <row r="39" spans="1:4" s="198" customFormat="1" ht="12" customHeight="1">
      <c r="A39" s="426" t="s">
        <v>406</v>
      </c>
      <c r="B39" s="427" t="s">
        <v>226</v>
      </c>
      <c r="C39" s="20"/>
      <c r="D39" s="20"/>
    </row>
    <row r="40" spans="1:4" s="198" customFormat="1" ht="12" customHeight="1">
      <c r="A40" s="426" t="s">
        <v>407</v>
      </c>
      <c r="B40" s="428" t="s">
        <v>0</v>
      </c>
      <c r="C40" s="542"/>
      <c r="D40" s="542"/>
    </row>
    <row r="41" spans="1:4" s="200" customFormat="1" ht="12" customHeight="1" thickBot="1">
      <c r="A41" s="425" t="s">
        <v>408</v>
      </c>
      <c r="B41" s="429" t="s">
        <v>409</v>
      </c>
      <c r="C41" s="21"/>
      <c r="D41" s="21"/>
    </row>
    <row r="42" spans="1:4" s="200" customFormat="1" ht="15" customHeight="1" thickBot="1">
      <c r="A42" s="430" t="s">
        <v>23</v>
      </c>
      <c r="B42" s="431" t="s">
        <v>410</v>
      </c>
      <c r="C42" s="545">
        <f>+C37+C38</f>
        <v>0</v>
      </c>
      <c r="D42" s="545">
        <f>+D37+D38</f>
        <v>0</v>
      </c>
    </row>
    <row r="43" spans="1:4" s="200" customFormat="1" ht="15" customHeight="1">
      <c r="A43" s="22"/>
      <c r="B43" s="23"/>
      <c r="C43" s="24"/>
      <c r="D43" s="24"/>
    </row>
    <row r="44" spans="1:4" ht="13.5" thickBot="1">
      <c r="A44" s="432"/>
      <c r="B44" s="433"/>
      <c r="C44" s="546"/>
      <c r="D44" s="546"/>
    </row>
    <row r="45" spans="1:4" s="108" customFormat="1" ht="16.5" customHeight="1" thickBot="1">
      <c r="A45" s="25"/>
      <c r="B45" s="26" t="s">
        <v>52</v>
      </c>
      <c r="C45" s="545"/>
      <c r="D45" s="545"/>
    </row>
    <row r="46" spans="1:4" s="208" customFormat="1" ht="12" customHeight="1" thickBot="1">
      <c r="A46" s="367" t="s">
        <v>14</v>
      </c>
      <c r="B46" s="19" t="s">
        <v>411</v>
      </c>
      <c r="C46" s="536">
        <f>SUM(C47:C51)</f>
        <v>0</v>
      </c>
      <c r="D46" s="536">
        <f>SUM(D47:D51)</f>
        <v>0</v>
      </c>
    </row>
    <row r="47" spans="1:4" ht="12" customHeight="1">
      <c r="A47" s="425" t="s">
        <v>93</v>
      </c>
      <c r="B47" s="18" t="s">
        <v>44</v>
      </c>
      <c r="C47" s="20"/>
      <c r="D47" s="20"/>
    </row>
    <row r="48" spans="1:4" ht="12" customHeight="1">
      <c r="A48" s="425" t="s">
        <v>94</v>
      </c>
      <c r="B48" s="16" t="s">
        <v>172</v>
      </c>
      <c r="C48" s="27"/>
      <c r="D48" s="27"/>
    </row>
    <row r="49" spans="1:4" ht="12" customHeight="1">
      <c r="A49" s="425" t="s">
        <v>95</v>
      </c>
      <c r="B49" s="16" t="s">
        <v>131</v>
      </c>
      <c r="C49" s="27"/>
      <c r="D49" s="27"/>
    </row>
    <row r="50" spans="1:4" ht="12" customHeight="1">
      <c r="A50" s="425" t="s">
        <v>96</v>
      </c>
      <c r="B50" s="16" t="s">
        <v>173</v>
      </c>
      <c r="C50" s="27"/>
      <c r="D50" s="27"/>
    </row>
    <row r="51" spans="1:4" ht="12" customHeight="1" thickBot="1">
      <c r="A51" s="425" t="s">
        <v>139</v>
      </c>
      <c r="B51" s="16" t="s">
        <v>174</v>
      </c>
      <c r="C51" s="27"/>
      <c r="D51" s="27"/>
    </row>
    <row r="52" spans="1:4" ht="12" customHeight="1" thickBot="1">
      <c r="A52" s="367" t="s">
        <v>15</v>
      </c>
      <c r="B52" s="19" t="s">
        <v>412</v>
      </c>
      <c r="C52" s="536">
        <f>SUM(C53:C55)</f>
        <v>0</v>
      </c>
      <c r="D52" s="536">
        <f>SUM(D53:D55)</f>
        <v>0</v>
      </c>
    </row>
    <row r="53" spans="1:4" s="208" customFormat="1" ht="12" customHeight="1">
      <c r="A53" s="425" t="s">
        <v>99</v>
      </c>
      <c r="B53" s="18" t="s">
        <v>217</v>
      </c>
      <c r="C53" s="20"/>
      <c r="D53" s="20"/>
    </row>
    <row r="54" spans="1:4" ht="12" customHeight="1">
      <c r="A54" s="425" t="s">
        <v>100</v>
      </c>
      <c r="B54" s="16" t="s">
        <v>176</v>
      </c>
      <c r="C54" s="27"/>
      <c r="D54" s="27"/>
    </row>
    <row r="55" spans="1:4" ht="12" customHeight="1">
      <c r="A55" s="425" t="s">
        <v>101</v>
      </c>
      <c r="B55" s="16" t="s">
        <v>53</v>
      </c>
      <c r="C55" s="27"/>
      <c r="D55" s="27"/>
    </row>
    <row r="56" spans="1:4" ht="12" customHeight="1" thickBot="1">
      <c r="A56" s="425" t="s">
        <v>102</v>
      </c>
      <c r="B56" s="16" t="s">
        <v>515</v>
      </c>
      <c r="C56" s="27"/>
      <c r="D56" s="27"/>
    </row>
    <row r="57" spans="1:4" ht="15" customHeight="1" thickBot="1">
      <c r="A57" s="367" t="s">
        <v>16</v>
      </c>
      <c r="B57" s="19" t="s">
        <v>10</v>
      </c>
      <c r="C57" s="541"/>
      <c r="D57" s="541"/>
    </row>
    <row r="58" spans="1:4" ht="13.5" thickBot="1">
      <c r="A58" s="367" t="s">
        <v>17</v>
      </c>
      <c r="B58" s="434" t="s">
        <v>520</v>
      </c>
      <c r="C58" s="547">
        <f>+C46+C52+C57</f>
        <v>0</v>
      </c>
      <c r="D58" s="547">
        <f>+D46+D52+D57</f>
        <v>0</v>
      </c>
    </row>
    <row r="59" spans="1:4" ht="15" customHeight="1" thickBot="1">
      <c r="C59" s="29"/>
      <c r="D59" s="29"/>
    </row>
    <row r="60" spans="1:4" ht="14.25" customHeight="1" thickBot="1">
      <c r="A60" s="30" t="s">
        <v>510</v>
      </c>
      <c r="B60" s="31"/>
      <c r="C60" s="32"/>
      <c r="D60" s="32"/>
    </row>
    <row r="61" spans="1:4" ht="13.5" thickBot="1">
      <c r="A61" s="30" t="s">
        <v>194</v>
      </c>
      <c r="B61" s="31"/>
      <c r="C61" s="32"/>
      <c r="D61" s="3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zoomScaleNormal="100" workbookViewId="0">
      <selection activeCell="B1" sqref="B1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e">
        <f>+CONCATENATE("9.3. melléklet a ……/",LEFT([1]ÖSSZEFÜGGÉSEK!E5,4),". (….) önkormányzati rendelethez")</f>
        <v>#REF!</v>
      </c>
      <c r="C1" s="421"/>
      <c r="D1" s="421"/>
    </row>
    <row r="2" spans="1:4" s="104" customFormat="1" ht="33.75" customHeight="1">
      <c r="A2" s="2" t="s">
        <v>192</v>
      </c>
      <c r="B2" s="3" t="s">
        <v>538</v>
      </c>
      <c r="C2" s="533" t="s">
        <v>55</v>
      </c>
      <c r="D2" s="533" t="s">
        <v>55</v>
      </c>
    </row>
    <row r="3" spans="1:4" s="104" customFormat="1" ht="24.75" thickBot="1">
      <c r="A3" s="422" t="s">
        <v>191</v>
      </c>
      <c r="B3" s="4" t="s">
        <v>394</v>
      </c>
      <c r="C3" s="534" t="s">
        <v>49</v>
      </c>
      <c r="D3" s="534" t="s">
        <v>49</v>
      </c>
    </row>
    <row r="4" spans="1:4" s="107" customFormat="1" ht="15.95" customHeight="1" thickBot="1">
      <c r="A4" s="5"/>
      <c r="B4" s="5"/>
      <c r="C4" s="6" t="s">
        <v>589</v>
      </c>
      <c r="D4" s="6" t="s">
        <v>589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2221010</v>
      </c>
      <c r="D8" s="536">
        <f>SUM(D9:D19)</f>
        <v>2221010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>
        <f>2000000+100000+20000</f>
        <v>2120000</v>
      </c>
      <c r="D10" s="538">
        <f>2000000+100000+20000</f>
        <v>2120000</v>
      </c>
    </row>
    <row r="11" spans="1:4" s="198" customFormat="1" ht="12" customHeight="1">
      <c r="A11" s="425" t="s">
        <v>95</v>
      </c>
      <c r="B11" s="16" t="s">
        <v>272</v>
      </c>
      <c r="C11" s="538">
        <v>100000</v>
      </c>
      <c r="D11" s="538">
        <v>100000</v>
      </c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>
        <v>10</v>
      </c>
      <c r="D16" s="539">
        <v>10</v>
      </c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>
        <v>1000</v>
      </c>
      <c r="D19" s="540">
        <v>1000</v>
      </c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678958</v>
      </c>
      <c r="D20" s="536">
        <f>SUM(D21:D23)</f>
        <v>678958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>
        <f>178958+500000</f>
        <v>678958</v>
      </c>
      <c r="D23" s="538">
        <f>178958+500000</f>
        <v>678958</v>
      </c>
    </row>
    <row r="24" spans="1:4" s="200" customFormat="1" ht="12" customHeight="1" thickBot="1">
      <c r="A24" s="425" t="s">
        <v>102</v>
      </c>
      <c r="B24" s="16" t="s">
        <v>516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400</v>
      </c>
      <c r="C26" s="536">
        <f>+C27+C28</f>
        <v>0</v>
      </c>
      <c r="D26" s="536">
        <f>+D27+D28</f>
        <v>0</v>
      </c>
    </row>
    <row r="27" spans="1:4" s="200" customFormat="1" ht="12" customHeight="1">
      <c r="A27" s="426" t="s">
        <v>257</v>
      </c>
      <c r="B27" s="427" t="s">
        <v>398</v>
      </c>
      <c r="C27" s="20"/>
      <c r="D27" s="20"/>
    </row>
    <row r="28" spans="1:4" s="200" customFormat="1" ht="12" customHeight="1">
      <c r="A28" s="426" t="s">
        <v>260</v>
      </c>
      <c r="B28" s="428" t="s">
        <v>401</v>
      </c>
      <c r="C28" s="542"/>
      <c r="D28" s="542"/>
    </row>
    <row r="29" spans="1:4" s="200" customFormat="1" ht="12" customHeight="1" thickBot="1">
      <c r="A29" s="425" t="s">
        <v>261</v>
      </c>
      <c r="B29" s="429" t="s">
        <v>517</v>
      </c>
      <c r="C29" s="21"/>
      <c r="D29" s="21"/>
    </row>
    <row r="30" spans="1:4" s="200" customFormat="1" ht="12" customHeight="1" thickBot="1">
      <c r="A30" s="367" t="s">
        <v>18</v>
      </c>
      <c r="B30" s="19" t="s">
        <v>402</v>
      </c>
      <c r="C30" s="536">
        <f>+C31+C32+C33</f>
        <v>0</v>
      </c>
      <c r="D30" s="536">
        <f>+D31+D32+D33</f>
        <v>0</v>
      </c>
    </row>
    <row r="31" spans="1:4" s="200" customFormat="1" ht="12" customHeight="1">
      <c r="A31" s="426" t="s">
        <v>86</v>
      </c>
      <c r="B31" s="427" t="s">
        <v>284</v>
      </c>
      <c r="C31" s="20"/>
      <c r="D31" s="20"/>
    </row>
    <row r="32" spans="1:4" s="200" customFormat="1" ht="12" customHeight="1">
      <c r="A32" s="426" t="s">
        <v>87</v>
      </c>
      <c r="B32" s="428" t="s">
        <v>285</v>
      </c>
      <c r="C32" s="542"/>
      <c r="D32" s="542"/>
    </row>
    <row r="33" spans="1:4" s="200" customFormat="1" ht="12" customHeight="1" thickBot="1">
      <c r="A33" s="425" t="s">
        <v>88</v>
      </c>
      <c r="B33" s="429" t="s">
        <v>286</v>
      </c>
      <c r="C33" s="21"/>
      <c r="D33" s="21"/>
    </row>
    <row r="34" spans="1:4" s="198" customFormat="1" ht="12" customHeight="1" thickBot="1">
      <c r="A34" s="367" t="s">
        <v>19</v>
      </c>
      <c r="B34" s="19" t="s">
        <v>371</v>
      </c>
      <c r="C34" s="541"/>
      <c r="D34" s="541"/>
    </row>
    <row r="35" spans="1:4" s="198" customFormat="1" ht="12" customHeight="1" thickBot="1">
      <c r="A35" s="367" t="s">
        <v>20</v>
      </c>
      <c r="B35" s="19" t="s">
        <v>403</v>
      </c>
      <c r="C35" s="543"/>
      <c r="D35" s="543"/>
    </row>
    <row r="36" spans="1:4" s="198" customFormat="1" ht="12" customHeight="1" thickBot="1">
      <c r="A36" s="10" t="s">
        <v>21</v>
      </c>
      <c r="B36" s="19" t="s">
        <v>518</v>
      </c>
      <c r="C36" s="544">
        <f>+C8+C20+C25+C26+C30+C34+C35</f>
        <v>2899968</v>
      </c>
      <c r="D36" s="544">
        <f>+D8+D20+D25+D26+D30+D34+D35</f>
        <v>2899968</v>
      </c>
    </row>
    <row r="37" spans="1:4" s="198" customFormat="1" ht="12" customHeight="1" thickBot="1">
      <c r="A37" s="430" t="s">
        <v>22</v>
      </c>
      <c r="B37" s="19" t="s">
        <v>405</v>
      </c>
      <c r="C37" s="544">
        <f>+C38+C39+C40</f>
        <v>54823559</v>
      </c>
      <c r="D37" s="544">
        <f>+D38+D39+D40</f>
        <v>54823559</v>
      </c>
    </row>
    <row r="38" spans="1:4" s="198" customFormat="1" ht="12" customHeight="1">
      <c r="A38" s="426" t="s">
        <v>406</v>
      </c>
      <c r="B38" s="427" t="s">
        <v>226</v>
      </c>
      <c r="C38" s="20"/>
      <c r="D38" s="20"/>
    </row>
    <row r="39" spans="1:4" s="198" customFormat="1" ht="12" customHeight="1">
      <c r="A39" s="426" t="s">
        <v>407</v>
      </c>
      <c r="B39" s="428" t="s">
        <v>0</v>
      </c>
      <c r="C39" s="542"/>
      <c r="D39" s="542"/>
    </row>
    <row r="40" spans="1:4" s="200" customFormat="1" ht="12" customHeight="1" thickBot="1">
      <c r="A40" s="425" t="s">
        <v>408</v>
      </c>
      <c r="B40" s="429" t="s">
        <v>409</v>
      </c>
      <c r="C40" s="21">
        <v>54823559</v>
      </c>
      <c r="D40" s="21">
        <f>54823559</f>
        <v>54823559</v>
      </c>
    </row>
    <row r="41" spans="1:4" s="200" customFormat="1" ht="15" customHeight="1" thickBot="1">
      <c r="A41" s="430" t="s">
        <v>23</v>
      </c>
      <c r="B41" s="431" t="s">
        <v>410</v>
      </c>
      <c r="C41" s="545">
        <f>+C36+C37</f>
        <v>57723527</v>
      </c>
      <c r="D41" s="545">
        <f>+D36+D37</f>
        <v>57723527</v>
      </c>
    </row>
    <row r="42" spans="1:4" s="200" customFormat="1" ht="15" customHeight="1">
      <c r="A42" s="22"/>
      <c r="B42" s="23"/>
      <c r="C42" s="24"/>
      <c r="D42" s="24"/>
    </row>
    <row r="43" spans="1:4" ht="13.5" thickBot="1">
      <c r="A43" s="432"/>
      <c r="B43" s="433"/>
      <c r="C43" s="546"/>
      <c r="D43" s="546"/>
    </row>
    <row r="44" spans="1:4" s="108" customFormat="1" ht="16.5" customHeight="1" thickBot="1">
      <c r="A44" s="25"/>
      <c r="B44" s="26" t="s">
        <v>52</v>
      </c>
      <c r="C44" s="545"/>
      <c r="D44" s="545"/>
    </row>
    <row r="45" spans="1:4" s="208" customFormat="1" ht="12" customHeight="1" thickBot="1">
      <c r="A45" s="367" t="s">
        <v>14</v>
      </c>
      <c r="B45" s="19" t="s">
        <v>411</v>
      </c>
      <c r="C45" s="536">
        <f>SUM(C46:C50)</f>
        <v>55210527</v>
      </c>
      <c r="D45" s="536">
        <f>SUM(D46:D50)</f>
        <v>55210527</v>
      </c>
    </row>
    <row r="46" spans="1:4" ht="12" customHeight="1">
      <c r="A46" s="425" t="s">
        <v>93</v>
      </c>
      <c r="B46" s="18" t="s">
        <v>44</v>
      </c>
      <c r="C46" s="20">
        <v>21392976</v>
      </c>
      <c r="D46" s="20">
        <v>21392976</v>
      </c>
    </row>
    <row r="47" spans="1:4" ht="12" customHeight="1">
      <c r="A47" s="425" t="s">
        <v>94</v>
      </c>
      <c r="B47" s="16" t="s">
        <v>172</v>
      </c>
      <c r="C47" s="27">
        <v>4668631</v>
      </c>
      <c r="D47" s="27">
        <v>4668631</v>
      </c>
    </row>
    <row r="48" spans="1:4" ht="12" customHeight="1">
      <c r="A48" s="425" t="s">
        <v>95</v>
      </c>
      <c r="B48" s="16" t="s">
        <v>131</v>
      </c>
      <c r="C48" s="27">
        <v>29148920</v>
      </c>
      <c r="D48" s="27">
        <v>29148920</v>
      </c>
    </row>
    <row r="49" spans="1:4" ht="12" customHeight="1">
      <c r="A49" s="425" t="s">
        <v>96</v>
      </c>
      <c r="B49" s="16" t="s">
        <v>173</v>
      </c>
      <c r="C49" s="27"/>
      <c r="D49" s="27"/>
    </row>
    <row r="50" spans="1:4" ht="12" customHeight="1" thickBot="1">
      <c r="A50" s="425" t="s">
        <v>139</v>
      </c>
      <c r="B50" s="16" t="s">
        <v>174</v>
      </c>
      <c r="C50" s="27"/>
      <c r="D50" s="27"/>
    </row>
    <row r="51" spans="1:4" ht="12" customHeight="1" thickBot="1">
      <c r="A51" s="367" t="s">
        <v>15</v>
      </c>
      <c r="B51" s="19" t="s">
        <v>412</v>
      </c>
      <c r="C51" s="536">
        <f>SUM(C52:C54)</f>
        <v>2513000</v>
      </c>
      <c r="D51" s="536">
        <f>SUM(D52:D54)</f>
        <v>2513000</v>
      </c>
    </row>
    <row r="52" spans="1:4" s="208" customFormat="1" ht="12" customHeight="1">
      <c r="A52" s="425" t="s">
        <v>99</v>
      </c>
      <c r="B52" s="18" t="s">
        <v>217</v>
      </c>
      <c r="C52" s="20">
        <v>2513000</v>
      </c>
      <c r="D52" s="20">
        <v>2513000</v>
      </c>
    </row>
    <row r="53" spans="1:4" ht="12" customHeight="1">
      <c r="A53" s="425" t="s">
        <v>100</v>
      </c>
      <c r="B53" s="16" t="s">
        <v>176</v>
      </c>
      <c r="C53" s="27"/>
      <c r="D53" s="27"/>
    </row>
    <row r="54" spans="1:4" ht="12" customHeight="1">
      <c r="A54" s="425" t="s">
        <v>101</v>
      </c>
      <c r="B54" s="16" t="s">
        <v>53</v>
      </c>
      <c r="C54" s="27"/>
      <c r="D54" s="27"/>
    </row>
    <row r="55" spans="1:4" ht="12" customHeight="1" thickBot="1">
      <c r="A55" s="425" t="s">
        <v>102</v>
      </c>
      <c r="B55" s="16" t="s">
        <v>515</v>
      </c>
      <c r="C55" s="27"/>
      <c r="D55" s="27"/>
    </row>
    <row r="56" spans="1:4" ht="15" customHeight="1" thickBot="1">
      <c r="A56" s="367" t="s">
        <v>16</v>
      </c>
      <c r="B56" s="19" t="s">
        <v>10</v>
      </c>
      <c r="C56" s="541"/>
      <c r="D56" s="541"/>
    </row>
    <row r="57" spans="1:4" ht="13.5" thickBot="1">
      <c r="A57" s="367" t="s">
        <v>17</v>
      </c>
      <c r="B57" s="434" t="s">
        <v>520</v>
      </c>
      <c r="C57" s="547">
        <f>+C45+C51+C56</f>
        <v>57723527</v>
      </c>
      <c r="D57" s="547">
        <f>+D45+D51+D56</f>
        <v>57723527</v>
      </c>
    </row>
    <row r="58" spans="1:4" ht="15" customHeight="1" thickBot="1">
      <c r="C58" s="29"/>
      <c r="D58" s="29"/>
    </row>
    <row r="59" spans="1:4" ht="14.25" customHeight="1" thickBot="1">
      <c r="A59" s="30" t="s">
        <v>510</v>
      </c>
      <c r="B59" s="31"/>
      <c r="C59" s="32">
        <v>3.25</v>
      </c>
      <c r="D59" s="32">
        <v>3.25</v>
      </c>
    </row>
    <row r="60" spans="1:4" ht="13.5" thickBot="1">
      <c r="A60" s="30" t="s">
        <v>194</v>
      </c>
      <c r="B60" s="31"/>
      <c r="C60" s="32"/>
      <c r="D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A22" zoomScaleNormal="100" workbookViewId="0">
      <selection activeCell="D41" sqref="D41"/>
    </sheetView>
  </sheetViews>
  <sheetFormatPr defaultRowHeight="12.75"/>
  <cols>
    <col min="1" max="1" width="13.83203125" style="28" customWidth="1"/>
    <col min="2" max="2" width="48.6640625" style="9" bestFit="1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tr">
        <f>+CONCATENATE("9.3.1. melléklet a ……/",LEFT([1]ÖSSZEFÜGGÉSEK!E5,4),". (….) önkormányzati rendelethez")</f>
        <v>9.3.1. melléklet a ……/. (….) önkormányzati rendelethez</v>
      </c>
      <c r="C1" s="421"/>
      <c r="D1" s="421"/>
    </row>
    <row r="2" spans="1:4" s="104" customFormat="1" ht="36" customHeight="1">
      <c r="A2" s="2" t="s">
        <v>192</v>
      </c>
      <c r="B2" s="3" t="s">
        <v>538</v>
      </c>
      <c r="C2" s="533" t="s">
        <v>55</v>
      </c>
      <c r="D2" s="533" t="s">
        <v>55</v>
      </c>
    </row>
    <row r="3" spans="1:4" s="104" customFormat="1" ht="24.75" thickBot="1">
      <c r="A3" s="422" t="s">
        <v>191</v>
      </c>
      <c r="B3" s="4" t="s">
        <v>413</v>
      </c>
      <c r="C3" s="534" t="s">
        <v>49</v>
      </c>
      <c r="D3" s="534" t="s">
        <v>49</v>
      </c>
    </row>
    <row r="4" spans="1:4" s="107" customFormat="1" ht="15.95" customHeight="1" thickBot="1">
      <c r="A4" s="5"/>
      <c r="B4" s="5"/>
      <c r="C4" s="6" t="s">
        <v>589</v>
      </c>
      <c r="D4" s="6" t="s">
        <v>589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2221010</v>
      </c>
      <c r="D8" s="536">
        <f>SUM(D9:D19)</f>
        <v>2221010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>
        <f>2000000+100000+20000</f>
        <v>2120000</v>
      </c>
      <c r="D10" s="538">
        <f>2000000+100000+20000</f>
        <v>2120000</v>
      </c>
    </row>
    <row r="11" spans="1:4" s="198" customFormat="1" ht="12" customHeight="1">
      <c r="A11" s="425" t="s">
        <v>95</v>
      </c>
      <c r="B11" s="16" t="s">
        <v>272</v>
      </c>
      <c r="C11" s="538">
        <v>100000</v>
      </c>
      <c r="D11" s="538">
        <v>100000</v>
      </c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>
        <v>10</v>
      </c>
      <c r="D16" s="539">
        <v>10</v>
      </c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>
        <v>1000</v>
      </c>
      <c r="D19" s="540">
        <v>1000</v>
      </c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678958</v>
      </c>
      <c r="D20" s="536">
        <f>SUM(D21:D23)</f>
        <v>678958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>
        <f>178958+500000</f>
        <v>678958</v>
      </c>
      <c r="D23" s="538">
        <f>178958+500000</f>
        <v>678958</v>
      </c>
    </row>
    <row r="24" spans="1:4" s="200" customFormat="1" ht="12" customHeight="1" thickBot="1">
      <c r="A24" s="425" t="s">
        <v>102</v>
      </c>
      <c r="B24" s="16" t="s">
        <v>516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400</v>
      </c>
      <c r="C26" s="536">
        <f>+C27+C28</f>
        <v>0</v>
      </c>
      <c r="D26" s="536">
        <f>+D27+D28</f>
        <v>0</v>
      </c>
    </row>
    <row r="27" spans="1:4" s="200" customFormat="1" ht="12" customHeight="1">
      <c r="A27" s="426" t="s">
        <v>257</v>
      </c>
      <c r="B27" s="427" t="s">
        <v>398</v>
      </c>
      <c r="C27" s="20"/>
      <c r="D27" s="20"/>
    </row>
    <row r="28" spans="1:4" s="200" customFormat="1" ht="12" customHeight="1">
      <c r="A28" s="426" t="s">
        <v>260</v>
      </c>
      <c r="B28" s="428" t="s">
        <v>401</v>
      </c>
      <c r="C28" s="542"/>
      <c r="D28" s="542"/>
    </row>
    <row r="29" spans="1:4" s="200" customFormat="1" ht="12" customHeight="1" thickBot="1">
      <c r="A29" s="425" t="s">
        <v>261</v>
      </c>
      <c r="B29" s="429" t="s">
        <v>517</v>
      </c>
      <c r="C29" s="21"/>
      <c r="D29" s="21"/>
    </row>
    <row r="30" spans="1:4" s="200" customFormat="1" ht="12" customHeight="1" thickBot="1">
      <c r="A30" s="367" t="s">
        <v>18</v>
      </c>
      <c r="B30" s="19" t="s">
        <v>402</v>
      </c>
      <c r="C30" s="536">
        <f>+C31+C32+C33</f>
        <v>0</v>
      </c>
      <c r="D30" s="536">
        <f>+D31+D32+D33</f>
        <v>0</v>
      </c>
    </row>
    <row r="31" spans="1:4" s="200" customFormat="1" ht="12" customHeight="1">
      <c r="A31" s="426" t="s">
        <v>86</v>
      </c>
      <c r="B31" s="427" t="s">
        <v>284</v>
      </c>
      <c r="C31" s="20"/>
      <c r="D31" s="20"/>
    </row>
    <row r="32" spans="1:4" s="200" customFormat="1" ht="12" customHeight="1">
      <c r="A32" s="426" t="s">
        <v>87</v>
      </c>
      <c r="B32" s="428" t="s">
        <v>285</v>
      </c>
      <c r="C32" s="542"/>
      <c r="D32" s="542"/>
    </row>
    <row r="33" spans="1:4" s="200" customFormat="1" ht="12" customHeight="1" thickBot="1">
      <c r="A33" s="425" t="s">
        <v>88</v>
      </c>
      <c r="B33" s="429" t="s">
        <v>286</v>
      </c>
      <c r="C33" s="21"/>
      <c r="D33" s="21"/>
    </row>
    <row r="34" spans="1:4" s="198" customFormat="1" ht="12" customHeight="1" thickBot="1">
      <c r="A34" s="367" t="s">
        <v>19</v>
      </c>
      <c r="B34" s="19" t="s">
        <v>371</v>
      </c>
      <c r="C34" s="541"/>
      <c r="D34" s="541"/>
    </row>
    <row r="35" spans="1:4" s="198" customFormat="1" ht="12" customHeight="1" thickBot="1">
      <c r="A35" s="367" t="s">
        <v>20</v>
      </c>
      <c r="B35" s="19" t="s">
        <v>403</v>
      </c>
      <c r="C35" s="543"/>
      <c r="D35" s="543"/>
    </row>
    <row r="36" spans="1:4" s="198" customFormat="1" ht="12" customHeight="1" thickBot="1">
      <c r="A36" s="10" t="s">
        <v>21</v>
      </c>
      <c r="B36" s="19" t="s">
        <v>518</v>
      </c>
      <c r="C36" s="544">
        <f>+C8+C20+C25+C26+C30+C34+C35</f>
        <v>2899968</v>
      </c>
      <c r="D36" s="544">
        <f>+D8+D20+D25+D26+D30+D34+D35</f>
        <v>2899968</v>
      </c>
    </row>
    <row r="37" spans="1:4" s="198" customFormat="1" ht="12" customHeight="1" thickBot="1">
      <c r="A37" s="430" t="s">
        <v>22</v>
      </c>
      <c r="B37" s="19" t="s">
        <v>405</v>
      </c>
      <c r="C37" s="544">
        <f>+C38+C39+C40</f>
        <v>54823559</v>
      </c>
      <c r="D37" s="544">
        <f>+D38+D39+D40</f>
        <v>54823559</v>
      </c>
    </row>
    <row r="38" spans="1:4" s="198" customFormat="1" ht="12" customHeight="1">
      <c r="A38" s="426" t="s">
        <v>406</v>
      </c>
      <c r="B38" s="427" t="s">
        <v>226</v>
      </c>
      <c r="C38" s="20"/>
      <c r="D38" s="20"/>
    </row>
    <row r="39" spans="1:4" s="198" customFormat="1" ht="12" customHeight="1">
      <c r="A39" s="426" t="s">
        <v>407</v>
      </c>
      <c r="B39" s="428" t="s">
        <v>0</v>
      </c>
      <c r="C39" s="542"/>
      <c r="D39" s="542"/>
    </row>
    <row r="40" spans="1:4" s="200" customFormat="1" ht="12" customHeight="1" thickBot="1">
      <c r="A40" s="425" t="s">
        <v>408</v>
      </c>
      <c r="B40" s="429" t="s">
        <v>409</v>
      </c>
      <c r="C40" s="21">
        <v>54823559</v>
      </c>
      <c r="D40" s="21">
        <f>54823559</f>
        <v>54823559</v>
      </c>
    </row>
    <row r="41" spans="1:4" s="200" customFormat="1" ht="15" customHeight="1" thickBot="1">
      <c r="A41" s="430" t="s">
        <v>23</v>
      </c>
      <c r="B41" s="431" t="s">
        <v>410</v>
      </c>
      <c r="C41" s="545">
        <f>+C36+C37</f>
        <v>57723527</v>
      </c>
      <c r="D41" s="545">
        <f>+D36+D37</f>
        <v>57723527</v>
      </c>
    </row>
    <row r="42" spans="1:4" s="200" customFormat="1" ht="15" customHeight="1">
      <c r="A42" s="22"/>
      <c r="B42" s="23"/>
      <c r="C42" s="24"/>
      <c r="D42" s="24"/>
    </row>
    <row r="43" spans="1:4" ht="13.5" thickBot="1">
      <c r="A43" s="432"/>
      <c r="B43" s="433"/>
      <c r="C43" s="546"/>
      <c r="D43" s="546"/>
    </row>
    <row r="44" spans="1:4" s="108" customFormat="1" ht="16.5" customHeight="1" thickBot="1">
      <c r="A44" s="25"/>
      <c r="B44" s="26" t="s">
        <v>52</v>
      </c>
      <c r="C44" s="545"/>
      <c r="D44" s="545"/>
    </row>
    <row r="45" spans="1:4" s="208" customFormat="1" ht="12" customHeight="1" thickBot="1">
      <c r="A45" s="367" t="s">
        <v>14</v>
      </c>
      <c r="B45" s="19" t="s">
        <v>411</v>
      </c>
      <c r="C45" s="536">
        <f>SUM(C46:C50)</f>
        <v>55210527</v>
      </c>
      <c r="D45" s="536">
        <f>SUM(D46:D50)</f>
        <v>55210527</v>
      </c>
    </row>
    <row r="46" spans="1:4" ht="12" customHeight="1">
      <c r="A46" s="425" t="s">
        <v>93</v>
      </c>
      <c r="B46" s="18" t="s">
        <v>44</v>
      </c>
      <c r="C46" s="20">
        <v>21392976</v>
      </c>
      <c r="D46" s="20">
        <v>21392976</v>
      </c>
    </row>
    <row r="47" spans="1:4" ht="12" customHeight="1">
      <c r="A47" s="425" t="s">
        <v>94</v>
      </c>
      <c r="B47" s="16" t="s">
        <v>172</v>
      </c>
      <c r="C47" s="27">
        <v>4668631</v>
      </c>
      <c r="D47" s="27">
        <v>4668631</v>
      </c>
    </row>
    <row r="48" spans="1:4" ht="12" customHeight="1">
      <c r="A48" s="425" t="s">
        <v>95</v>
      </c>
      <c r="B48" s="16" t="s">
        <v>131</v>
      </c>
      <c r="C48" s="27">
        <v>29148920</v>
      </c>
      <c r="D48" s="27">
        <v>29148920</v>
      </c>
    </row>
    <row r="49" spans="1:4" ht="12" customHeight="1">
      <c r="A49" s="425" t="s">
        <v>96</v>
      </c>
      <c r="B49" s="16" t="s">
        <v>173</v>
      </c>
      <c r="C49" s="27"/>
      <c r="D49" s="27"/>
    </row>
    <row r="50" spans="1:4" ht="12" customHeight="1" thickBot="1">
      <c r="A50" s="425" t="s">
        <v>139</v>
      </c>
      <c r="B50" s="16" t="s">
        <v>174</v>
      </c>
      <c r="C50" s="27"/>
      <c r="D50" s="27"/>
    </row>
    <row r="51" spans="1:4" ht="12" customHeight="1" thickBot="1">
      <c r="A51" s="367" t="s">
        <v>15</v>
      </c>
      <c r="B51" s="19" t="s">
        <v>412</v>
      </c>
      <c r="C51" s="536">
        <f>SUM(C52:C54)</f>
        <v>2513000</v>
      </c>
      <c r="D51" s="536">
        <f>SUM(D52:D54)</f>
        <v>2513000</v>
      </c>
    </row>
    <row r="52" spans="1:4" s="208" customFormat="1" ht="12" customHeight="1">
      <c r="A52" s="425" t="s">
        <v>99</v>
      </c>
      <c r="B52" s="18" t="s">
        <v>217</v>
      </c>
      <c r="C52" s="20">
        <v>2513000</v>
      </c>
      <c r="D52" s="20">
        <v>2513000</v>
      </c>
    </row>
    <row r="53" spans="1:4" ht="12" customHeight="1">
      <c r="A53" s="425" t="s">
        <v>100</v>
      </c>
      <c r="B53" s="16" t="s">
        <v>176</v>
      </c>
      <c r="C53" s="27"/>
      <c r="D53" s="27"/>
    </row>
    <row r="54" spans="1:4" ht="12" customHeight="1">
      <c r="A54" s="425" t="s">
        <v>101</v>
      </c>
      <c r="B54" s="16" t="s">
        <v>53</v>
      </c>
      <c r="C54" s="27"/>
      <c r="D54" s="27"/>
    </row>
    <row r="55" spans="1:4" ht="12" customHeight="1" thickBot="1">
      <c r="A55" s="425" t="s">
        <v>102</v>
      </c>
      <c r="B55" s="16" t="s">
        <v>515</v>
      </c>
      <c r="C55" s="27"/>
      <c r="D55" s="27"/>
    </row>
    <row r="56" spans="1:4" ht="15" customHeight="1" thickBot="1">
      <c r="A56" s="367" t="s">
        <v>16</v>
      </c>
      <c r="B56" s="19" t="s">
        <v>10</v>
      </c>
      <c r="C56" s="541"/>
      <c r="D56" s="541"/>
    </row>
    <row r="57" spans="1:4" ht="13.5" thickBot="1">
      <c r="A57" s="367" t="s">
        <v>17</v>
      </c>
      <c r="B57" s="434" t="s">
        <v>520</v>
      </c>
      <c r="C57" s="547">
        <f>+C45+C51+C56</f>
        <v>57723527</v>
      </c>
      <c r="D57" s="547">
        <f>+D45+D51+D56</f>
        <v>57723527</v>
      </c>
    </row>
    <row r="58" spans="1:4" ht="15" customHeight="1" thickBot="1">
      <c r="C58" s="29"/>
      <c r="D58" s="29"/>
    </row>
    <row r="59" spans="1:4" ht="14.25" customHeight="1" thickBot="1">
      <c r="A59" s="30" t="s">
        <v>510</v>
      </c>
      <c r="B59" s="31"/>
      <c r="C59" s="32">
        <v>3.25</v>
      </c>
      <c r="D59" s="32">
        <v>3.25</v>
      </c>
    </row>
    <row r="60" spans="1:4" ht="13.5" thickBot="1">
      <c r="A60" s="30" t="s">
        <v>194</v>
      </c>
      <c r="B60" s="31"/>
      <c r="C60" s="32"/>
      <c r="D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A49" zoomScaleNormal="100" workbookViewId="0">
      <selection activeCell="B19" sqref="B19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tr">
        <f>+CONCATENATE("9.3.2. melléklet a ……/",LEFT([1]ÖSSZEFÜGGÉSEK!E5,4),". (….) önkormányzati rendelethez")</f>
        <v>9.3.2. melléklet a ……/. (….) önkormányzati rendelethez</v>
      </c>
      <c r="C1" s="421"/>
      <c r="D1" s="421"/>
    </row>
    <row r="2" spans="1:4" s="104" customFormat="1" ht="32.25" customHeight="1">
      <c r="A2" s="2" t="s">
        <v>192</v>
      </c>
      <c r="B2" s="3" t="s">
        <v>538</v>
      </c>
      <c r="C2" s="533" t="s">
        <v>55</v>
      </c>
      <c r="D2" s="533" t="s">
        <v>55</v>
      </c>
    </row>
    <row r="3" spans="1:4" s="104" customFormat="1" ht="24.75" thickBot="1">
      <c r="A3" s="422" t="s">
        <v>191</v>
      </c>
      <c r="B3" s="4" t="s">
        <v>414</v>
      </c>
      <c r="C3" s="534" t="s">
        <v>55</v>
      </c>
      <c r="D3" s="534" t="s">
        <v>55</v>
      </c>
    </row>
    <row r="4" spans="1:4" s="107" customFormat="1" ht="15.95" customHeight="1" thickBot="1">
      <c r="A4" s="5"/>
      <c r="B4" s="5"/>
      <c r="C4" s="6" t="s">
        <v>589</v>
      </c>
      <c r="D4" s="6" t="s">
        <v>589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0</v>
      </c>
      <c r="D8" s="536">
        <f>SUM(D9:D19)</f>
        <v>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/>
      <c r="D11" s="538"/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/>
      <c r="D16" s="539"/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/>
      <c r="D19" s="540"/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516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400</v>
      </c>
      <c r="C26" s="536">
        <f>+C27+C28</f>
        <v>0</v>
      </c>
      <c r="D26" s="536">
        <f>+D27+D28</f>
        <v>0</v>
      </c>
    </row>
    <row r="27" spans="1:4" s="200" customFormat="1" ht="12" customHeight="1">
      <c r="A27" s="426" t="s">
        <v>257</v>
      </c>
      <c r="B27" s="427" t="s">
        <v>398</v>
      </c>
      <c r="C27" s="20"/>
      <c r="D27" s="20"/>
    </row>
    <row r="28" spans="1:4" s="200" customFormat="1" ht="12" customHeight="1">
      <c r="A28" s="426" t="s">
        <v>260</v>
      </c>
      <c r="B28" s="428" t="s">
        <v>401</v>
      </c>
      <c r="C28" s="542"/>
      <c r="D28" s="542"/>
    </row>
    <row r="29" spans="1:4" s="200" customFormat="1" ht="12" customHeight="1" thickBot="1">
      <c r="A29" s="425" t="s">
        <v>261</v>
      </c>
      <c r="B29" s="429" t="s">
        <v>517</v>
      </c>
      <c r="C29" s="21"/>
      <c r="D29" s="21"/>
    </row>
    <row r="30" spans="1:4" s="200" customFormat="1" ht="12" customHeight="1" thickBot="1">
      <c r="A30" s="367" t="s">
        <v>18</v>
      </c>
      <c r="B30" s="19" t="s">
        <v>402</v>
      </c>
      <c r="C30" s="536">
        <f>+C31+C32+C33</f>
        <v>0</v>
      </c>
      <c r="D30" s="536">
        <f>+D31+D32+D33</f>
        <v>0</v>
      </c>
    </row>
    <row r="31" spans="1:4" s="200" customFormat="1" ht="12" customHeight="1">
      <c r="A31" s="426" t="s">
        <v>86</v>
      </c>
      <c r="B31" s="427" t="s">
        <v>284</v>
      </c>
      <c r="C31" s="20"/>
      <c r="D31" s="20"/>
    </row>
    <row r="32" spans="1:4" s="200" customFormat="1" ht="12" customHeight="1">
      <c r="A32" s="426" t="s">
        <v>87</v>
      </c>
      <c r="B32" s="428" t="s">
        <v>285</v>
      </c>
      <c r="C32" s="542"/>
      <c r="D32" s="542"/>
    </row>
    <row r="33" spans="1:4" s="200" customFormat="1" ht="12" customHeight="1" thickBot="1">
      <c r="A33" s="425" t="s">
        <v>88</v>
      </c>
      <c r="B33" s="429" t="s">
        <v>286</v>
      </c>
      <c r="C33" s="21"/>
      <c r="D33" s="21"/>
    </row>
    <row r="34" spans="1:4" s="198" customFormat="1" ht="12" customHeight="1" thickBot="1">
      <c r="A34" s="367" t="s">
        <v>19</v>
      </c>
      <c r="B34" s="19" t="s">
        <v>371</v>
      </c>
      <c r="C34" s="541"/>
      <c r="D34" s="541"/>
    </row>
    <row r="35" spans="1:4" s="198" customFormat="1" ht="12" customHeight="1" thickBot="1">
      <c r="A35" s="367" t="s">
        <v>20</v>
      </c>
      <c r="B35" s="19" t="s">
        <v>403</v>
      </c>
      <c r="C35" s="543"/>
      <c r="D35" s="543"/>
    </row>
    <row r="36" spans="1:4" s="198" customFormat="1" ht="12" customHeight="1" thickBot="1">
      <c r="A36" s="10" t="s">
        <v>21</v>
      </c>
      <c r="B36" s="19" t="s">
        <v>518</v>
      </c>
      <c r="C36" s="544">
        <f>+C8+C20+C25+C26+C30+C34+C35</f>
        <v>0</v>
      </c>
      <c r="D36" s="544">
        <f>+D8+D20+D25+D26+D30+D34+D35</f>
        <v>0</v>
      </c>
    </row>
    <row r="37" spans="1:4" s="198" customFormat="1" ht="12" customHeight="1" thickBot="1">
      <c r="A37" s="430" t="s">
        <v>22</v>
      </c>
      <c r="B37" s="19" t="s">
        <v>405</v>
      </c>
      <c r="C37" s="544">
        <f>+C38+C39+C40</f>
        <v>0</v>
      </c>
      <c r="D37" s="544">
        <f>+D38+D39+D40</f>
        <v>0</v>
      </c>
    </row>
    <row r="38" spans="1:4" s="198" customFormat="1" ht="12" customHeight="1">
      <c r="A38" s="426" t="s">
        <v>406</v>
      </c>
      <c r="B38" s="427" t="s">
        <v>226</v>
      </c>
      <c r="C38" s="20"/>
      <c r="D38" s="20"/>
    </row>
    <row r="39" spans="1:4" s="198" customFormat="1" ht="12" customHeight="1">
      <c r="A39" s="426" t="s">
        <v>407</v>
      </c>
      <c r="B39" s="428" t="s">
        <v>0</v>
      </c>
      <c r="C39" s="542"/>
      <c r="D39" s="542"/>
    </row>
    <row r="40" spans="1:4" s="200" customFormat="1" ht="12" customHeight="1" thickBot="1">
      <c r="A40" s="425" t="s">
        <v>408</v>
      </c>
      <c r="B40" s="429" t="s">
        <v>409</v>
      </c>
      <c r="C40" s="21"/>
      <c r="D40" s="21"/>
    </row>
    <row r="41" spans="1:4" s="200" customFormat="1" ht="15" customHeight="1" thickBot="1">
      <c r="A41" s="430" t="s">
        <v>23</v>
      </c>
      <c r="B41" s="431" t="s">
        <v>410</v>
      </c>
      <c r="C41" s="545">
        <f>+C36+C37</f>
        <v>0</v>
      </c>
      <c r="D41" s="545">
        <f>+D36+D37</f>
        <v>0</v>
      </c>
    </row>
    <row r="42" spans="1:4" s="200" customFormat="1" ht="15" customHeight="1">
      <c r="A42" s="22"/>
      <c r="B42" s="23"/>
      <c r="C42" s="24"/>
      <c r="D42" s="24"/>
    </row>
    <row r="43" spans="1:4" ht="13.5" thickBot="1">
      <c r="A43" s="432"/>
      <c r="B43" s="433"/>
      <c r="C43" s="546"/>
      <c r="D43" s="546"/>
    </row>
    <row r="44" spans="1:4" s="108" customFormat="1" ht="16.5" customHeight="1" thickBot="1">
      <c r="A44" s="25"/>
      <c r="B44" s="26" t="s">
        <v>52</v>
      </c>
      <c r="C44" s="545"/>
      <c r="D44" s="545"/>
    </row>
    <row r="45" spans="1:4" s="208" customFormat="1" ht="12" customHeight="1" thickBot="1">
      <c r="A45" s="367" t="s">
        <v>14</v>
      </c>
      <c r="B45" s="19" t="s">
        <v>411</v>
      </c>
      <c r="C45" s="536">
        <f>SUM(C46:C50)</f>
        <v>0</v>
      </c>
      <c r="D45" s="536">
        <f>SUM(D46:D50)</f>
        <v>0</v>
      </c>
    </row>
    <row r="46" spans="1:4" ht="12" customHeight="1">
      <c r="A46" s="425" t="s">
        <v>93</v>
      </c>
      <c r="B46" s="18" t="s">
        <v>44</v>
      </c>
      <c r="C46" s="20"/>
      <c r="D46" s="20"/>
    </row>
    <row r="47" spans="1:4" ht="12" customHeight="1">
      <c r="A47" s="425" t="s">
        <v>94</v>
      </c>
      <c r="B47" s="16" t="s">
        <v>172</v>
      </c>
      <c r="C47" s="27"/>
      <c r="D47" s="27"/>
    </row>
    <row r="48" spans="1:4" ht="12" customHeight="1">
      <c r="A48" s="425" t="s">
        <v>95</v>
      </c>
      <c r="B48" s="16" t="s">
        <v>131</v>
      </c>
      <c r="C48" s="27"/>
      <c r="D48" s="27"/>
    </row>
    <row r="49" spans="1:4" ht="12" customHeight="1">
      <c r="A49" s="425" t="s">
        <v>96</v>
      </c>
      <c r="B49" s="16" t="s">
        <v>173</v>
      </c>
      <c r="C49" s="27"/>
      <c r="D49" s="27"/>
    </row>
    <row r="50" spans="1:4" ht="12" customHeight="1" thickBot="1">
      <c r="A50" s="425" t="s">
        <v>139</v>
      </c>
      <c r="B50" s="16" t="s">
        <v>174</v>
      </c>
      <c r="C50" s="27"/>
      <c r="D50" s="27"/>
    </row>
    <row r="51" spans="1:4" ht="12" customHeight="1" thickBot="1">
      <c r="A51" s="367" t="s">
        <v>15</v>
      </c>
      <c r="B51" s="19" t="s">
        <v>412</v>
      </c>
      <c r="C51" s="536">
        <f>SUM(C52:C54)</f>
        <v>0</v>
      </c>
      <c r="D51" s="536">
        <f>SUM(D52:D54)</f>
        <v>0</v>
      </c>
    </row>
    <row r="52" spans="1:4" s="208" customFormat="1" ht="12" customHeight="1">
      <c r="A52" s="425" t="s">
        <v>99</v>
      </c>
      <c r="B52" s="18" t="s">
        <v>217</v>
      </c>
      <c r="C52" s="20"/>
      <c r="D52" s="20"/>
    </row>
    <row r="53" spans="1:4" ht="12" customHeight="1">
      <c r="A53" s="425" t="s">
        <v>100</v>
      </c>
      <c r="B53" s="16" t="s">
        <v>176</v>
      </c>
      <c r="C53" s="27"/>
      <c r="D53" s="27"/>
    </row>
    <row r="54" spans="1:4" ht="12" customHeight="1">
      <c r="A54" s="425" t="s">
        <v>101</v>
      </c>
      <c r="B54" s="16" t="s">
        <v>53</v>
      </c>
      <c r="C54" s="27"/>
      <c r="D54" s="27"/>
    </row>
    <row r="55" spans="1:4" ht="12" customHeight="1" thickBot="1">
      <c r="A55" s="425" t="s">
        <v>102</v>
      </c>
      <c r="B55" s="16" t="s">
        <v>515</v>
      </c>
      <c r="C55" s="27"/>
      <c r="D55" s="27"/>
    </row>
    <row r="56" spans="1:4" ht="15" customHeight="1" thickBot="1">
      <c r="A56" s="367" t="s">
        <v>16</v>
      </c>
      <c r="B56" s="19" t="s">
        <v>10</v>
      </c>
      <c r="C56" s="541"/>
      <c r="D56" s="541"/>
    </row>
    <row r="57" spans="1:4" ht="13.5" thickBot="1">
      <c r="A57" s="367" t="s">
        <v>17</v>
      </c>
      <c r="B57" s="434" t="s">
        <v>520</v>
      </c>
      <c r="C57" s="547">
        <f>+C45+C51+C56</f>
        <v>0</v>
      </c>
      <c r="D57" s="547">
        <f>+D45+D51+D56</f>
        <v>0</v>
      </c>
    </row>
    <row r="58" spans="1:4" ht="15" customHeight="1" thickBot="1">
      <c r="C58" s="29"/>
      <c r="D58" s="29"/>
    </row>
    <row r="59" spans="1:4" ht="14.25" customHeight="1" thickBot="1">
      <c r="A59" s="30" t="s">
        <v>510</v>
      </c>
      <c r="B59" s="31"/>
      <c r="C59" s="32"/>
      <c r="D59" s="32"/>
    </row>
    <row r="60" spans="1:4" ht="13.5" thickBot="1">
      <c r="A60" s="30" t="s">
        <v>194</v>
      </c>
      <c r="B60" s="31"/>
      <c r="C60" s="32"/>
      <c r="D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D60"/>
  <sheetViews>
    <sheetView topLeftCell="B1" zoomScaleNormal="100" workbookViewId="0">
      <selection activeCell="B14" sqref="B14"/>
    </sheetView>
  </sheetViews>
  <sheetFormatPr defaultRowHeight="12.75"/>
  <cols>
    <col min="1" max="1" width="13.83203125" style="28" customWidth="1"/>
    <col min="2" max="2" width="79.1640625" style="9" customWidth="1"/>
    <col min="3" max="4" width="25" style="9" customWidth="1"/>
    <col min="5" max="16384" width="9.33203125" style="9"/>
  </cols>
  <sheetData>
    <row r="1" spans="1:4" s="101" customFormat="1" ht="21" customHeight="1" thickBot="1">
      <c r="A1" s="1"/>
      <c r="B1" s="421" t="str">
        <f>+CONCATENATE("9.3.3. melléklet a ……/",LEFT([1]ÖSSZEFÜGGÉSEK!E5,4),". (….) önkormányzati rendelethez")</f>
        <v>9.3.3. melléklet a ……/. (….) önkormányzati rendelethez</v>
      </c>
      <c r="C1" s="421"/>
      <c r="D1" s="421"/>
    </row>
    <row r="2" spans="1:4" s="104" customFormat="1" ht="33" customHeight="1">
      <c r="A2" s="2" t="s">
        <v>192</v>
      </c>
      <c r="B2" s="3" t="s">
        <v>538</v>
      </c>
      <c r="C2" s="533" t="s">
        <v>55</v>
      </c>
      <c r="D2" s="533" t="s">
        <v>55</v>
      </c>
    </row>
    <row r="3" spans="1:4" s="104" customFormat="1" ht="24.75" thickBot="1">
      <c r="A3" s="422" t="s">
        <v>191</v>
      </c>
      <c r="B3" s="4" t="s">
        <v>521</v>
      </c>
      <c r="C3" s="534" t="s">
        <v>425</v>
      </c>
      <c r="D3" s="534" t="s">
        <v>425</v>
      </c>
    </row>
    <row r="4" spans="1:4" s="107" customFormat="1" ht="15.95" customHeight="1" thickBot="1">
      <c r="A4" s="5"/>
      <c r="B4" s="5"/>
      <c r="C4" s="6" t="s">
        <v>589</v>
      </c>
      <c r="D4" s="6" t="s">
        <v>589</v>
      </c>
    </row>
    <row r="5" spans="1:4" ht="24.75" thickBot="1">
      <c r="A5" s="7" t="s">
        <v>193</v>
      </c>
      <c r="B5" s="8" t="s">
        <v>50</v>
      </c>
      <c r="C5" s="625" t="s">
        <v>692</v>
      </c>
      <c r="D5" s="625" t="s">
        <v>717</v>
      </c>
    </row>
    <row r="6" spans="1:4" s="108" customFormat="1" ht="12.95" customHeight="1" thickBot="1">
      <c r="A6" s="10" t="s">
        <v>483</v>
      </c>
      <c r="B6" s="11" t="s">
        <v>484</v>
      </c>
      <c r="C6" s="12" t="s">
        <v>485</v>
      </c>
      <c r="D6" s="12" t="s">
        <v>485</v>
      </c>
    </row>
    <row r="7" spans="1:4" s="108" customFormat="1" ht="15.95" customHeight="1" thickBot="1">
      <c r="A7" s="13"/>
      <c r="B7" s="14" t="s">
        <v>51</v>
      </c>
      <c r="C7" s="535"/>
      <c r="D7" s="535"/>
    </row>
    <row r="8" spans="1:4" s="198" customFormat="1" ht="12" customHeight="1" thickBot="1">
      <c r="A8" s="10" t="s">
        <v>14</v>
      </c>
      <c r="B8" s="423" t="s">
        <v>511</v>
      </c>
      <c r="C8" s="536">
        <f>SUM(C9:C19)</f>
        <v>0</v>
      </c>
      <c r="D8" s="536">
        <f>SUM(D9:D19)</f>
        <v>0</v>
      </c>
    </row>
    <row r="9" spans="1:4" s="198" customFormat="1" ht="12" customHeight="1">
      <c r="A9" s="424" t="s">
        <v>93</v>
      </c>
      <c r="B9" s="15" t="s">
        <v>270</v>
      </c>
      <c r="C9" s="537"/>
      <c r="D9" s="537"/>
    </row>
    <row r="10" spans="1:4" s="198" customFormat="1" ht="12" customHeight="1">
      <c r="A10" s="425" t="s">
        <v>94</v>
      </c>
      <c r="B10" s="16" t="s">
        <v>271</v>
      </c>
      <c r="C10" s="538"/>
      <c r="D10" s="538"/>
    </row>
    <row r="11" spans="1:4" s="198" customFormat="1" ht="12" customHeight="1">
      <c r="A11" s="425" t="s">
        <v>95</v>
      </c>
      <c r="B11" s="16" t="s">
        <v>272</v>
      </c>
      <c r="C11" s="538"/>
      <c r="D11" s="538"/>
    </row>
    <row r="12" spans="1:4" s="198" customFormat="1" ht="12" customHeight="1">
      <c r="A12" s="425" t="s">
        <v>96</v>
      </c>
      <c r="B12" s="16" t="s">
        <v>273</v>
      </c>
      <c r="C12" s="538"/>
      <c r="D12" s="538"/>
    </row>
    <row r="13" spans="1:4" s="198" customFormat="1" ht="12" customHeight="1">
      <c r="A13" s="425" t="s">
        <v>139</v>
      </c>
      <c r="B13" s="16" t="s">
        <v>274</v>
      </c>
      <c r="C13" s="538"/>
      <c r="D13" s="538"/>
    </row>
    <row r="14" spans="1:4" s="198" customFormat="1" ht="12" customHeight="1">
      <c r="A14" s="425" t="s">
        <v>97</v>
      </c>
      <c r="B14" s="16" t="s">
        <v>395</v>
      </c>
      <c r="C14" s="538"/>
      <c r="D14" s="538"/>
    </row>
    <row r="15" spans="1:4" s="198" customFormat="1" ht="12" customHeight="1">
      <c r="A15" s="425" t="s">
        <v>98</v>
      </c>
      <c r="B15" s="17" t="s">
        <v>396</v>
      </c>
      <c r="C15" s="538"/>
      <c r="D15" s="538"/>
    </row>
    <row r="16" spans="1:4" s="198" customFormat="1" ht="12" customHeight="1">
      <c r="A16" s="425" t="s">
        <v>108</v>
      </c>
      <c r="B16" s="16" t="s">
        <v>277</v>
      </c>
      <c r="C16" s="539"/>
      <c r="D16" s="539"/>
    </row>
    <row r="17" spans="1:4" s="200" customFormat="1" ht="12" customHeight="1">
      <c r="A17" s="425" t="s">
        <v>109</v>
      </c>
      <c r="B17" s="16" t="s">
        <v>278</v>
      </c>
      <c r="C17" s="538"/>
      <c r="D17" s="538"/>
    </row>
    <row r="18" spans="1:4" s="200" customFormat="1" ht="12" customHeight="1">
      <c r="A18" s="425" t="s">
        <v>110</v>
      </c>
      <c r="B18" s="16" t="s">
        <v>430</v>
      </c>
      <c r="C18" s="540"/>
      <c r="D18" s="540"/>
    </row>
    <row r="19" spans="1:4" s="200" customFormat="1" ht="12" customHeight="1" thickBot="1">
      <c r="A19" s="425" t="s">
        <v>111</v>
      </c>
      <c r="B19" s="17" t="s">
        <v>279</v>
      </c>
      <c r="C19" s="540"/>
      <c r="D19" s="540"/>
    </row>
    <row r="20" spans="1:4" s="198" customFormat="1" ht="12" customHeight="1" thickBot="1">
      <c r="A20" s="10" t="s">
        <v>15</v>
      </c>
      <c r="B20" s="423" t="s">
        <v>397</v>
      </c>
      <c r="C20" s="536">
        <f>SUM(C21:C23)</f>
        <v>0</v>
      </c>
      <c r="D20" s="536">
        <f>SUM(D21:D23)</f>
        <v>0</v>
      </c>
    </row>
    <row r="21" spans="1:4" s="200" customFormat="1" ht="12" customHeight="1">
      <c r="A21" s="425" t="s">
        <v>99</v>
      </c>
      <c r="B21" s="18" t="s">
        <v>247</v>
      </c>
      <c r="C21" s="538"/>
      <c r="D21" s="538"/>
    </row>
    <row r="22" spans="1:4" s="200" customFormat="1" ht="12" customHeight="1">
      <c r="A22" s="425" t="s">
        <v>100</v>
      </c>
      <c r="B22" s="16" t="s">
        <v>398</v>
      </c>
      <c r="C22" s="538"/>
      <c r="D22" s="538"/>
    </row>
    <row r="23" spans="1:4" s="200" customFormat="1" ht="12" customHeight="1">
      <c r="A23" s="425" t="s">
        <v>101</v>
      </c>
      <c r="B23" s="16" t="s">
        <v>399</v>
      </c>
      <c r="C23" s="538"/>
      <c r="D23" s="538"/>
    </row>
    <row r="24" spans="1:4" s="200" customFormat="1" ht="12" customHeight="1" thickBot="1">
      <c r="A24" s="425" t="s">
        <v>102</v>
      </c>
      <c r="B24" s="16" t="s">
        <v>516</v>
      </c>
      <c r="C24" s="538"/>
      <c r="D24" s="538"/>
    </row>
    <row r="25" spans="1:4" s="200" customFormat="1" ht="12" customHeight="1" thickBot="1">
      <c r="A25" s="367" t="s">
        <v>16</v>
      </c>
      <c r="B25" s="19" t="s">
        <v>163</v>
      </c>
      <c r="C25" s="541"/>
      <c r="D25" s="541"/>
    </row>
    <row r="26" spans="1:4" s="200" customFormat="1" ht="12" customHeight="1" thickBot="1">
      <c r="A26" s="367" t="s">
        <v>17</v>
      </c>
      <c r="B26" s="19" t="s">
        <v>400</v>
      </c>
      <c r="C26" s="536">
        <f>+C27+C28</f>
        <v>0</v>
      </c>
      <c r="D26" s="536">
        <f>+D27+D28</f>
        <v>0</v>
      </c>
    </row>
    <row r="27" spans="1:4" s="200" customFormat="1" ht="12" customHeight="1">
      <c r="A27" s="426" t="s">
        <v>257</v>
      </c>
      <c r="B27" s="427" t="s">
        <v>398</v>
      </c>
      <c r="C27" s="20"/>
      <c r="D27" s="20"/>
    </row>
    <row r="28" spans="1:4" s="200" customFormat="1" ht="12" customHeight="1">
      <c r="A28" s="426" t="s">
        <v>260</v>
      </c>
      <c r="B28" s="428" t="s">
        <v>401</v>
      </c>
      <c r="C28" s="542"/>
      <c r="D28" s="542"/>
    </row>
    <row r="29" spans="1:4" s="200" customFormat="1" ht="12" customHeight="1" thickBot="1">
      <c r="A29" s="425" t="s">
        <v>261</v>
      </c>
      <c r="B29" s="429" t="s">
        <v>517</v>
      </c>
      <c r="C29" s="21"/>
      <c r="D29" s="21"/>
    </row>
    <row r="30" spans="1:4" s="200" customFormat="1" ht="12" customHeight="1" thickBot="1">
      <c r="A30" s="367" t="s">
        <v>18</v>
      </c>
      <c r="B30" s="19" t="s">
        <v>402</v>
      </c>
      <c r="C30" s="536">
        <f>+C31+C32+C33</f>
        <v>0</v>
      </c>
      <c r="D30" s="536">
        <f>+D31+D32+D33</f>
        <v>0</v>
      </c>
    </row>
    <row r="31" spans="1:4" s="200" customFormat="1" ht="12" customHeight="1">
      <c r="A31" s="426" t="s">
        <v>86</v>
      </c>
      <c r="B31" s="427" t="s">
        <v>284</v>
      </c>
      <c r="C31" s="20"/>
      <c r="D31" s="20"/>
    </row>
    <row r="32" spans="1:4" s="200" customFormat="1" ht="12" customHeight="1">
      <c r="A32" s="426" t="s">
        <v>87</v>
      </c>
      <c r="B32" s="428" t="s">
        <v>285</v>
      </c>
      <c r="C32" s="542"/>
      <c r="D32" s="542"/>
    </row>
    <row r="33" spans="1:4" s="200" customFormat="1" ht="12" customHeight="1" thickBot="1">
      <c r="A33" s="425" t="s">
        <v>88</v>
      </c>
      <c r="B33" s="429" t="s">
        <v>286</v>
      </c>
      <c r="C33" s="21"/>
      <c r="D33" s="21"/>
    </row>
    <row r="34" spans="1:4" s="198" customFormat="1" ht="12" customHeight="1" thickBot="1">
      <c r="A34" s="367" t="s">
        <v>19</v>
      </c>
      <c r="B34" s="19" t="s">
        <v>371</v>
      </c>
      <c r="C34" s="541"/>
      <c r="D34" s="541"/>
    </row>
    <row r="35" spans="1:4" s="198" customFormat="1" ht="12" customHeight="1" thickBot="1">
      <c r="A35" s="367" t="s">
        <v>20</v>
      </c>
      <c r="B35" s="19" t="s">
        <v>403</v>
      </c>
      <c r="C35" s="543"/>
      <c r="D35" s="543"/>
    </row>
    <row r="36" spans="1:4" s="198" customFormat="1" ht="12" customHeight="1" thickBot="1">
      <c r="A36" s="10" t="s">
        <v>21</v>
      </c>
      <c r="B36" s="19" t="s">
        <v>518</v>
      </c>
      <c r="C36" s="544">
        <f>+C8+C20+C25+C26+C30+C34+C35</f>
        <v>0</v>
      </c>
      <c r="D36" s="544">
        <f>+D8+D20+D25+D26+D30+D34+D35</f>
        <v>0</v>
      </c>
    </row>
    <row r="37" spans="1:4" s="198" customFormat="1" ht="12" customHeight="1" thickBot="1">
      <c r="A37" s="430" t="s">
        <v>22</v>
      </c>
      <c r="B37" s="19" t="s">
        <v>405</v>
      </c>
      <c r="C37" s="544">
        <f>+C38+C39+C40</f>
        <v>0</v>
      </c>
      <c r="D37" s="544">
        <f>+D38+D39+D40</f>
        <v>0</v>
      </c>
    </row>
    <row r="38" spans="1:4" s="198" customFormat="1" ht="12" customHeight="1">
      <c r="A38" s="426" t="s">
        <v>406</v>
      </c>
      <c r="B38" s="427" t="s">
        <v>226</v>
      </c>
      <c r="C38" s="20"/>
      <c r="D38" s="20"/>
    </row>
    <row r="39" spans="1:4" s="198" customFormat="1" ht="12" customHeight="1">
      <c r="A39" s="426" t="s">
        <v>407</v>
      </c>
      <c r="B39" s="428" t="s">
        <v>0</v>
      </c>
      <c r="C39" s="542"/>
      <c r="D39" s="542"/>
    </row>
    <row r="40" spans="1:4" s="200" customFormat="1" ht="12" customHeight="1" thickBot="1">
      <c r="A40" s="425" t="s">
        <v>408</v>
      </c>
      <c r="B40" s="429" t="s">
        <v>409</v>
      </c>
      <c r="C40" s="21"/>
      <c r="D40" s="21"/>
    </row>
    <row r="41" spans="1:4" s="200" customFormat="1" ht="15" customHeight="1" thickBot="1">
      <c r="A41" s="430" t="s">
        <v>23</v>
      </c>
      <c r="B41" s="431" t="s">
        <v>410</v>
      </c>
      <c r="C41" s="545">
        <f>+C36+C37</f>
        <v>0</v>
      </c>
      <c r="D41" s="545">
        <f>+D36+D37</f>
        <v>0</v>
      </c>
    </row>
    <row r="42" spans="1:4" s="200" customFormat="1" ht="15" customHeight="1">
      <c r="A42" s="22"/>
      <c r="B42" s="23"/>
      <c r="C42" s="24"/>
      <c r="D42" s="24"/>
    </row>
    <row r="43" spans="1:4" ht="13.5" thickBot="1">
      <c r="A43" s="432"/>
      <c r="B43" s="433"/>
      <c r="C43" s="546"/>
      <c r="D43" s="546"/>
    </row>
    <row r="44" spans="1:4" s="108" customFormat="1" ht="16.5" customHeight="1" thickBot="1">
      <c r="A44" s="25"/>
      <c r="B44" s="26" t="s">
        <v>52</v>
      </c>
      <c r="C44" s="545"/>
      <c r="D44" s="545"/>
    </row>
    <row r="45" spans="1:4" s="208" customFormat="1" ht="12" customHeight="1" thickBot="1">
      <c r="A45" s="367" t="s">
        <v>14</v>
      </c>
      <c r="B45" s="19" t="s">
        <v>411</v>
      </c>
      <c r="C45" s="536">
        <f>SUM(C46:C50)</f>
        <v>0</v>
      </c>
      <c r="D45" s="536">
        <f>SUM(D46:D50)</f>
        <v>0</v>
      </c>
    </row>
    <row r="46" spans="1:4" ht="12" customHeight="1">
      <c r="A46" s="425" t="s">
        <v>93</v>
      </c>
      <c r="B46" s="18" t="s">
        <v>44</v>
      </c>
      <c r="C46" s="20"/>
      <c r="D46" s="20"/>
    </row>
    <row r="47" spans="1:4" ht="12" customHeight="1">
      <c r="A47" s="425" t="s">
        <v>94</v>
      </c>
      <c r="B47" s="16" t="s">
        <v>172</v>
      </c>
      <c r="C47" s="27"/>
      <c r="D47" s="27"/>
    </row>
    <row r="48" spans="1:4" ht="12" customHeight="1">
      <c r="A48" s="425" t="s">
        <v>95</v>
      </c>
      <c r="B48" s="16" t="s">
        <v>131</v>
      </c>
      <c r="C48" s="27"/>
      <c r="D48" s="27"/>
    </row>
    <row r="49" spans="1:4" ht="12" customHeight="1">
      <c r="A49" s="425" t="s">
        <v>96</v>
      </c>
      <c r="B49" s="16" t="s">
        <v>173</v>
      </c>
      <c r="C49" s="27"/>
      <c r="D49" s="27"/>
    </row>
    <row r="50" spans="1:4" ht="12" customHeight="1" thickBot="1">
      <c r="A50" s="425" t="s">
        <v>139</v>
      </c>
      <c r="B50" s="16" t="s">
        <v>174</v>
      </c>
      <c r="C50" s="27"/>
      <c r="D50" s="27"/>
    </row>
    <row r="51" spans="1:4" ht="12" customHeight="1" thickBot="1">
      <c r="A51" s="367" t="s">
        <v>15</v>
      </c>
      <c r="B51" s="19" t="s">
        <v>412</v>
      </c>
      <c r="C51" s="536">
        <f>SUM(C52:C54)</f>
        <v>0</v>
      </c>
      <c r="D51" s="536">
        <f>SUM(D52:D54)</f>
        <v>0</v>
      </c>
    </row>
    <row r="52" spans="1:4" s="208" customFormat="1" ht="12" customHeight="1">
      <c r="A52" s="425" t="s">
        <v>99</v>
      </c>
      <c r="B52" s="18" t="s">
        <v>217</v>
      </c>
      <c r="C52" s="20"/>
      <c r="D52" s="20"/>
    </row>
    <row r="53" spans="1:4" ht="12" customHeight="1">
      <c r="A53" s="425" t="s">
        <v>100</v>
      </c>
      <c r="B53" s="16" t="s">
        <v>176</v>
      </c>
      <c r="C53" s="27"/>
      <c r="D53" s="27"/>
    </row>
    <row r="54" spans="1:4" ht="12" customHeight="1">
      <c r="A54" s="425" t="s">
        <v>101</v>
      </c>
      <c r="B54" s="16" t="s">
        <v>53</v>
      </c>
      <c r="C54" s="27"/>
      <c r="D54" s="27"/>
    </row>
    <row r="55" spans="1:4" ht="12" customHeight="1" thickBot="1">
      <c r="A55" s="425" t="s">
        <v>102</v>
      </c>
      <c r="B55" s="16" t="s">
        <v>515</v>
      </c>
      <c r="C55" s="27"/>
      <c r="D55" s="27"/>
    </row>
    <row r="56" spans="1:4" ht="15" customHeight="1" thickBot="1">
      <c r="A56" s="367" t="s">
        <v>16</v>
      </c>
      <c r="B56" s="19" t="s">
        <v>10</v>
      </c>
      <c r="C56" s="541"/>
      <c r="D56" s="541"/>
    </row>
    <row r="57" spans="1:4" ht="13.5" thickBot="1">
      <c r="A57" s="367" t="s">
        <v>17</v>
      </c>
      <c r="B57" s="434" t="s">
        <v>520</v>
      </c>
      <c r="C57" s="547">
        <f>+C45+C51+C56</f>
        <v>0</v>
      </c>
      <c r="D57" s="547">
        <f>+D45+D51+D56</f>
        <v>0</v>
      </c>
    </row>
    <row r="58" spans="1:4" ht="15" customHeight="1" thickBot="1">
      <c r="C58" s="29"/>
      <c r="D58" s="29"/>
    </row>
    <row r="59" spans="1:4" ht="14.25" customHeight="1" thickBot="1">
      <c r="A59" s="30" t="s">
        <v>510</v>
      </c>
      <c r="B59" s="31"/>
      <c r="C59" s="32"/>
      <c r="D59" s="32"/>
    </row>
    <row r="60" spans="1:4" ht="13.5" thickBot="1">
      <c r="A60" s="30" t="s">
        <v>194</v>
      </c>
      <c r="B60" s="31"/>
      <c r="C60" s="32"/>
      <c r="D60" s="3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tabSelected="1" view="pageLayout" zoomScaleNormal="100" workbookViewId="0">
      <selection activeCell="A8" sqref="A8"/>
    </sheetView>
  </sheetViews>
  <sheetFormatPr defaultRowHeight="12.75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43.5" customHeight="1">
      <c r="A1" s="753" t="s">
        <v>1</v>
      </c>
      <c r="B1" s="753"/>
      <c r="C1" s="753"/>
      <c r="D1" s="753"/>
      <c r="E1" s="753"/>
      <c r="F1" s="753"/>
      <c r="G1" s="753"/>
    </row>
    <row r="3" spans="1:7" s="268" customFormat="1" ht="27" customHeight="1">
      <c r="A3" s="266" t="s">
        <v>198</v>
      </c>
      <c r="B3" s="267"/>
      <c r="C3" s="752" t="s">
        <v>536</v>
      </c>
      <c r="D3" s="752"/>
      <c r="E3" s="752"/>
      <c r="F3" s="752"/>
      <c r="G3" s="752"/>
    </row>
    <row r="4" spans="1:7" s="268" customFormat="1" ht="15.75">
      <c r="A4" s="267"/>
      <c r="B4" s="267"/>
      <c r="C4" s="267"/>
      <c r="D4" s="267"/>
      <c r="E4" s="267"/>
      <c r="F4" s="267"/>
      <c r="G4" s="267"/>
    </row>
    <row r="5" spans="1:7" s="268" customFormat="1" ht="24.75" customHeight="1">
      <c r="A5" s="266" t="s">
        <v>199</v>
      </c>
      <c r="B5" s="267"/>
      <c r="C5" s="752" t="s">
        <v>553</v>
      </c>
      <c r="D5" s="752"/>
      <c r="E5" s="752"/>
      <c r="F5" s="752"/>
      <c r="G5" s="267"/>
    </row>
    <row r="6" spans="1:7" s="269" customFormat="1">
      <c r="A6"/>
      <c r="B6"/>
      <c r="C6"/>
      <c r="D6"/>
      <c r="E6"/>
      <c r="F6"/>
      <c r="G6"/>
    </row>
    <row r="7" spans="1:7" s="272" customFormat="1" ht="15" customHeight="1">
      <c r="A7" s="270" t="s">
        <v>712</v>
      </c>
      <c r="B7" s="271"/>
      <c r="C7" s="271"/>
    </row>
    <row r="8" spans="1:7" s="272" customFormat="1" ht="15" customHeight="1" thickBot="1">
      <c r="A8" s="270" t="s">
        <v>200</v>
      </c>
    </row>
    <row r="9" spans="1:7" s="276" customFormat="1" ht="42" customHeight="1" thickBot="1">
      <c r="A9" s="273" t="s">
        <v>12</v>
      </c>
      <c r="B9" s="274" t="s">
        <v>201</v>
      </c>
      <c r="C9" s="274" t="s">
        <v>202</v>
      </c>
      <c r="D9" s="274" t="s">
        <v>203</v>
      </c>
      <c r="E9" s="274" t="s">
        <v>204</v>
      </c>
      <c r="F9" s="274" t="s">
        <v>205</v>
      </c>
      <c r="G9" s="275" t="s">
        <v>48</v>
      </c>
    </row>
    <row r="10" spans="1:7" ht="24" customHeight="1">
      <c r="A10" s="277" t="s">
        <v>14</v>
      </c>
      <c r="B10" s="278" t="s">
        <v>206</v>
      </c>
      <c r="C10" s="279"/>
      <c r="D10" s="279"/>
      <c r="E10" s="279"/>
      <c r="F10" s="279"/>
      <c r="G10" s="280">
        <f>SUM(C10:F10)</f>
        <v>0</v>
      </c>
    </row>
    <row r="11" spans="1:7" ht="24" customHeight="1">
      <c r="A11" s="281" t="s">
        <v>15</v>
      </c>
      <c r="B11" s="282" t="s">
        <v>207</v>
      </c>
      <c r="C11" s="283"/>
      <c r="D11" s="283"/>
      <c r="E11" s="283"/>
      <c r="F11" s="283"/>
      <c r="G11" s="284">
        <f t="shared" ref="G11:G16" si="0">SUM(C11:F11)</f>
        <v>0</v>
      </c>
    </row>
    <row r="12" spans="1:7" ht="24" customHeight="1">
      <c r="A12" s="281" t="s">
        <v>16</v>
      </c>
      <c r="B12" s="282" t="s">
        <v>208</v>
      </c>
      <c r="C12" s="283"/>
      <c r="D12" s="283"/>
      <c r="E12" s="283"/>
      <c r="F12" s="283"/>
      <c r="G12" s="284">
        <f t="shared" si="0"/>
        <v>0</v>
      </c>
    </row>
    <row r="13" spans="1:7" ht="24" customHeight="1">
      <c r="A13" s="281" t="s">
        <v>17</v>
      </c>
      <c r="B13" s="282" t="s">
        <v>209</v>
      </c>
      <c r="C13" s="283"/>
      <c r="D13" s="283"/>
      <c r="E13" s="283"/>
      <c r="F13" s="283"/>
      <c r="G13" s="284">
        <f t="shared" si="0"/>
        <v>0</v>
      </c>
    </row>
    <row r="14" spans="1:7" ht="24" customHeight="1">
      <c r="A14" s="281" t="s">
        <v>18</v>
      </c>
      <c r="B14" s="282" t="s">
        <v>210</v>
      </c>
      <c r="C14" s="283"/>
      <c r="D14" s="283"/>
      <c r="E14" s="283"/>
      <c r="F14" s="283"/>
      <c r="G14" s="284">
        <f t="shared" si="0"/>
        <v>0</v>
      </c>
    </row>
    <row r="15" spans="1:7" ht="24" customHeight="1" thickBot="1">
      <c r="A15" s="285" t="s">
        <v>19</v>
      </c>
      <c r="B15" s="286" t="s">
        <v>211</v>
      </c>
      <c r="C15" s="287"/>
      <c r="D15" s="287"/>
      <c r="E15" s="287"/>
      <c r="F15" s="287"/>
      <c r="G15" s="288">
        <f t="shared" si="0"/>
        <v>0</v>
      </c>
    </row>
    <row r="16" spans="1:7" s="293" customFormat="1" ht="24" customHeight="1" thickBot="1">
      <c r="A16" s="289" t="s">
        <v>20</v>
      </c>
      <c r="B16" s="290" t="s">
        <v>48</v>
      </c>
      <c r="C16" s="291">
        <f>SUM(C10:C15)</f>
        <v>0</v>
      </c>
      <c r="D16" s="291">
        <f>SUM(D10:D15)</f>
        <v>0</v>
      </c>
      <c r="E16" s="291">
        <f>SUM(E10:E15)</f>
        <v>0</v>
      </c>
      <c r="F16" s="291">
        <f>SUM(F10:F15)</f>
        <v>0</v>
      </c>
      <c r="G16" s="292">
        <f t="shared" si="0"/>
        <v>0</v>
      </c>
    </row>
    <row r="17" spans="1:7" s="269" customFormat="1">
      <c r="A17"/>
      <c r="B17"/>
      <c r="C17"/>
      <c r="D17"/>
      <c r="E17"/>
      <c r="F17"/>
      <c r="G17"/>
    </row>
    <row r="18" spans="1:7" s="269" customFormat="1">
      <c r="A18"/>
      <c r="B18"/>
      <c r="C18"/>
      <c r="D18"/>
      <c r="E18"/>
      <c r="F18"/>
      <c r="G18"/>
    </row>
    <row r="19" spans="1:7" s="269" customFormat="1">
      <c r="A19"/>
      <c r="B19"/>
      <c r="C19"/>
      <c r="D19"/>
      <c r="E19"/>
      <c r="F19"/>
      <c r="G19"/>
    </row>
    <row r="20" spans="1:7" s="269" customFormat="1" ht="15.75">
      <c r="A20" s="268" t="s">
        <v>679</v>
      </c>
      <c r="B20"/>
      <c r="C20"/>
      <c r="D20"/>
      <c r="E20"/>
      <c r="F20"/>
      <c r="G20"/>
    </row>
    <row r="21" spans="1:7" s="269" customFormat="1">
      <c r="A21"/>
      <c r="B21"/>
      <c r="C21"/>
      <c r="D21"/>
      <c r="E21"/>
      <c r="F21"/>
      <c r="G21"/>
    </row>
    <row r="23" spans="1:7">
      <c r="C23" s="269"/>
      <c r="D23" s="269"/>
      <c r="E23" s="269"/>
      <c r="F23" s="269"/>
    </row>
    <row r="24" spans="1:7" ht="13.5">
      <c r="C24" s="294"/>
      <c r="D24" s="295" t="s">
        <v>212</v>
      </c>
      <c r="E24" s="295"/>
      <c r="F24" s="294"/>
    </row>
    <row r="25" spans="1:7" ht="13.5">
      <c r="D25" s="296"/>
      <c r="E25" s="296"/>
    </row>
    <row r="26" spans="1:7" ht="13.5">
      <c r="D26" s="296"/>
      <c r="E26" s="296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6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F169"/>
  <sheetViews>
    <sheetView topLeftCell="A94" zoomScaleNormal="100" zoomScaleSheetLayoutView="100" workbookViewId="0">
      <selection activeCell="F102" sqref="F102"/>
    </sheetView>
  </sheetViews>
  <sheetFormatPr defaultRowHeight="12.75"/>
  <cols>
    <col min="1" max="1" width="8" style="435" bestFit="1" customWidth="1"/>
    <col min="2" max="2" width="71.6640625" style="435" bestFit="1" customWidth="1"/>
    <col min="3" max="3" width="14.33203125" style="682" customWidth="1"/>
    <col min="4" max="4" width="14.33203125" style="435" customWidth="1"/>
    <col min="5" max="6" width="18.83203125" style="435" customWidth="1"/>
    <col min="7" max="16384" width="9.33203125" style="435"/>
  </cols>
  <sheetData>
    <row r="1" spans="1:6" ht="15.95" customHeight="1">
      <c r="A1" s="703" t="s">
        <v>11</v>
      </c>
      <c r="B1" s="703"/>
      <c r="C1" s="703"/>
      <c r="D1" s="703"/>
    </row>
    <row r="2" spans="1:6" ht="15.95" customHeight="1" thickBot="1">
      <c r="A2" s="702" t="s">
        <v>142</v>
      </c>
      <c r="B2" s="702"/>
      <c r="D2" s="675"/>
      <c r="E2" s="506" t="s">
        <v>581</v>
      </c>
      <c r="F2" s="506" t="s">
        <v>581</v>
      </c>
    </row>
    <row r="3" spans="1:6" ht="38.1" customHeight="1" thickBot="1">
      <c r="A3" s="224" t="s">
        <v>64</v>
      </c>
      <c r="B3" s="225" t="s">
        <v>13</v>
      </c>
      <c r="C3" s="225" t="s">
        <v>680</v>
      </c>
      <c r="D3" s="699" t="s">
        <v>681</v>
      </c>
      <c r="E3" s="507" t="s">
        <v>692</v>
      </c>
      <c r="F3" s="507" t="s">
        <v>717</v>
      </c>
    </row>
    <row r="4" spans="1:6" s="42" customFormat="1" ht="12" customHeight="1" thickBot="1">
      <c r="A4" s="224" t="s">
        <v>483</v>
      </c>
      <c r="B4" s="225" t="s">
        <v>484</v>
      </c>
      <c r="C4" s="225" t="s">
        <v>485</v>
      </c>
      <c r="D4" s="225" t="s">
        <v>487</v>
      </c>
      <c r="E4" s="508" t="s">
        <v>486</v>
      </c>
      <c r="F4" s="508" t="s">
        <v>486</v>
      </c>
    </row>
    <row r="5" spans="1:6" s="42" customFormat="1" ht="12" customHeight="1" thickBot="1">
      <c r="A5" s="226" t="s">
        <v>14</v>
      </c>
      <c r="B5" s="227" t="s">
        <v>241</v>
      </c>
      <c r="C5" s="515">
        <f>+C6+C7+C8+C9+C10+C11</f>
        <v>243748289</v>
      </c>
      <c r="D5" s="509">
        <f>+D6+D7+D8+D9+D10+D11</f>
        <v>249841722</v>
      </c>
      <c r="E5" s="509">
        <f>+E6+E7+E8+E9+E10+E11</f>
        <v>223966276</v>
      </c>
      <c r="F5" s="509">
        <f>+F6+F7+F8+F9+F10+F11</f>
        <v>233099072</v>
      </c>
    </row>
    <row r="6" spans="1:6" s="42" customFormat="1" ht="12" customHeight="1">
      <c r="A6" s="228" t="s">
        <v>93</v>
      </c>
      <c r="B6" s="110" t="s">
        <v>242</v>
      </c>
      <c r="C6" s="684">
        <v>117822015</v>
      </c>
      <c r="D6" s="684">
        <v>117996462</v>
      </c>
      <c r="E6" s="510">
        <v>118506104</v>
      </c>
      <c r="F6" s="510">
        <f>118506104+267920</f>
        <v>118774024</v>
      </c>
    </row>
    <row r="7" spans="1:6" s="42" customFormat="1" ht="12" customHeight="1">
      <c r="A7" s="229" t="s">
        <v>94</v>
      </c>
      <c r="B7" s="111" t="s">
        <v>243</v>
      </c>
      <c r="C7" s="685">
        <v>56597616</v>
      </c>
      <c r="D7" s="685">
        <v>57292900</v>
      </c>
      <c r="E7" s="511">
        <v>64532484</v>
      </c>
      <c r="F7" s="511">
        <v>64532484</v>
      </c>
    </row>
    <row r="8" spans="1:6" s="42" customFormat="1" ht="12" customHeight="1">
      <c r="A8" s="229" t="s">
        <v>95</v>
      </c>
      <c r="B8" s="111" t="s">
        <v>244</v>
      </c>
      <c r="C8" s="685">
        <v>39695169</v>
      </c>
      <c r="D8" s="685">
        <v>40752031</v>
      </c>
      <c r="E8" s="511">
        <v>37842188</v>
      </c>
      <c r="F8" s="511">
        <v>37842188</v>
      </c>
    </row>
    <row r="9" spans="1:6" s="42" customFormat="1" ht="12" customHeight="1">
      <c r="A9" s="229" t="s">
        <v>96</v>
      </c>
      <c r="B9" s="111" t="s">
        <v>245</v>
      </c>
      <c r="C9" s="685">
        <v>4541173</v>
      </c>
      <c r="D9" s="685">
        <v>4635145</v>
      </c>
      <c r="E9" s="511">
        <v>3085500</v>
      </c>
      <c r="F9" s="511">
        <f>3085500+344876</f>
        <v>3430376</v>
      </c>
    </row>
    <row r="10" spans="1:6" s="42" customFormat="1" ht="12" customHeight="1">
      <c r="A10" s="229" t="s">
        <v>139</v>
      </c>
      <c r="B10" s="230" t="s">
        <v>426</v>
      </c>
      <c r="C10" s="685">
        <v>24745002</v>
      </c>
      <c r="D10" s="685">
        <v>29165184</v>
      </c>
      <c r="E10" s="511"/>
      <c r="F10" s="511">
        <f>8520000</f>
        <v>8520000</v>
      </c>
    </row>
    <row r="11" spans="1:6" s="42" customFormat="1" ht="12" customHeight="1" thickBot="1">
      <c r="A11" s="231" t="s">
        <v>97</v>
      </c>
      <c r="B11" s="232" t="s">
        <v>427</v>
      </c>
      <c r="C11" s="685">
        <v>347314</v>
      </c>
      <c r="D11" s="685"/>
      <c r="E11" s="511"/>
      <c r="F11" s="511"/>
    </row>
    <row r="12" spans="1:6" s="42" customFormat="1" ht="12" customHeight="1" thickBot="1">
      <c r="A12" s="226" t="s">
        <v>15</v>
      </c>
      <c r="B12" s="233" t="s">
        <v>246</v>
      </c>
      <c r="C12" s="515">
        <f>+C13+C14+C15+C16+C17</f>
        <v>87621574</v>
      </c>
      <c r="D12" s="515">
        <f>+D13+D14+D15+D16+D17</f>
        <v>34915162</v>
      </c>
      <c r="E12" s="509">
        <f>+E13+E14+E15+E16+E17</f>
        <v>75066371</v>
      </c>
      <c r="F12" s="509">
        <f>+F13+F14+F15+F16+F17</f>
        <v>79913564</v>
      </c>
    </row>
    <row r="13" spans="1:6" s="42" customFormat="1" ht="12" customHeight="1">
      <c r="A13" s="228" t="s">
        <v>99</v>
      </c>
      <c r="B13" s="110" t="s">
        <v>247</v>
      </c>
      <c r="C13" s="684"/>
      <c r="D13" s="684"/>
      <c r="E13" s="510"/>
      <c r="F13" s="510"/>
    </row>
    <row r="14" spans="1:6" s="42" customFormat="1" ht="12" customHeight="1">
      <c r="A14" s="229" t="s">
        <v>100</v>
      </c>
      <c r="B14" s="111" t="s">
        <v>248</v>
      </c>
      <c r="C14" s="685"/>
      <c r="D14" s="685"/>
      <c r="E14" s="511"/>
      <c r="F14" s="511"/>
    </row>
    <row r="15" spans="1:6" s="42" customFormat="1" ht="12" customHeight="1">
      <c r="A15" s="229" t="s">
        <v>101</v>
      </c>
      <c r="B15" s="111" t="s">
        <v>416</v>
      </c>
      <c r="C15" s="685"/>
      <c r="D15" s="685"/>
      <c r="E15" s="511"/>
      <c r="F15" s="511"/>
    </row>
    <row r="16" spans="1:6" s="42" customFormat="1" ht="12" customHeight="1">
      <c r="A16" s="229" t="s">
        <v>102</v>
      </c>
      <c r="B16" s="111" t="s">
        <v>417</v>
      </c>
      <c r="C16" s="685"/>
      <c r="D16" s="685"/>
      <c r="E16" s="511"/>
      <c r="F16" s="511"/>
    </row>
    <row r="17" spans="1:6" s="42" customFormat="1" ht="12" customHeight="1">
      <c r="A17" s="229" t="s">
        <v>103</v>
      </c>
      <c r="B17" s="111" t="s">
        <v>249</v>
      </c>
      <c r="C17" s="685">
        <v>87621574</v>
      </c>
      <c r="D17" s="685">
        <v>34915162</v>
      </c>
      <c r="E17" s="511">
        <f>75066371</f>
        <v>75066371</v>
      </c>
      <c r="F17" s="511">
        <f>75066371+695378+4151815</f>
        <v>79913564</v>
      </c>
    </row>
    <row r="18" spans="1:6" s="42" customFormat="1" ht="12" customHeight="1" thickBot="1">
      <c r="A18" s="231" t="s">
        <v>112</v>
      </c>
      <c r="B18" s="232" t="s">
        <v>250</v>
      </c>
      <c r="C18" s="686"/>
      <c r="D18" s="686"/>
      <c r="E18" s="512"/>
      <c r="F18" s="512"/>
    </row>
    <row r="19" spans="1:6" s="42" customFormat="1" ht="12" customHeight="1" thickBot="1">
      <c r="A19" s="226" t="s">
        <v>16</v>
      </c>
      <c r="B19" s="227" t="s">
        <v>251</v>
      </c>
      <c r="C19" s="509">
        <f>+C20+C21+C22+C23+C24</f>
        <v>363718343</v>
      </c>
      <c r="D19" s="509">
        <f>+D20+D21+D22+D23+D24</f>
        <v>34251452</v>
      </c>
      <c r="E19" s="509">
        <f>+E20+E21+E22+E23+E24</f>
        <v>39844721</v>
      </c>
      <c r="F19" s="509">
        <f>+F20+F21+F22+F23+F24</f>
        <v>32531109</v>
      </c>
    </row>
    <row r="20" spans="1:6" s="42" customFormat="1" ht="12" customHeight="1">
      <c r="A20" s="228" t="s">
        <v>82</v>
      </c>
      <c r="B20" s="110" t="s">
        <v>252</v>
      </c>
      <c r="C20" s="684"/>
      <c r="D20" s="685">
        <v>506728</v>
      </c>
      <c r="E20" s="510"/>
      <c r="F20" s="510"/>
    </row>
    <row r="21" spans="1:6" s="42" customFormat="1" ht="12" customHeight="1">
      <c r="A21" s="229" t="s">
        <v>83</v>
      </c>
      <c r="B21" s="111" t="s">
        <v>253</v>
      </c>
      <c r="C21" s="685"/>
      <c r="D21" s="685"/>
      <c r="E21" s="511"/>
      <c r="F21" s="511"/>
    </row>
    <row r="22" spans="1:6" s="42" customFormat="1" ht="12" customHeight="1">
      <c r="A22" s="229" t="s">
        <v>84</v>
      </c>
      <c r="B22" s="111" t="s">
        <v>418</v>
      </c>
      <c r="C22" s="685"/>
      <c r="D22" s="685"/>
      <c r="E22" s="511"/>
      <c r="F22" s="511"/>
    </row>
    <row r="23" spans="1:6" s="42" customFormat="1" ht="12" customHeight="1">
      <c r="A23" s="229" t="s">
        <v>85</v>
      </c>
      <c r="B23" s="111" t="s">
        <v>419</v>
      </c>
      <c r="C23" s="685"/>
      <c r="D23" s="685"/>
      <c r="E23" s="511"/>
      <c r="F23" s="511"/>
    </row>
    <row r="24" spans="1:6" s="42" customFormat="1" ht="12" customHeight="1">
      <c r="A24" s="229" t="s">
        <v>160</v>
      </c>
      <c r="B24" s="111" t="s">
        <v>254</v>
      </c>
      <c r="C24" s="685">
        <v>363718343</v>
      </c>
      <c r="D24" s="685">
        <v>33744724</v>
      </c>
      <c r="E24" s="511">
        <v>39844721</v>
      </c>
      <c r="F24" s="511">
        <f>39844721-7313612</f>
        <v>32531109</v>
      </c>
    </row>
    <row r="25" spans="1:6" s="42" customFormat="1" ht="12" customHeight="1" thickBot="1">
      <c r="A25" s="231" t="s">
        <v>161</v>
      </c>
      <c r="B25" s="113" t="s">
        <v>255</v>
      </c>
      <c r="C25" s="686"/>
      <c r="D25" s="686"/>
      <c r="E25" s="512"/>
      <c r="F25" s="512"/>
    </row>
    <row r="26" spans="1:6" s="42" customFormat="1" ht="12" customHeight="1" thickBot="1">
      <c r="A26" s="226" t="s">
        <v>162</v>
      </c>
      <c r="B26" s="227" t="s">
        <v>256</v>
      </c>
      <c r="C26" s="515">
        <f>+C27+C31+C32+C33</f>
        <v>139226779</v>
      </c>
      <c r="D26" s="515">
        <f>+D27+D31+D32+D33</f>
        <v>152824290</v>
      </c>
      <c r="E26" s="509">
        <f>+E27+E31+E32+E33</f>
        <v>136700000</v>
      </c>
      <c r="F26" s="509">
        <f>+F27+F31+F32+F33</f>
        <v>136700000</v>
      </c>
    </row>
    <row r="27" spans="1:6" s="42" customFormat="1" ht="12" customHeight="1">
      <c r="A27" s="228" t="s">
        <v>257</v>
      </c>
      <c r="B27" s="110" t="s">
        <v>433</v>
      </c>
      <c r="C27" s="687">
        <f>+C28+C29+C30</f>
        <v>100859401</v>
      </c>
      <c r="D27" s="687">
        <f>D28+D29+D30</f>
        <v>111241408</v>
      </c>
      <c r="E27" s="513">
        <f>E28+E29+E30</f>
        <v>100000000</v>
      </c>
      <c r="F27" s="513">
        <f>F28+F29+F30</f>
        <v>100000000</v>
      </c>
    </row>
    <row r="28" spans="1:6" s="42" customFormat="1" ht="12" customHeight="1">
      <c r="A28" s="229" t="s">
        <v>258</v>
      </c>
      <c r="B28" s="111" t="s">
        <v>593</v>
      </c>
      <c r="C28" s="685">
        <v>57672091</v>
      </c>
      <c r="D28" s="685">
        <v>61021062</v>
      </c>
      <c r="E28" s="511">
        <f>58000000</f>
        <v>58000000</v>
      </c>
      <c r="F28" s="511">
        <f>58000000</f>
        <v>58000000</v>
      </c>
    </row>
    <row r="29" spans="1:6" s="42" customFormat="1" ht="12" customHeight="1">
      <c r="A29" s="229" t="s">
        <v>259</v>
      </c>
      <c r="B29" s="111" t="s">
        <v>594</v>
      </c>
      <c r="C29" s="685"/>
      <c r="D29" s="685"/>
      <c r="E29" s="511"/>
      <c r="F29" s="511"/>
    </row>
    <row r="30" spans="1:6" s="42" customFormat="1" ht="12" customHeight="1">
      <c r="A30" s="229" t="s">
        <v>431</v>
      </c>
      <c r="B30" s="112" t="s">
        <v>432</v>
      </c>
      <c r="C30" s="685">
        <v>43187310</v>
      </c>
      <c r="D30" s="685">
        <v>50220346</v>
      </c>
      <c r="E30" s="511">
        <f>42000000</f>
        <v>42000000</v>
      </c>
      <c r="F30" s="511">
        <f>42000000</f>
        <v>42000000</v>
      </c>
    </row>
    <row r="31" spans="1:6" s="42" customFormat="1" ht="12" customHeight="1">
      <c r="A31" s="229" t="s">
        <v>260</v>
      </c>
      <c r="B31" s="111" t="s">
        <v>265</v>
      </c>
      <c r="C31" s="685">
        <v>8994728</v>
      </c>
      <c r="D31" s="685">
        <v>9913056</v>
      </c>
      <c r="E31" s="511">
        <v>9000000</v>
      </c>
      <c r="F31" s="511">
        <v>9000000</v>
      </c>
    </row>
    <row r="32" spans="1:6" s="42" customFormat="1" ht="12" customHeight="1">
      <c r="A32" s="229" t="s">
        <v>261</v>
      </c>
      <c r="B32" s="111" t="s">
        <v>575</v>
      </c>
      <c r="C32" s="685">
        <v>28970800</v>
      </c>
      <c r="D32" s="685">
        <v>30401955</v>
      </c>
      <c r="E32" s="511">
        <v>27500000</v>
      </c>
      <c r="F32" s="511">
        <v>27500000</v>
      </c>
    </row>
    <row r="33" spans="1:6" s="42" customFormat="1" ht="12" customHeight="1" thickBot="1">
      <c r="A33" s="231" t="s">
        <v>262</v>
      </c>
      <c r="B33" s="113" t="s">
        <v>267</v>
      </c>
      <c r="C33" s="686">
        <v>401850</v>
      </c>
      <c r="D33" s="686">
        <v>1267871</v>
      </c>
      <c r="E33" s="512">
        <v>200000</v>
      </c>
      <c r="F33" s="512">
        <v>200000</v>
      </c>
    </row>
    <row r="34" spans="1:6" s="42" customFormat="1" ht="12" customHeight="1" thickBot="1">
      <c r="A34" s="226" t="s">
        <v>18</v>
      </c>
      <c r="B34" s="227" t="s">
        <v>428</v>
      </c>
      <c r="C34" s="515">
        <f>SUM(C35:C45)</f>
        <v>162125200</v>
      </c>
      <c r="D34" s="515">
        <f>SUM(D35:D45)</f>
        <v>172283173</v>
      </c>
      <c r="E34" s="509">
        <f>SUM(E35:E45)</f>
        <v>130660612</v>
      </c>
      <c r="F34" s="509">
        <f>SUM(F35:F45)</f>
        <v>130876569</v>
      </c>
    </row>
    <row r="35" spans="1:6" s="42" customFormat="1" ht="12" customHeight="1">
      <c r="A35" s="228" t="s">
        <v>86</v>
      </c>
      <c r="B35" s="110" t="s">
        <v>270</v>
      </c>
      <c r="C35" s="684">
        <v>64000</v>
      </c>
      <c r="D35" s="684"/>
      <c r="E35" s="510"/>
      <c r="F35" s="510"/>
    </row>
    <row r="36" spans="1:6" s="42" customFormat="1" ht="12" customHeight="1">
      <c r="A36" s="229" t="s">
        <v>87</v>
      </c>
      <c r="B36" s="111" t="s">
        <v>271</v>
      </c>
      <c r="C36" s="685">
        <v>118757569</v>
      </c>
      <c r="D36" s="685">
        <v>120822485</v>
      </c>
      <c r="E36" s="511">
        <f>99723710</f>
        <v>99723710</v>
      </c>
      <c r="F36" s="511">
        <f>99723710+170045</f>
        <v>99893755</v>
      </c>
    </row>
    <row r="37" spans="1:6" s="42" customFormat="1" ht="12" customHeight="1">
      <c r="A37" s="229" t="s">
        <v>88</v>
      </c>
      <c r="B37" s="111" t="s">
        <v>272</v>
      </c>
      <c r="C37" s="685">
        <v>4899386</v>
      </c>
      <c r="D37" s="685">
        <v>1960569</v>
      </c>
      <c r="E37" s="511">
        <f>1650000</f>
        <v>1650000</v>
      </c>
      <c r="F37" s="511">
        <f>1650000</f>
        <v>1650000</v>
      </c>
    </row>
    <row r="38" spans="1:6" s="42" customFormat="1" ht="12" customHeight="1">
      <c r="A38" s="229" t="s">
        <v>164</v>
      </c>
      <c r="B38" s="111" t="s">
        <v>273</v>
      </c>
      <c r="C38" s="685"/>
      <c r="D38" s="685"/>
      <c r="E38" s="511"/>
      <c r="F38" s="511"/>
    </row>
    <row r="39" spans="1:6" s="42" customFormat="1" ht="12" customHeight="1">
      <c r="A39" s="229" t="s">
        <v>165</v>
      </c>
      <c r="B39" s="111" t="s">
        <v>274</v>
      </c>
      <c r="C39" s="685">
        <v>2039171</v>
      </c>
      <c r="D39" s="685">
        <v>1834116</v>
      </c>
      <c r="E39" s="511">
        <f>1500000</f>
        <v>1500000</v>
      </c>
      <c r="F39" s="511">
        <f>1500000</f>
        <v>1500000</v>
      </c>
    </row>
    <row r="40" spans="1:6" s="42" customFormat="1" ht="12" customHeight="1">
      <c r="A40" s="229" t="s">
        <v>166</v>
      </c>
      <c r="B40" s="111" t="s">
        <v>275</v>
      </c>
      <c r="C40" s="685">
        <v>35871590</v>
      </c>
      <c r="D40" s="685">
        <v>33738887</v>
      </c>
      <c r="E40" s="511">
        <f>27775902</f>
        <v>27775902</v>
      </c>
      <c r="F40" s="511">
        <f>27775902+45912</f>
        <v>27821814</v>
      </c>
    </row>
    <row r="41" spans="1:6" s="42" customFormat="1" ht="12" customHeight="1">
      <c r="A41" s="229" t="s">
        <v>167</v>
      </c>
      <c r="B41" s="111" t="s">
        <v>276</v>
      </c>
      <c r="C41" s="685"/>
      <c r="D41" s="685">
        <v>13300000</v>
      </c>
      <c r="E41" s="511"/>
      <c r="F41" s="511"/>
    </row>
    <row r="42" spans="1:6" s="42" customFormat="1" ht="12" customHeight="1">
      <c r="A42" s="229" t="s">
        <v>168</v>
      </c>
      <c r="B42" s="111" t="s">
        <v>277</v>
      </c>
      <c r="C42" s="685">
        <v>40482</v>
      </c>
      <c r="D42" s="685">
        <v>503</v>
      </c>
      <c r="E42" s="511">
        <f>1000</f>
        <v>1000</v>
      </c>
      <c r="F42" s="511">
        <f>1000</f>
        <v>1000</v>
      </c>
    </row>
    <row r="43" spans="1:6" s="42" customFormat="1" ht="12" customHeight="1">
      <c r="A43" s="229" t="s">
        <v>268</v>
      </c>
      <c r="B43" s="111" t="s">
        <v>278</v>
      </c>
      <c r="C43" s="685"/>
      <c r="D43" s="685"/>
      <c r="E43" s="511"/>
      <c r="F43" s="511"/>
    </row>
    <row r="44" spans="1:6" s="42" customFormat="1" ht="12" customHeight="1">
      <c r="A44" s="231" t="s">
        <v>269</v>
      </c>
      <c r="B44" s="113" t="s">
        <v>430</v>
      </c>
      <c r="C44" s="686"/>
      <c r="D44" s="686"/>
      <c r="E44" s="512"/>
      <c r="F44" s="512"/>
    </row>
    <row r="45" spans="1:6" s="42" customFormat="1" ht="12" customHeight="1" thickBot="1">
      <c r="A45" s="231" t="s">
        <v>429</v>
      </c>
      <c r="B45" s="232" t="s">
        <v>279</v>
      </c>
      <c r="C45" s="686">
        <v>453002</v>
      </c>
      <c r="D45" s="686">
        <v>626613</v>
      </c>
      <c r="E45" s="512">
        <f>10000</f>
        <v>10000</v>
      </c>
      <c r="F45" s="512">
        <f>10000</f>
        <v>10000</v>
      </c>
    </row>
    <row r="46" spans="1:6" s="42" customFormat="1" ht="12" customHeight="1" thickBot="1">
      <c r="A46" s="226" t="s">
        <v>19</v>
      </c>
      <c r="B46" s="227" t="s">
        <v>280</v>
      </c>
      <c r="C46" s="515">
        <f>SUM(C47:C51)</f>
        <v>8986168</v>
      </c>
      <c r="D46" s="515">
        <f>SUM(D47:D51)</f>
        <v>0</v>
      </c>
      <c r="E46" s="509">
        <f>SUM(E47:E51)</f>
        <v>7000000</v>
      </c>
      <c r="F46" s="509">
        <f>SUM(F47:F51)</f>
        <v>7000000</v>
      </c>
    </row>
    <row r="47" spans="1:6" s="42" customFormat="1" ht="12" customHeight="1">
      <c r="A47" s="228" t="s">
        <v>89</v>
      </c>
      <c r="B47" s="110" t="s">
        <v>284</v>
      </c>
      <c r="C47" s="684"/>
      <c r="D47" s="684"/>
      <c r="E47" s="510"/>
      <c r="F47" s="510"/>
    </row>
    <row r="48" spans="1:6" s="42" customFormat="1" ht="12" customHeight="1">
      <c r="A48" s="229" t="s">
        <v>90</v>
      </c>
      <c r="B48" s="111" t="s">
        <v>285</v>
      </c>
      <c r="C48" s="685">
        <v>8986168</v>
      </c>
      <c r="D48" s="685"/>
      <c r="E48" s="511">
        <v>7000000</v>
      </c>
      <c r="F48" s="511">
        <v>7000000</v>
      </c>
    </row>
    <row r="49" spans="1:6" s="42" customFormat="1" ht="12" customHeight="1">
      <c r="A49" s="229" t="s">
        <v>281</v>
      </c>
      <c r="B49" s="111" t="s">
        <v>286</v>
      </c>
      <c r="C49" s="685"/>
      <c r="D49" s="685"/>
      <c r="E49" s="511"/>
      <c r="F49" s="511"/>
    </row>
    <row r="50" spans="1:6" s="42" customFormat="1" ht="12" customHeight="1">
      <c r="A50" s="229" t="s">
        <v>282</v>
      </c>
      <c r="B50" s="111" t="s">
        <v>287</v>
      </c>
      <c r="C50" s="685"/>
      <c r="D50" s="685"/>
      <c r="E50" s="511"/>
      <c r="F50" s="511"/>
    </row>
    <row r="51" spans="1:6" s="42" customFormat="1" ht="12" customHeight="1" thickBot="1">
      <c r="A51" s="231" t="s">
        <v>283</v>
      </c>
      <c r="B51" s="232" t="s">
        <v>288</v>
      </c>
      <c r="C51" s="686"/>
      <c r="D51" s="686"/>
      <c r="E51" s="512"/>
      <c r="F51" s="512"/>
    </row>
    <row r="52" spans="1:6" s="42" customFormat="1" ht="12" customHeight="1" thickBot="1">
      <c r="A52" s="226" t="s">
        <v>169</v>
      </c>
      <c r="B52" s="227" t="s">
        <v>289</v>
      </c>
      <c r="C52" s="515">
        <f>SUM(C53:C55)</f>
        <v>346102</v>
      </c>
      <c r="D52" s="515">
        <f>SUM(D53:D55)</f>
        <v>0</v>
      </c>
      <c r="E52" s="509">
        <f>SUM(E53:E55)</f>
        <v>505503</v>
      </c>
      <c r="F52" s="509">
        <f>SUM(F53:F55)</f>
        <v>505503</v>
      </c>
    </row>
    <row r="53" spans="1:6" s="42" customFormat="1" ht="12" customHeight="1">
      <c r="A53" s="228" t="s">
        <v>91</v>
      </c>
      <c r="B53" s="110" t="s">
        <v>290</v>
      </c>
      <c r="C53" s="684"/>
      <c r="D53" s="684"/>
      <c r="E53" s="510"/>
      <c r="F53" s="510"/>
    </row>
    <row r="54" spans="1:6" s="42" customFormat="1" ht="12" customHeight="1">
      <c r="A54" s="229" t="s">
        <v>92</v>
      </c>
      <c r="B54" s="111" t="s">
        <v>420</v>
      </c>
      <c r="C54" s="685"/>
      <c r="D54" s="685"/>
      <c r="E54" s="511"/>
      <c r="F54" s="511"/>
    </row>
    <row r="55" spans="1:6" s="42" customFormat="1" ht="12" customHeight="1">
      <c r="A55" s="229" t="s">
        <v>293</v>
      </c>
      <c r="B55" s="111" t="s">
        <v>291</v>
      </c>
      <c r="C55" s="685">
        <v>346102</v>
      </c>
      <c r="D55" s="685"/>
      <c r="E55" s="511">
        <v>505503</v>
      </c>
      <c r="F55" s="511">
        <v>505503</v>
      </c>
    </row>
    <row r="56" spans="1:6" s="42" customFormat="1" ht="12" customHeight="1" thickBot="1">
      <c r="A56" s="231" t="s">
        <v>294</v>
      </c>
      <c r="B56" s="232" t="s">
        <v>292</v>
      </c>
      <c r="C56" s="686"/>
      <c r="D56" s="686"/>
      <c r="E56" s="512"/>
      <c r="F56" s="512"/>
    </row>
    <row r="57" spans="1:6" s="42" customFormat="1" ht="12" customHeight="1" thickBot="1">
      <c r="A57" s="226" t="s">
        <v>21</v>
      </c>
      <c r="B57" s="233" t="s">
        <v>295</v>
      </c>
      <c r="C57" s="515">
        <f>SUM(C58:C60)</f>
        <v>120000</v>
      </c>
      <c r="D57" s="515">
        <f>SUM(D58:D60)</f>
        <v>110000</v>
      </c>
      <c r="E57" s="509">
        <f>SUM(E58:E60)</f>
        <v>100000</v>
      </c>
      <c r="F57" s="509">
        <f>SUM(F58:F60)</f>
        <v>100000</v>
      </c>
    </row>
    <row r="58" spans="1:6" s="42" customFormat="1" ht="12" customHeight="1">
      <c r="A58" s="228" t="s">
        <v>170</v>
      </c>
      <c r="B58" s="110" t="s">
        <v>297</v>
      </c>
      <c r="C58" s="685"/>
      <c r="D58" s="685"/>
      <c r="E58" s="511"/>
      <c r="F58" s="511"/>
    </row>
    <row r="59" spans="1:6" s="42" customFormat="1" ht="12" customHeight="1">
      <c r="A59" s="229" t="s">
        <v>171</v>
      </c>
      <c r="B59" s="111" t="s">
        <v>421</v>
      </c>
      <c r="C59" s="685">
        <v>120000</v>
      </c>
      <c r="D59" s="685">
        <v>110000</v>
      </c>
      <c r="E59" s="511">
        <v>100000</v>
      </c>
      <c r="F59" s="511">
        <v>100000</v>
      </c>
    </row>
    <row r="60" spans="1:6" s="42" customFormat="1" ht="12" customHeight="1">
      <c r="A60" s="229" t="s">
        <v>218</v>
      </c>
      <c r="B60" s="111" t="s">
        <v>298</v>
      </c>
      <c r="C60" s="685"/>
      <c r="D60" s="685"/>
      <c r="E60" s="511"/>
      <c r="F60" s="511"/>
    </row>
    <row r="61" spans="1:6" s="42" customFormat="1" ht="12" customHeight="1" thickBot="1">
      <c r="A61" s="231" t="s">
        <v>296</v>
      </c>
      <c r="B61" s="232" t="s">
        <v>299</v>
      </c>
      <c r="C61" s="685"/>
      <c r="D61" s="685"/>
      <c r="E61" s="511"/>
      <c r="F61" s="511"/>
    </row>
    <row r="62" spans="1:6" s="42" customFormat="1" ht="12" customHeight="1" thickBot="1">
      <c r="A62" s="234" t="s">
        <v>472</v>
      </c>
      <c r="B62" s="227" t="s">
        <v>300</v>
      </c>
      <c r="C62" s="515">
        <f>+C5+C12+C19+C26+C34+C46+C52+C57</f>
        <v>1005892455</v>
      </c>
      <c r="D62" s="509">
        <f>D5+D12+D19+D26+D34+D46+D52+D57</f>
        <v>644225799</v>
      </c>
      <c r="E62" s="509">
        <f>+E5+E12+E19+E26+E34+E46+E52+E57</f>
        <v>613843483</v>
      </c>
      <c r="F62" s="509">
        <f>+F5+F12+F19+F26+F34+F46+F52+F57</f>
        <v>620725817</v>
      </c>
    </row>
    <row r="63" spans="1:6" s="42" customFormat="1" ht="12" customHeight="1" thickBot="1">
      <c r="A63" s="235" t="s">
        <v>301</v>
      </c>
      <c r="B63" s="233" t="s">
        <v>534</v>
      </c>
      <c r="C63" s="515">
        <f>SUM(C64:C66)</f>
        <v>0</v>
      </c>
      <c r="D63" s="515">
        <f>SUM(D64:D66)</f>
        <v>0</v>
      </c>
      <c r="E63" s="509">
        <f>SUM(E64:E66)</f>
        <v>0</v>
      </c>
      <c r="F63" s="509">
        <f>SUM(F64:F66)</f>
        <v>0</v>
      </c>
    </row>
    <row r="64" spans="1:6" s="42" customFormat="1" ht="12" customHeight="1">
      <c r="A64" s="228" t="s">
        <v>333</v>
      </c>
      <c r="B64" s="110" t="s">
        <v>303</v>
      </c>
      <c r="C64" s="685"/>
      <c r="D64" s="685"/>
      <c r="E64" s="511"/>
      <c r="F64" s="511"/>
    </row>
    <row r="65" spans="1:6" s="42" customFormat="1" ht="12" customHeight="1">
      <c r="A65" s="229" t="s">
        <v>342</v>
      </c>
      <c r="B65" s="111" t="s">
        <v>304</v>
      </c>
      <c r="C65" s="685"/>
      <c r="D65" s="685"/>
      <c r="E65" s="511"/>
      <c r="F65" s="511"/>
    </row>
    <row r="66" spans="1:6" s="42" customFormat="1" ht="12" customHeight="1" thickBot="1">
      <c r="A66" s="231" t="s">
        <v>343</v>
      </c>
      <c r="B66" s="236" t="s">
        <v>457</v>
      </c>
      <c r="C66" s="685"/>
      <c r="D66" s="685"/>
      <c r="E66" s="511"/>
      <c r="F66" s="511"/>
    </row>
    <row r="67" spans="1:6" s="42" customFormat="1" ht="12" customHeight="1" thickBot="1">
      <c r="A67" s="235" t="s">
        <v>306</v>
      </c>
      <c r="B67" s="233" t="s">
        <v>307</v>
      </c>
      <c r="C67" s="515">
        <f>SUM(C68:C71)</f>
        <v>0</v>
      </c>
      <c r="D67" s="515">
        <f>SUM(D68:D71)</f>
        <v>0</v>
      </c>
      <c r="E67" s="509">
        <f>SUM(E68:E71)</f>
        <v>0</v>
      </c>
      <c r="F67" s="509">
        <f>SUM(F68:F71)</f>
        <v>0</v>
      </c>
    </row>
    <row r="68" spans="1:6" s="42" customFormat="1" ht="12" customHeight="1">
      <c r="A68" s="228" t="s">
        <v>140</v>
      </c>
      <c r="B68" s="110" t="s">
        <v>308</v>
      </c>
      <c r="C68" s="685"/>
      <c r="D68" s="685"/>
      <c r="E68" s="511"/>
      <c r="F68" s="511"/>
    </row>
    <row r="69" spans="1:6" s="42" customFormat="1" ht="17.25" customHeight="1">
      <c r="A69" s="229" t="s">
        <v>141</v>
      </c>
      <c r="B69" s="111" t="s">
        <v>309</v>
      </c>
      <c r="C69" s="685"/>
      <c r="D69" s="685"/>
      <c r="E69" s="511"/>
      <c r="F69" s="511"/>
    </row>
    <row r="70" spans="1:6" s="42" customFormat="1" ht="12" customHeight="1">
      <c r="A70" s="229" t="s">
        <v>334</v>
      </c>
      <c r="B70" s="111" t="s">
        <v>310</v>
      </c>
      <c r="C70" s="685"/>
      <c r="D70" s="685"/>
      <c r="E70" s="511"/>
      <c r="F70" s="511"/>
    </row>
    <row r="71" spans="1:6" s="42" customFormat="1" ht="12" customHeight="1" thickBot="1">
      <c r="A71" s="231" t="s">
        <v>335</v>
      </c>
      <c r="B71" s="232" t="s">
        <v>311</v>
      </c>
      <c r="C71" s="685"/>
      <c r="D71" s="685"/>
      <c r="E71" s="511"/>
      <c r="F71" s="511"/>
    </row>
    <row r="72" spans="1:6" s="42" customFormat="1" ht="12" customHeight="1" thickBot="1">
      <c r="A72" s="235" t="s">
        <v>312</v>
      </c>
      <c r="B72" s="233" t="s">
        <v>313</v>
      </c>
      <c r="C72" s="515">
        <f>SUM(C73:C74)</f>
        <v>222974509</v>
      </c>
      <c r="D72" s="515">
        <f>SUM(D73:D74)</f>
        <v>605704429</v>
      </c>
      <c r="E72" s="509">
        <f>SUM(E73:E74)</f>
        <v>541000000</v>
      </c>
      <c r="F72" s="509">
        <f>SUM(F73:F74)</f>
        <v>541475499</v>
      </c>
    </row>
    <row r="73" spans="1:6" s="42" customFormat="1" ht="12" customHeight="1">
      <c r="A73" s="228" t="s">
        <v>336</v>
      </c>
      <c r="B73" s="110" t="s">
        <v>314</v>
      </c>
      <c r="C73" s="685">
        <v>222974509</v>
      </c>
      <c r="D73" s="685">
        <v>605704429</v>
      </c>
      <c r="E73" s="511">
        <f>541000000</f>
        <v>541000000</v>
      </c>
      <c r="F73" s="511">
        <f>541000000+475499</f>
        <v>541475499</v>
      </c>
    </row>
    <row r="74" spans="1:6" s="42" customFormat="1" ht="12" customHeight="1" thickBot="1">
      <c r="A74" s="231" t="s">
        <v>337</v>
      </c>
      <c r="B74" s="232" t="s">
        <v>315</v>
      </c>
      <c r="C74" s="685"/>
      <c r="D74" s="685"/>
      <c r="E74" s="511"/>
      <c r="F74" s="511"/>
    </row>
    <row r="75" spans="1:6" s="42" customFormat="1" ht="12" customHeight="1" thickBot="1">
      <c r="A75" s="235" t="s">
        <v>316</v>
      </c>
      <c r="B75" s="233" t="s">
        <v>317</v>
      </c>
      <c r="C75" s="515">
        <f>SUM(C76:C78)</f>
        <v>8273601</v>
      </c>
      <c r="D75" s="515">
        <f>SUM(D76:D78)</f>
        <v>8180284</v>
      </c>
      <c r="E75" s="509">
        <f>SUM(E76:E78)</f>
        <v>0</v>
      </c>
      <c r="F75" s="509">
        <f>SUM(F76:F78)</f>
        <v>0</v>
      </c>
    </row>
    <row r="76" spans="1:6" s="42" customFormat="1" ht="12" customHeight="1">
      <c r="A76" s="228" t="s">
        <v>338</v>
      </c>
      <c r="B76" s="110" t="s">
        <v>318</v>
      </c>
      <c r="C76" s="685">
        <v>8273601</v>
      </c>
      <c r="D76" s="685">
        <v>8180284</v>
      </c>
      <c r="E76" s="511"/>
      <c r="F76" s="511"/>
    </row>
    <row r="77" spans="1:6" s="42" customFormat="1" ht="12" customHeight="1">
      <c r="A77" s="229" t="s">
        <v>339</v>
      </c>
      <c r="B77" s="111" t="s">
        <v>319</v>
      </c>
      <c r="C77" s="685"/>
      <c r="D77" s="685"/>
      <c r="E77" s="511"/>
      <c r="F77" s="511"/>
    </row>
    <row r="78" spans="1:6" s="42" customFormat="1" ht="12" customHeight="1" thickBot="1">
      <c r="A78" s="231" t="s">
        <v>340</v>
      </c>
      <c r="B78" s="232" t="s">
        <v>320</v>
      </c>
      <c r="C78" s="685"/>
      <c r="D78" s="685"/>
      <c r="E78" s="511"/>
      <c r="F78" s="511"/>
    </row>
    <row r="79" spans="1:6" s="42" customFormat="1" ht="12" customHeight="1" thickBot="1">
      <c r="A79" s="235" t="s">
        <v>321</v>
      </c>
      <c r="B79" s="233" t="s">
        <v>341</v>
      </c>
      <c r="C79" s="515">
        <f>SUM(C80:C83)</f>
        <v>0</v>
      </c>
      <c r="D79" s="515">
        <f>SUM(D80:D83)</f>
        <v>9574</v>
      </c>
      <c r="E79" s="509">
        <f>SUM(E80:E83)</f>
        <v>0</v>
      </c>
      <c r="F79" s="509">
        <f>SUM(F80:F83)</f>
        <v>0</v>
      </c>
    </row>
    <row r="80" spans="1:6" s="42" customFormat="1" ht="12" customHeight="1">
      <c r="A80" s="237" t="s">
        <v>322</v>
      </c>
      <c r="B80" s="110" t="s">
        <v>323</v>
      </c>
      <c r="C80" s="685"/>
      <c r="D80" s="685">
        <v>9574</v>
      </c>
      <c r="E80" s="511"/>
      <c r="F80" s="511"/>
    </row>
    <row r="81" spans="1:6" s="42" customFormat="1" ht="12" customHeight="1">
      <c r="A81" s="238" t="s">
        <v>324</v>
      </c>
      <c r="B81" s="111" t="s">
        <v>325</v>
      </c>
      <c r="C81" s="685"/>
      <c r="D81" s="685"/>
      <c r="E81" s="511"/>
      <c r="F81" s="511"/>
    </row>
    <row r="82" spans="1:6" s="42" customFormat="1" ht="12" customHeight="1">
      <c r="A82" s="238" t="s">
        <v>326</v>
      </c>
      <c r="B82" s="111" t="s">
        <v>327</v>
      </c>
      <c r="C82" s="685"/>
      <c r="D82" s="685"/>
      <c r="E82" s="511"/>
      <c r="F82" s="511"/>
    </row>
    <row r="83" spans="1:6" s="42" customFormat="1" ht="12" customHeight="1" thickBot="1">
      <c r="A83" s="239" t="s">
        <v>328</v>
      </c>
      <c r="B83" s="232" t="s">
        <v>329</v>
      </c>
      <c r="C83" s="685"/>
      <c r="D83" s="685"/>
      <c r="E83" s="511"/>
      <c r="F83" s="511"/>
    </row>
    <row r="84" spans="1:6" s="42" customFormat="1" ht="12" customHeight="1" thickBot="1">
      <c r="A84" s="235" t="s">
        <v>330</v>
      </c>
      <c r="B84" s="233" t="s">
        <v>471</v>
      </c>
      <c r="C84" s="688"/>
      <c r="D84" s="688"/>
      <c r="E84" s="514"/>
      <c r="F84" s="514"/>
    </row>
    <row r="85" spans="1:6" s="42" customFormat="1" ht="12" customHeight="1" thickBot="1">
      <c r="A85" s="235" t="s">
        <v>332</v>
      </c>
      <c r="B85" s="233" t="s">
        <v>331</v>
      </c>
      <c r="C85" s="688"/>
      <c r="D85" s="688"/>
      <c r="E85" s="514"/>
      <c r="F85" s="514"/>
    </row>
    <row r="86" spans="1:6" s="42" customFormat="1" ht="12" customHeight="1" thickBot="1">
      <c r="A86" s="235" t="s">
        <v>344</v>
      </c>
      <c r="B86" s="240" t="s">
        <v>474</v>
      </c>
      <c r="C86" s="515">
        <f>+C63+C67+C72+C75+C79+C85+C84</f>
        <v>231248110</v>
      </c>
      <c r="D86" s="515">
        <f>+D63+D67+D72+D75+D79+D85+D84</f>
        <v>613894287</v>
      </c>
      <c r="E86" s="509">
        <f>+E63+E67+E72+E75+E79+E85+E84</f>
        <v>541000000</v>
      </c>
      <c r="F86" s="509">
        <f>+F63+F67+F72+F75+F79+F85+F84</f>
        <v>541475499</v>
      </c>
    </row>
    <row r="87" spans="1:6" s="42" customFormat="1" ht="12" customHeight="1" thickBot="1">
      <c r="A87" s="241" t="s">
        <v>31</v>
      </c>
      <c r="B87" s="242" t="s">
        <v>555</v>
      </c>
      <c r="C87" s="515"/>
      <c r="D87" s="515"/>
      <c r="E87" s="509"/>
      <c r="F87" s="509"/>
    </row>
    <row r="88" spans="1:6" s="42" customFormat="1" ht="12" customHeight="1" thickBot="1">
      <c r="A88" s="241" t="s">
        <v>32</v>
      </c>
      <c r="B88" s="242" t="s">
        <v>475</v>
      </c>
      <c r="C88" s="515">
        <f>+C62+C86+C87</f>
        <v>1237140565</v>
      </c>
      <c r="D88" s="515">
        <f>+D62+D86+D87</f>
        <v>1258120086</v>
      </c>
      <c r="E88" s="515">
        <f>+E62+E86+E87</f>
        <v>1154843483</v>
      </c>
      <c r="F88" s="515">
        <f>+F62+F86+F87</f>
        <v>1162201316</v>
      </c>
    </row>
    <row r="89" spans="1:6" s="42" customFormat="1" ht="12" customHeight="1">
      <c r="A89" s="703" t="s">
        <v>42</v>
      </c>
      <c r="B89" s="703"/>
      <c r="C89" s="703"/>
      <c r="D89" s="703"/>
    </row>
    <row r="90" spans="1:6" s="42" customFormat="1" ht="12" customHeight="1" thickBot="1">
      <c r="A90" s="704" t="s">
        <v>143</v>
      </c>
      <c r="B90" s="704"/>
      <c r="C90" s="682"/>
      <c r="D90" s="675"/>
      <c r="E90" s="506" t="s">
        <v>581</v>
      </c>
      <c r="F90" s="506" t="s">
        <v>581</v>
      </c>
    </row>
    <row r="91" spans="1:6" s="42" customFormat="1" ht="26.25" thickBot="1">
      <c r="A91" s="224" t="s">
        <v>12</v>
      </c>
      <c r="B91" s="225" t="s">
        <v>43</v>
      </c>
      <c r="C91" s="225" t="str">
        <f>+C3</f>
        <v>2017. évi tény</v>
      </c>
      <c r="D91" s="225" t="str">
        <f>+D3</f>
        <v>2018. évi várható</v>
      </c>
      <c r="E91" s="507" t="s">
        <v>692</v>
      </c>
      <c r="F91" s="507" t="s">
        <v>692</v>
      </c>
    </row>
    <row r="92" spans="1:6" s="42" customFormat="1" ht="12" customHeight="1" thickBot="1">
      <c r="A92" s="224" t="s">
        <v>483</v>
      </c>
      <c r="B92" s="225" t="s">
        <v>484</v>
      </c>
      <c r="C92" s="225" t="s">
        <v>485</v>
      </c>
      <c r="D92" s="225" t="s">
        <v>487</v>
      </c>
      <c r="E92" s="508" t="s">
        <v>486</v>
      </c>
      <c r="F92" s="508" t="s">
        <v>486</v>
      </c>
    </row>
    <row r="93" spans="1:6" s="42" customFormat="1" ht="15" customHeight="1" thickBot="1">
      <c r="A93" s="243" t="s">
        <v>14</v>
      </c>
      <c r="B93" s="244" t="s">
        <v>631</v>
      </c>
      <c r="C93" s="689">
        <f>C94+C95+C96+C97+C98+C111</f>
        <v>381401072</v>
      </c>
      <c r="D93" s="689">
        <f>D94+D95+D96+D97+D98+D111</f>
        <v>410674676</v>
      </c>
      <c r="E93" s="516">
        <f>E94+E95+E96+E97+E98+E111</f>
        <v>576038614</v>
      </c>
      <c r="F93" s="516">
        <f>F94+F95+F96+F97+F98+F111</f>
        <v>597896672</v>
      </c>
    </row>
    <row r="94" spans="1:6" s="42" customFormat="1" ht="12.95" customHeight="1">
      <c r="A94" s="245" t="s">
        <v>93</v>
      </c>
      <c r="B94" s="246" t="s">
        <v>44</v>
      </c>
      <c r="C94" s="690">
        <v>66404589</v>
      </c>
      <c r="D94" s="690">
        <v>64551072</v>
      </c>
      <c r="E94" s="517">
        <v>81039317</v>
      </c>
      <c r="F94" s="517">
        <f>81039317+775698+4647201-1006323</f>
        <v>85455893</v>
      </c>
    </row>
    <row r="95" spans="1:6" ht="16.5" customHeight="1">
      <c r="A95" s="229" t="s">
        <v>94</v>
      </c>
      <c r="B95" s="247" t="s">
        <v>172</v>
      </c>
      <c r="C95" s="520">
        <v>15844449</v>
      </c>
      <c r="D95" s="520">
        <v>13060224</v>
      </c>
      <c r="E95" s="518">
        <v>17133121</v>
      </c>
      <c r="F95" s="518">
        <f>17133121+75631+453102-98116</f>
        <v>17563738</v>
      </c>
    </row>
    <row r="96" spans="1:6">
      <c r="A96" s="229" t="s">
        <v>95</v>
      </c>
      <c r="B96" s="247" t="s">
        <v>131</v>
      </c>
      <c r="C96" s="691">
        <v>163734673</v>
      </c>
      <c r="D96" s="691">
        <v>194374532</v>
      </c>
      <c r="E96" s="519">
        <v>263854593</v>
      </c>
      <c r="F96" s="519">
        <f>263854593+215957-127000</f>
        <v>263943550</v>
      </c>
    </row>
    <row r="97" spans="1:6" s="42" customFormat="1" ht="12" customHeight="1">
      <c r="A97" s="229" t="s">
        <v>96</v>
      </c>
      <c r="B97" s="248" t="s">
        <v>173</v>
      </c>
      <c r="C97" s="691">
        <v>8472840</v>
      </c>
      <c r="D97" s="691">
        <v>4410102</v>
      </c>
      <c r="E97" s="519">
        <v>7330000</v>
      </c>
      <c r="F97" s="519">
        <v>7330000</v>
      </c>
    </row>
    <row r="98" spans="1:6" ht="12" customHeight="1">
      <c r="A98" s="229" t="s">
        <v>107</v>
      </c>
      <c r="B98" s="249" t="s">
        <v>174</v>
      </c>
      <c r="C98" s="519">
        <f>C99+C100+C101+C102+C103+C104+C105+C106+C107+C108+C109+C110</f>
        <v>126944521</v>
      </c>
      <c r="D98" s="519">
        <f>D99+D100+D101+D102+D103+D104+D105+D106+D107+D108+D109+D110</f>
        <v>134278746</v>
      </c>
      <c r="E98" s="519">
        <f>E99+E100+E101+E102+E103+E104+E105+E106+E107+E108+E109+E110</f>
        <v>173511355</v>
      </c>
      <c r="F98" s="519">
        <f>F99+F100+F101+F102+F103+F104+F105+F106+F107+F108+F109+F110</f>
        <v>176463084</v>
      </c>
    </row>
    <row r="99" spans="1:6" ht="12" customHeight="1">
      <c r="A99" s="229" t="s">
        <v>97</v>
      </c>
      <c r="B99" s="247" t="s">
        <v>438</v>
      </c>
      <c r="C99" s="691"/>
      <c r="D99" s="691"/>
      <c r="E99" s="519"/>
      <c r="F99" s="519"/>
    </row>
    <row r="100" spans="1:6" ht="12" customHeight="1">
      <c r="A100" s="229" t="s">
        <v>98</v>
      </c>
      <c r="B100" s="250" t="s">
        <v>437</v>
      </c>
      <c r="C100" s="691"/>
      <c r="D100" s="691"/>
      <c r="E100" s="519"/>
      <c r="F100" s="519"/>
    </row>
    <row r="101" spans="1:6" ht="12" customHeight="1">
      <c r="A101" s="229" t="s">
        <v>108</v>
      </c>
      <c r="B101" s="250" t="s">
        <v>436</v>
      </c>
      <c r="C101" s="691">
        <v>532857</v>
      </c>
      <c r="D101" s="691">
        <v>109362</v>
      </c>
      <c r="E101" s="519">
        <v>1505503</v>
      </c>
      <c r="F101" s="519">
        <f>1505503+2886754+64975</f>
        <v>4457232</v>
      </c>
    </row>
    <row r="102" spans="1:6" ht="12" customHeight="1">
      <c r="A102" s="229" t="s">
        <v>109</v>
      </c>
      <c r="B102" s="251" t="s">
        <v>347</v>
      </c>
      <c r="C102" s="691"/>
      <c r="D102" s="691"/>
      <c r="E102" s="519"/>
      <c r="F102" s="519"/>
    </row>
    <row r="103" spans="1:6" ht="12" customHeight="1">
      <c r="A103" s="229" t="s">
        <v>110</v>
      </c>
      <c r="B103" s="252" t="s">
        <v>348</v>
      </c>
      <c r="C103" s="691"/>
      <c r="D103" s="691"/>
      <c r="E103" s="519"/>
      <c r="F103" s="519"/>
    </row>
    <row r="104" spans="1:6" ht="12" customHeight="1">
      <c r="A104" s="229" t="s">
        <v>111</v>
      </c>
      <c r="B104" s="252" t="s">
        <v>349</v>
      </c>
      <c r="C104" s="691"/>
      <c r="D104" s="691"/>
      <c r="E104" s="519"/>
      <c r="F104" s="519"/>
    </row>
    <row r="105" spans="1:6" ht="12" customHeight="1">
      <c r="A105" s="229" t="s">
        <v>113</v>
      </c>
      <c r="B105" s="251" t="s">
        <v>350</v>
      </c>
      <c r="C105" s="691">
        <v>91044964</v>
      </c>
      <c r="D105" s="691">
        <v>93471784</v>
      </c>
      <c r="E105" s="519">
        <v>129940852</v>
      </c>
      <c r="F105" s="519">
        <v>129940852</v>
      </c>
    </row>
    <row r="106" spans="1:6" ht="12" customHeight="1">
      <c r="A106" s="229" t="s">
        <v>175</v>
      </c>
      <c r="B106" s="251" t="s">
        <v>351</v>
      </c>
      <c r="C106" s="691"/>
      <c r="D106" s="691"/>
      <c r="E106" s="519"/>
      <c r="F106" s="519"/>
    </row>
    <row r="107" spans="1:6" ht="12" customHeight="1">
      <c r="A107" s="229" t="s">
        <v>345</v>
      </c>
      <c r="B107" s="252" t="s">
        <v>352</v>
      </c>
      <c r="C107" s="691"/>
      <c r="D107" s="691"/>
      <c r="E107" s="519"/>
      <c r="F107" s="519"/>
    </row>
    <row r="108" spans="1:6" ht="12" customHeight="1">
      <c r="A108" s="253" t="s">
        <v>346</v>
      </c>
      <c r="B108" s="250" t="s">
        <v>353</v>
      </c>
      <c r="C108" s="691"/>
      <c r="D108" s="691"/>
      <c r="E108" s="519"/>
      <c r="F108" s="519"/>
    </row>
    <row r="109" spans="1:6" ht="12" customHeight="1">
      <c r="A109" s="229" t="s">
        <v>434</v>
      </c>
      <c r="B109" s="250" t="s">
        <v>354</v>
      </c>
      <c r="C109" s="691"/>
      <c r="D109" s="691"/>
      <c r="E109" s="519"/>
      <c r="F109" s="519"/>
    </row>
    <row r="110" spans="1:6" ht="12" customHeight="1">
      <c r="A110" s="231" t="s">
        <v>435</v>
      </c>
      <c r="B110" s="250" t="s">
        <v>355</v>
      </c>
      <c r="C110" s="691">
        <v>35366700</v>
      </c>
      <c r="D110" s="691">
        <v>40697600</v>
      </c>
      <c r="E110" s="519">
        <v>42065000</v>
      </c>
      <c r="F110" s="519">
        <v>42065000</v>
      </c>
    </row>
    <row r="111" spans="1:6" ht="12" customHeight="1">
      <c r="A111" s="229" t="s">
        <v>439</v>
      </c>
      <c r="B111" s="248" t="s">
        <v>45</v>
      </c>
      <c r="C111" s="520">
        <f>C112+C114</f>
        <v>0</v>
      </c>
      <c r="D111" s="520">
        <f>D112+D114</f>
        <v>0</v>
      </c>
      <c r="E111" s="520">
        <f>E112+E114</f>
        <v>33170228</v>
      </c>
      <c r="F111" s="520">
        <f>F112+F114</f>
        <v>47140407</v>
      </c>
    </row>
    <row r="112" spans="1:6" ht="12" customHeight="1">
      <c r="A112" s="229" t="s">
        <v>440</v>
      </c>
      <c r="B112" s="247" t="s">
        <v>442</v>
      </c>
      <c r="C112" s="520"/>
      <c r="D112" s="520"/>
      <c r="E112" s="518">
        <v>4078482</v>
      </c>
      <c r="F112" s="518">
        <f>4078482+267920+344876-2631579+1600000+7313613+475499-2886754-64975</f>
        <v>8497082</v>
      </c>
    </row>
    <row r="113" spans="1:6" ht="12" customHeight="1">
      <c r="A113" s="231"/>
      <c r="B113" s="258" t="s">
        <v>665</v>
      </c>
      <c r="C113" s="691"/>
      <c r="D113" s="691"/>
      <c r="E113" s="519"/>
      <c r="F113" s="519"/>
    </row>
    <row r="114" spans="1:6" ht="12" customHeight="1" thickBot="1">
      <c r="A114" s="254" t="s">
        <v>441</v>
      </c>
      <c r="B114" s="255" t="s">
        <v>443</v>
      </c>
      <c r="C114" s="692"/>
      <c r="D114" s="692"/>
      <c r="E114" s="521">
        <v>29091746</v>
      </c>
      <c r="F114" s="521">
        <f>29091746+2631579-1600000+8520000</f>
        <v>38643325</v>
      </c>
    </row>
    <row r="115" spans="1:6" ht="12" customHeight="1" thickBot="1">
      <c r="A115" s="256" t="s">
        <v>15</v>
      </c>
      <c r="B115" s="257" t="s">
        <v>632</v>
      </c>
      <c r="C115" s="693">
        <f>+C116+C118+C120</f>
        <v>100926591</v>
      </c>
      <c r="D115" s="693">
        <f>+D116+D118+D120</f>
        <v>146630054</v>
      </c>
      <c r="E115" s="522">
        <f>+E116+E118+E120</f>
        <v>394436461</v>
      </c>
      <c r="F115" s="522">
        <f>+F116+F118+F120</f>
        <v>379936236</v>
      </c>
    </row>
    <row r="116" spans="1:6" ht="12" customHeight="1">
      <c r="A116" s="228" t="s">
        <v>99</v>
      </c>
      <c r="B116" s="247" t="s">
        <v>217</v>
      </c>
      <c r="C116" s="694">
        <v>77599166</v>
      </c>
      <c r="D116" s="694">
        <v>62979771</v>
      </c>
      <c r="E116" s="523">
        <f>304198564</f>
        <v>304198564</v>
      </c>
      <c r="F116" s="523">
        <f>304198564-14627225+127000</f>
        <v>289698339</v>
      </c>
    </row>
    <row r="117" spans="1:6">
      <c r="A117" s="228" t="s">
        <v>100</v>
      </c>
      <c r="B117" s="258" t="s">
        <v>359</v>
      </c>
      <c r="C117" s="694"/>
      <c r="D117" s="694"/>
      <c r="E117" s="523"/>
      <c r="F117" s="523"/>
    </row>
    <row r="118" spans="1:6" ht="12" customHeight="1">
      <c r="A118" s="228" t="s">
        <v>101</v>
      </c>
      <c r="B118" s="258" t="s">
        <v>176</v>
      </c>
      <c r="C118" s="520">
        <v>20074425</v>
      </c>
      <c r="D118" s="520">
        <v>83022283</v>
      </c>
      <c r="E118" s="518">
        <f>89587897</f>
        <v>89587897</v>
      </c>
      <c r="F118" s="518">
        <f>89587897</f>
        <v>89587897</v>
      </c>
    </row>
    <row r="119" spans="1:6" ht="12" customHeight="1">
      <c r="A119" s="228" t="s">
        <v>102</v>
      </c>
      <c r="B119" s="258" t="s">
        <v>360</v>
      </c>
      <c r="C119" s="520"/>
      <c r="D119" s="520"/>
      <c r="E119" s="524"/>
      <c r="F119" s="524"/>
    </row>
    <row r="120" spans="1:6" ht="12" customHeight="1">
      <c r="A120" s="228" t="s">
        <v>103</v>
      </c>
      <c r="B120" s="232" t="s">
        <v>219</v>
      </c>
      <c r="C120" s="524">
        <f>C121+C122+C123+C124+C125+C126+C127+C128</f>
        <v>3253000</v>
      </c>
      <c r="D120" s="524">
        <f>D121+D122+D123+D124+D125+D126+D127+D128</f>
        <v>628000</v>
      </c>
      <c r="E120" s="524">
        <f>E121+E122+E123+E124+E125+E126+E127+E128</f>
        <v>650000</v>
      </c>
      <c r="F120" s="524">
        <f>F121+F122+F123+F124+F125+F126+F127+F128</f>
        <v>650000</v>
      </c>
    </row>
    <row r="121" spans="1:6" ht="12" customHeight="1">
      <c r="A121" s="228" t="s">
        <v>112</v>
      </c>
      <c r="B121" s="230" t="s">
        <v>422</v>
      </c>
      <c r="C121" s="520"/>
      <c r="D121" s="520"/>
      <c r="E121" s="524"/>
      <c r="F121" s="524"/>
    </row>
    <row r="122" spans="1:6" ht="12" customHeight="1">
      <c r="A122" s="228" t="s">
        <v>114</v>
      </c>
      <c r="B122" s="259" t="s">
        <v>365</v>
      </c>
      <c r="C122" s="520"/>
      <c r="D122" s="520"/>
      <c r="E122" s="524"/>
      <c r="F122" s="524"/>
    </row>
    <row r="123" spans="1:6" ht="12" customHeight="1">
      <c r="A123" s="228" t="s">
        <v>177</v>
      </c>
      <c r="B123" s="252" t="s">
        <v>349</v>
      </c>
      <c r="C123" s="520"/>
      <c r="D123" s="520"/>
      <c r="E123" s="524"/>
      <c r="F123" s="524"/>
    </row>
    <row r="124" spans="1:6" ht="12" customHeight="1">
      <c r="A124" s="228" t="s">
        <v>178</v>
      </c>
      <c r="B124" s="252" t="s">
        <v>364</v>
      </c>
      <c r="C124" s="520"/>
      <c r="D124" s="520"/>
      <c r="E124" s="524"/>
      <c r="F124" s="524"/>
    </row>
    <row r="125" spans="1:6" ht="12" customHeight="1">
      <c r="A125" s="228" t="s">
        <v>179</v>
      </c>
      <c r="B125" s="252" t="s">
        <v>363</v>
      </c>
      <c r="C125" s="520"/>
      <c r="D125" s="520"/>
      <c r="E125" s="524"/>
      <c r="F125" s="524"/>
    </row>
    <row r="126" spans="1:6" ht="12" customHeight="1">
      <c r="A126" s="228" t="s">
        <v>356</v>
      </c>
      <c r="B126" s="252" t="s">
        <v>352</v>
      </c>
      <c r="C126" s="520"/>
      <c r="D126" s="520"/>
      <c r="E126" s="524"/>
      <c r="F126" s="524"/>
    </row>
    <row r="127" spans="1:6" ht="12" customHeight="1">
      <c r="A127" s="228" t="s">
        <v>357</v>
      </c>
      <c r="B127" s="252" t="s">
        <v>362</v>
      </c>
      <c r="C127" s="520"/>
      <c r="D127" s="520"/>
      <c r="E127" s="524"/>
      <c r="F127" s="524"/>
    </row>
    <row r="128" spans="1:6" ht="12" customHeight="1" thickBot="1">
      <c r="A128" s="253" t="s">
        <v>358</v>
      </c>
      <c r="B128" s="252" t="s">
        <v>361</v>
      </c>
      <c r="C128" s="691">
        <v>3253000</v>
      </c>
      <c r="D128" s="691">
        <v>628000</v>
      </c>
      <c r="E128" s="525">
        <v>650000</v>
      </c>
      <c r="F128" s="525">
        <v>650000</v>
      </c>
    </row>
    <row r="129" spans="1:6" ht="12" customHeight="1" thickBot="1">
      <c r="A129" s="226" t="s">
        <v>16</v>
      </c>
      <c r="B129" s="260" t="s">
        <v>444</v>
      </c>
      <c r="C129" s="695">
        <f>+C93+C115</f>
        <v>482327663</v>
      </c>
      <c r="D129" s="695">
        <f>+D93+D115</f>
        <v>557304730</v>
      </c>
      <c r="E129" s="526">
        <f>+E93+E115</f>
        <v>970475075</v>
      </c>
      <c r="F129" s="526">
        <f>+F93+F115</f>
        <v>977832908</v>
      </c>
    </row>
    <row r="130" spans="1:6" ht="12" customHeight="1" thickBot="1">
      <c r="A130" s="226" t="s">
        <v>17</v>
      </c>
      <c r="B130" s="260" t="s">
        <v>445</v>
      </c>
      <c r="C130" s="695">
        <f>+C131+C132+C133</f>
        <v>0</v>
      </c>
      <c r="D130" s="695">
        <f>+D131+D132+D133</f>
        <v>0</v>
      </c>
      <c r="E130" s="526">
        <f>+E131+E132+E133</f>
        <v>0</v>
      </c>
      <c r="F130" s="526">
        <f>+F131+F132+F133</f>
        <v>0</v>
      </c>
    </row>
    <row r="131" spans="1:6" ht="12" customHeight="1">
      <c r="A131" s="228" t="s">
        <v>257</v>
      </c>
      <c r="B131" s="258" t="s">
        <v>452</v>
      </c>
      <c r="C131" s="520"/>
      <c r="D131" s="520"/>
      <c r="E131" s="524"/>
      <c r="F131" s="524"/>
    </row>
    <row r="132" spans="1:6" ht="12" customHeight="1">
      <c r="A132" s="228" t="s">
        <v>260</v>
      </c>
      <c r="B132" s="258" t="s">
        <v>453</v>
      </c>
      <c r="C132" s="520"/>
      <c r="D132" s="520"/>
      <c r="E132" s="524"/>
      <c r="F132" s="524"/>
    </row>
    <row r="133" spans="1:6" ht="12" customHeight="1" thickBot="1">
      <c r="A133" s="253" t="s">
        <v>261</v>
      </c>
      <c r="B133" s="258" t="s">
        <v>454</v>
      </c>
      <c r="C133" s="520"/>
      <c r="D133" s="520"/>
      <c r="E133" s="524"/>
      <c r="F133" s="524"/>
    </row>
    <row r="134" spans="1:6" ht="12" customHeight="1" thickBot="1">
      <c r="A134" s="226" t="s">
        <v>18</v>
      </c>
      <c r="B134" s="260" t="s">
        <v>446</v>
      </c>
      <c r="C134" s="695">
        <f>SUM(C135:C140)</f>
        <v>0</v>
      </c>
      <c r="D134" s="695">
        <f>SUM(D135:D140)</f>
        <v>0</v>
      </c>
      <c r="E134" s="526">
        <f>SUM(E135:E140)</f>
        <v>0</v>
      </c>
      <c r="F134" s="526">
        <f>SUM(F135:F140)</f>
        <v>0</v>
      </c>
    </row>
    <row r="135" spans="1:6" ht="12" customHeight="1">
      <c r="A135" s="228" t="s">
        <v>86</v>
      </c>
      <c r="B135" s="261" t="s">
        <v>455</v>
      </c>
      <c r="C135" s="520"/>
      <c r="D135" s="520"/>
      <c r="E135" s="524"/>
      <c r="F135" s="524"/>
    </row>
    <row r="136" spans="1:6" ht="12" customHeight="1">
      <c r="A136" s="228" t="s">
        <v>87</v>
      </c>
      <c r="B136" s="261" t="s">
        <v>447</v>
      </c>
      <c r="C136" s="520"/>
      <c r="D136" s="520"/>
      <c r="E136" s="524"/>
      <c r="F136" s="524"/>
    </row>
    <row r="137" spans="1:6" ht="12" customHeight="1">
      <c r="A137" s="228" t="s">
        <v>88</v>
      </c>
      <c r="B137" s="261" t="s">
        <v>448</v>
      </c>
      <c r="C137" s="520"/>
      <c r="D137" s="520"/>
      <c r="E137" s="524"/>
      <c r="F137" s="524"/>
    </row>
    <row r="138" spans="1:6" ht="12" customHeight="1">
      <c r="A138" s="228" t="s">
        <v>164</v>
      </c>
      <c r="B138" s="261" t="s">
        <v>449</v>
      </c>
      <c r="C138" s="520"/>
      <c r="D138" s="520"/>
      <c r="E138" s="524"/>
      <c r="F138" s="524"/>
    </row>
    <row r="139" spans="1:6" ht="12" customHeight="1">
      <c r="A139" s="228" t="s">
        <v>165</v>
      </c>
      <c r="B139" s="261" t="s">
        <v>450</v>
      </c>
      <c r="C139" s="520"/>
      <c r="D139" s="520"/>
      <c r="E139" s="524"/>
      <c r="F139" s="524"/>
    </row>
    <row r="140" spans="1:6" ht="12" customHeight="1" thickBot="1">
      <c r="A140" s="253" t="s">
        <v>166</v>
      </c>
      <c r="B140" s="261" t="s">
        <v>451</v>
      </c>
      <c r="C140" s="520"/>
      <c r="D140" s="520"/>
      <c r="E140" s="524"/>
      <c r="F140" s="524"/>
    </row>
    <row r="141" spans="1:6" ht="12" customHeight="1" thickBot="1">
      <c r="A141" s="226" t="s">
        <v>19</v>
      </c>
      <c r="B141" s="260" t="s">
        <v>459</v>
      </c>
      <c r="C141" s="696">
        <f>+C142+C143+C144+C145</f>
        <v>8090229</v>
      </c>
      <c r="D141" s="696">
        <f>+D142+D143+D144+D145</f>
        <v>8033142</v>
      </c>
      <c r="E141" s="527">
        <f>+E142+E143+E144+E145</f>
        <v>8107720</v>
      </c>
      <c r="F141" s="527">
        <f>+F142+F143+F144+F145</f>
        <v>8107720</v>
      </c>
    </row>
    <row r="142" spans="1:6" ht="12" customHeight="1">
      <c r="A142" s="228" t="s">
        <v>89</v>
      </c>
      <c r="B142" s="261" t="s">
        <v>366</v>
      </c>
      <c r="C142" s="520"/>
      <c r="D142" s="520"/>
      <c r="E142" s="524"/>
      <c r="F142" s="524"/>
    </row>
    <row r="143" spans="1:6" ht="12" customHeight="1">
      <c r="A143" s="228" t="s">
        <v>90</v>
      </c>
      <c r="B143" s="261" t="s">
        <v>367</v>
      </c>
      <c r="C143" s="520">
        <v>8090229</v>
      </c>
      <c r="D143" s="520">
        <v>8033142</v>
      </c>
      <c r="E143" s="524">
        <v>8107720</v>
      </c>
      <c r="F143" s="524">
        <v>8107720</v>
      </c>
    </row>
    <row r="144" spans="1:6" ht="12" customHeight="1">
      <c r="A144" s="228" t="s">
        <v>281</v>
      </c>
      <c r="B144" s="261" t="s">
        <v>460</v>
      </c>
      <c r="C144" s="520"/>
      <c r="D144" s="520"/>
      <c r="E144" s="524"/>
      <c r="F144" s="524"/>
    </row>
    <row r="145" spans="1:6" ht="12" customHeight="1" thickBot="1">
      <c r="A145" s="253" t="s">
        <v>282</v>
      </c>
      <c r="B145" s="262" t="s">
        <v>386</v>
      </c>
      <c r="C145" s="520"/>
      <c r="D145" s="520"/>
      <c r="E145" s="524"/>
      <c r="F145" s="524"/>
    </row>
    <row r="146" spans="1:6" ht="12" customHeight="1" thickBot="1">
      <c r="A146" s="226" t="s">
        <v>20</v>
      </c>
      <c r="B146" s="260" t="s">
        <v>461</v>
      </c>
      <c r="C146" s="697">
        <f>SUM(C147:C151)</f>
        <v>0</v>
      </c>
      <c r="D146" s="697">
        <f>SUM(D147:D151)</f>
        <v>0</v>
      </c>
      <c r="E146" s="528">
        <f>SUM(E147:E151)</f>
        <v>0</v>
      </c>
      <c r="F146" s="528">
        <f>SUM(F147:F151)</f>
        <v>0</v>
      </c>
    </row>
    <row r="147" spans="1:6" ht="12" customHeight="1">
      <c r="A147" s="228" t="s">
        <v>91</v>
      </c>
      <c r="B147" s="261" t="s">
        <v>456</v>
      </c>
      <c r="C147" s="520"/>
      <c r="D147" s="520"/>
      <c r="E147" s="524"/>
      <c r="F147" s="524"/>
    </row>
    <row r="148" spans="1:6" ht="12" customHeight="1">
      <c r="A148" s="228" t="s">
        <v>92</v>
      </c>
      <c r="B148" s="261" t="s">
        <v>463</v>
      </c>
      <c r="C148" s="520"/>
      <c r="D148" s="520"/>
      <c r="E148" s="524"/>
      <c r="F148" s="524"/>
    </row>
    <row r="149" spans="1:6" ht="12" customHeight="1">
      <c r="A149" s="228" t="s">
        <v>293</v>
      </c>
      <c r="B149" s="261" t="s">
        <v>458</v>
      </c>
      <c r="C149" s="520"/>
      <c r="D149" s="520"/>
      <c r="E149" s="524"/>
      <c r="F149" s="524"/>
    </row>
    <row r="150" spans="1:6" ht="12" customHeight="1">
      <c r="A150" s="228" t="s">
        <v>294</v>
      </c>
      <c r="B150" s="261" t="s">
        <v>464</v>
      </c>
      <c r="C150" s="520"/>
      <c r="D150" s="520"/>
      <c r="E150" s="524"/>
      <c r="F150" s="524"/>
    </row>
    <row r="151" spans="1:6" ht="12" customHeight="1" thickBot="1">
      <c r="A151" s="228" t="s">
        <v>462</v>
      </c>
      <c r="B151" s="261" t="s">
        <v>465</v>
      </c>
      <c r="C151" s="520"/>
      <c r="D151" s="520"/>
      <c r="E151" s="524"/>
      <c r="F151" s="524"/>
    </row>
    <row r="152" spans="1:6" ht="12" customHeight="1" thickBot="1">
      <c r="A152" s="226" t="s">
        <v>21</v>
      </c>
      <c r="B152" s="260" t="s">
        <v>466</v>
      </c>
      <c r="C152" s="698"/>
      <c r="D152" s="698"/>
      <c r="E152" s="529"/>
      <c r="F152" s="529"/>
    </row>
    <row r="153" spans="1:6" ht="12" customHeight="1" thickBot="1">
      <c r="A153" s="226" t="s">
        <v>22</v>
      </c>
      <c r="B153" s="260" t="s">
        <v>573</v>
      </c>
      <c r="C153" s="698">
        <v>141018244</v>
      </c>
      <c r="D153" s="698">
        <v>147311106</v>
      </c>
      <c r="E153" s="529">
        <v>176260688</v>
      </c>
      <c r="F153" s="529">
        <v>176260688</v>
      </c>
    </row>
    <row r="154" spans="1:6" ht="15" customHeight="1" thickBot="1">
      <c r="A154" s="226" t="s">
        <v>23</v>
      </c>
      <c r="B154" s="260" t="s">
        <v>469</v>
      </c>
      <c r="C154" s="531">
        <f>+C130+C134+C141+C146+C152+C153</f>
        <v>149108473</v>
      </c>
      <c r="D154" s="531">
        <f>+D130+D134+D141+D146+D152+D153</f>
        <v>155344248</v>
      </c>
      <c r="E154" s="530">
        <f>+E130+E134+E141+E146+E152+E153</f>
        <v>184368408</v>
      </c>
      <c r="F154" s="530">
        <f>+F130+F134+F141+F146+F152+F153</f>
        <v>184368408</v>
      </c>
    </row>
    <row r="155" spans="1:6" ht="15" customHeight="1" thickBot="1">
      <c r="A155" s="256" t="s">
        <v>24</v>
      </c>
      <c r="B155" s="263" t="s">
        <v>556</v>
      </c>
      <c r="C155" s="531"/>
      <c r="D155" s="531"/>
      <c r="E155" s="530"/>
      <c r="F155" s="530"/>
    </row>
    <row r="156" spans="1:6" s="42" customFormat="1" ht="12.95" customHeight="1" thickBot="1">
      <c r="A156" s="264" t="s">
        <v>25</v>
      </c>
      <c r="B156" s="265" t="s">
        <v>468</v>
      </c>
      <c r="C156" s="531">
        <f>+C129+C154+C155</f>
        <v>631436136</v>
      </c>
      <c r="D156" s="531">
        <f>+D129+D154+D155</f>
        <v>712648978</v>
      </c>
      <c r="E156" s="531">
        <f>+E129+E154+E155</f>
        <v>1154843483</v>
      </c>
      <c r="F156" s="531">
        <f>+F129+F154+F155</f>
        <v>1162201316</v>
      </c>
    </row>
    <row r="157" spans="1:6">
      <c r="C157" s="435"/>
    </row>
    <row r="158" spans="1:6">
      <c r="C158" s="532"/>
      <c r="D158" s="532"/>
      <c r="E158" s="532">
        <f>E88-E156</f>
        <v>0</v>
      </c>
      <c r="F158" s="532">
        <f>F88-F156</f>
        <v>0</v>
      </c>
    </row>
    <row r="159" spans="1:6">
      <c r="C159" s="435"/>
      <c r="D159" s="532"/>
    </row>
    <row r="160" spans="1:6" ht="16.5" customHeight="1">
      <c r="C160" s="532"/>
      <c r="D160" s="532"/>
    </row>
    <row r="161" spans="3:4">
      <c r="C161" s="435"/>
      <c r="D161" s="532"/>
    </row>
    <row r="162" spans="3:4">
      <c r="C162" s="435"/>
      <c r="D162" s="532"/>
    </row>
    <row r="163" spans="3:4">
      <c r="C163" s="435"/>
    </row>
    <row r="164" spans="3:4">
      <c r="C164" s="435"/>
    </row>
    <row r="165" spans="3:4">
      <c r="C165" s="435"/>
    </row>
    <row r="166" spans="3:4">
      <c r="C166" s="435"/>
    </row>
    <row r="167" spans="3:4">
      <c r="C167" s="435"/>
    </row>
    <row r="168" spans="3:4">
      <c r="C168" s="435"/>
    </row>
    <row r="169" spans="3:4">
      <c r="C169" s="435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65" fitToWidth="3" fitToHeight="2" orientation="portrait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  <rowBreaks count="4" manualBreakCount="4">
    <brk id="34" max="5" man="1"/>
    <brk id="62" max="5" man="1"/>
    <brk id="88" max="5" man="1"/>
    <brk id="129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C6" sqref="C6"/>
    </sheetView>
  </sheetViews>
  <sheetFormatPr defaultRowHeight="12.75"/>
  <cols>
    <col min="1" max="1" width="6.83203125" style="215" customWidth="1"/>
    <col min="2" max="2" width="49.6640625" style="216" customWidth="1"/>
    <col min="3" max="3" width="12.83203125" style="216" customWidth="1"/>
    <col min="4" max="4" width="13.33203125" style="216" bestFit="1" customWidth="1"/>
    <col min="5" max="8" width="12.83203125" style="216" customWidth="1"/>
    <col min="9" max="9" width="14.33203125" style="216" customWidth="1"/>
    <col min="10" max="16384" width="9.33203125" style="216"/>
  </cols>
  <sheetData>
    <row r="1" spans="1:9" ht="27.75" customHeight="1">
      <c r="A1" s="754" t="s">
        <v>2</v>
      </c>
      <c r="B1" s="754"/>
      <c r="C1" s="754"/>
      <c r="D1" s="754"/>
      <c r="E1" s="754"/>
      <c r="F1" s="754"/>
      <c r="G1" s="754"/>
      <c r="H1" s="754"/>
      <c r="I1" s="754"/>
    </row>
    <row r="2" spans="1:9" ht="20.25" customHeight="1" thickBot="1">
      <c r="I2" s="297" t="s">
        <v>581</v>
      </c>
    </row>
    <row r="3" spans="1:9" s="298" customFormat="1" ht="26.25" customHeight="1">
      <c r="A3" s="708" t="s">
        <v>64</v>
      </c>
      <c r="B3" s="757" t="s">
        <v>80</v>
      </c>
      <c r="C3" s="708" t="s">
        <v>81</v>
      </c>
      <c r="D3" s="708" t="s">
        <v>682</v>
      </c>
      <c r="E3" s="759" t="s">
        <v>63</v>
      </c>
      <c r="F3" s="760"/>
      <c r="G3" s="760"/>
      <c r="H3" s="761"/>
      <c r="I3" s="757" t="s">
        <v>46</v>
      </c>
    </row>
    <row r="4" spans="1:9" s="301" customFormat="1" ht="32.25" customHeight="1" thickBot="1">
      <c r="A4" s="709"/>
      <c r="B4" s="758"/>
      <c r="C4" s="758"/>
      <c r="D4" s="709"/>
      <c r="E4" s="299" t="s">
        <v>588</v>
      </c>
      <c r="F4" s="299" t="s">
        <v>595</v>
      </c>
      <c r="G4" s="299" t="s">
        <v>596</v>
      </c>
      <c r="H4" s="300" t="s">
        <v>683</v>
      </c>
      <c r="I4" s="758"/>
    </row>
    <row r="5" spans="1:9" s="305" customFormat="1" ht="12.95" customHeight="1" thickBot="1">
      <c r="A5" s="302" t="s">
        <v>483</v>
      </c>
      <c r="B5" s="166" t="s">
        <v>484</v>
      </c>
      <c r="C5" s="303" t="s">
        <v>485</v>
      </c>
      <c r="D5" s="166" t="s">
        <v>487</v>
      </c>
      <c r="E5" s="302" t="s">
        <v>486</v>
      </c>
      <c r="F5" s="303" t="s">
        <v>488</v>
      </c>
      <c r="G5" s="303" t="s">
        <v>490</v>
      </c>
      <c r="H5" s="168" t="s">
        <v>491</v>
      </c>
      <c r="I5" s="304" t="s">
        <v>492</v>
      </c>
    </row>
    <row r="6" spans="1:9" ht="24.75" customHeight="1" thickBot="1">
      <c r="A6" s="167" t="s">
        <v>14</v>
      </c>
      <c r="B6" s="306" t="s">
        <v>3</v>
      </c>
      <c r="C6" s="307"/>
      <c r="D6" s="308">
        <f>+D7+D8</f>
        <v>0</v>
      </c>
      <c r="E6" s="309">
        <f>+E7+E8</f>
        <v>0</v>
      </c>
      <c r="F6" s="310">
        <f>+F7+F8</f>
        <v>0</v>
      </c>
      <c r="G6" s="310">
        <f>+G7+G8</f>
        <v>0</v>
      </c>
      <c r="H6" s="311">
        <f>+H7+H8</f>
        <v>0</v>
      </c>
      <c r="I6" s="308">
        <f t="shared" ref="I6:I17" si="0">SUM(D6:H6)</f>
        <v>0</v>
      </c>
    </row>
    <row r="7" spans="1:9" ht="20.100000000000001" customHeight="1">
      <c r="A7" s="312" t="s">
        <v>15</v>
      </c>
      <c r="B7" s="313" t="s">
        <v>65</v>
      </c>
      <c r="C7" s="221"/>
      <c r="D7" s="314"/>
      <c r="E7" s="315"/>
      <c r="F7" s="316"/>
      <c r="G7" s="316"/>
      <c r="H7" s="317"/>
      <c r="I7" s="318">
        <f t="shared" si="0"/>
        <v>0</v>
      </c>
    </row>
    <row r="8" spans="1:9" ht="20.100000000000001" customHeight="1" thickBot="1">
      <c r="A8" s="312" t="s">
        <v>16</v>
      </c>
      <c r="B8" s="313" t="s">
        <v>65</v>
      </c>
      <c r="C8" s="221"/>
      <c r="D8" s="314"/>
      <c r="E8" s="315"/>
      <c r="F8" s="316"/>
      <c r="G8" s="316"/>
      <c r="H8" s="317"/>
      <c r="I8" s="318">
        <f t="shared" si="0"/>
        <v>0</v>
      </c>
    </row>
    <row r="9" spans="1:9" ht="26.1" customHeight="1" thickBot="1">
      <c r="A9" s="167" t="s">
        <v>17</v>
      </c>
      <c r="B9" s="306" t="s">
        <v>4</v>
      </c>
      <c r="C9" s="319"/>
      <c r="D9" s="308">
        <f>+D10+D11</f>
        <v>0</v>
      </c>
      <c r="E9" s="309">
        <f>+E10+E11</f>
        <v>0</v>
      </c>
      <c r="F9" s="310">
        <f>+F10+F11</f>
        <v>0</v>
      </c>
      <c r="G9" s="310">
        <f>+G10+G11</f>
        <v>0</v>
      </c>
      <c r="H9" s="311">
        <f>+H10+H11</f>
        <v>0</v>
      </c>
      <c r="I9" s="420">
        <f t="shared" si="0"/>
        <v>0</v>
      </c>
    </row>
    <row r="10" spans="1:9" ht="20.100000000000001" customHeight="1">
      <c r="A10" s="312" t="s">
        <v>18</v>
      </c>
      <c r="B10" s="313" t="s">
        <v>65</v>
      </c>
      <c r="C10" s="221"/>
      <c r="D10" s="314"/>
      <c r="E10" s="315"/>
      <c r="F10" s="316"/>
      <c r="G10" s="316"/>
      <c r="H10" s="317"/>
      <c r="I10" s="318">
        <f t="shared" si="0"/>
        <v>0</v>
      </c>
    </row>
    <row r="11" spans="1:9" ht="20.100000000000001" customHeight="1" thickBot="1">
      <c r="A11" s="312" t="s">
        <v>19</v>
      </c>
      <c r="B11" s="313" t="s">
        <v>65</v>
      </c>
      <c r="C11" s="221"/>
      <c r="D11" s="314"/>
      <c r="E11" s="315"/>
      <c r="F11" s="316"/>
      <c r="G11" s="316"/>
      <c r="H11" s="317"/>
      <c r="I11" s="318">
        <f t="shared" si="0"/>
        <v>0</v>
      </c>
    </row>
    <row r="12" spans="1:9" ht="20.100000000000001" customHeight="1" thickBot="1">
      <c r="A12" s="167" t="s">
        <v>20</v>
      </c>
      <c r="B12" s="306" t="s">
        <v>195</v>
      </c>
      <c r="C12" s="319"/>
      <c r="D12" s="308">
        <f>+D13</f>
        <v>0</v>
      </c>
      <c r="E12" s="309">
        <f>+E13</f>
        <v>0</v>
      </c>
      <c r="F12" s="310">
        <f>+F13</f>
        <v>0</v>
      </c>
      <c r="G12" s="310">
        <f>+G13</f>
        <v>0</v>
      </c>
      <c r="H12" s="311">
        <f>+H13</f>
        <v>0</v>
      </c>
      <c r="I12" s="308">
        <f t="shared" si="0"/>
        <v>0</v>
      </c>
    </row>
    <row r="13" spans="1:9" ht="20.100000000000001" customHeight="1" thickBot="1">
      <c r="A13" s="312" t="s">
        <v>21</v>
      </c>
      <c r="B13" s="313" t="s">
        <v>65</v>
      </c>
      <c r="C13" s="221"/>
      <c r="D13" s="314"/>
      <c r="E13" s="315"/>
      <c r="F13" s="316"/>
      <c r="G13" s="316"/>
      <c r="H13" s="317"/>
      <c r="I13" s="318">
        <f t="shared" si="0"/>
        <v>0</v>
      </c>
    </row>
    <row r="14" spans="1:9" ht="20.100000000000001" customHeight="1" thickBot="1">
      <c r="A14" s="167" t="s">
        <v>22</v>
      </c>
      <c r="B14" s="306" t="s">
        <v>196</v>
      </c>
      <c r="C14" s="319"/>
      <c r="D14" s="308">
        <f>+D15</f>
        <v>0</v>
      </c>
      <c r="E14" s="309">
        <f>+E15</f>
        <v>0</v>
      </c>
      <c r="F14" s="310">
        <f>+F15</f>
        <v>0</v>
      </c>
      <c r="G14" s="310">
        <f>+G15</f>
        <v>0</v>
      </c>
      <c r="H14" s="311">
        <f>+H15</f>
        <v>0</v>
      </c>
      <c r="I14" s="308">
        <f t="shared" si="0"/>
        <v>0</v>
      </c>
    </row>
    <row r="15" spans="1:9" ht="20.100000000000001" customHeight="1" thickBot="1">
      <c r="A15" s="320" t="s">
        <v>23</v>
      </c>
      <c r="B15" s="321" t="s">
        <v>65</v>
      </c>
      <c r="C15" s="222"/>
      <c r="D15" s="322"/>
      <c r="E15" s="323"/>
      <c r="F15" s="324"/>
      <c r="G15" s="324"/>
      <c r="H15" s="325"/>
      <c r="I15" s="326">
        <f t="shared" si="0"/>
        <v>0</v>
      </c>
    </row>
    <row r="16" spans="1:9" ht="20.100000000000001" customHeight="1" thickBot="1">
      <c r="A16" s="167" t="s">
        <v>24</v>
      </c>
      <c r="B16" s="306" t="s">
        <v>197</v>
      </c>
      <c r="C16" s="319"/>
      <c r="D16" s="308">
        <f>+D17</f>
        <v>0</v>
      </c>
      <c r="E16" s="309">
        <f>+E17</f>
        <v>0</v>
      </c>
      <c r="F16" s="310">
        <f>+F17</f>
        <v>0</v>
      </c>
      <c r="G16" s="310">
        <f>+G17</f>
        <v>0</v>
      </c>
      <c r="H16" s="311">
        <f>+H17</f>
        <v>0</v>
      </c>
      <c r="I16" s="308">
        <f t="shared" si="0"/>
        <v>0</v>
      </c>
    </row>
    <row r="17" spans="1:9" ht="20.100000000000001" customHeight="1" thickBot="1">
      <c r="A17" s="327" t="s">
        <v>25</v>
      </c>
      <c r="B17" s="328" t="s">
        <v>65</v>
      </c>
      <c r="C17" s="329"/>
      <c r="D17" s="330"/>
      <c r="E17" s="331"/>
      <c r="F17" s="332"/>
      <c r="G17" s="332"/>
      <c r="H17" s="333"/>
      <c r="I17" s="334">
        <f t="shared" si="0"/>
        <v>0</v>
      </c>
    </row>
    <row r="18" spans="1:9" ht="20.100000000000001" customHeight="1" thickBot="1">
      <c r="A18" s="755" t="s">
        <v>137</v>
      </c>
      <c r="B18" s="756"/>
      <c r="C18" s="335"/>
      <c r="D18" s="308">
        <f t="shared" ref="D18:I18" si="1">+D6+D9+D12+D14+D16</f>
        <v>0</v>
      </c>
      <c r="E18" s="309">
        <f t="shared" si="1"/>
        <v>0</v>
      </c>
      <c r="F18" s="310">
        <f t="shared" si="1"/>
        <v>0</v>
      </c>
      <c r="G18" s="310">
        <f t="shared" si="1"/>
        <v>0</v>
      </c>
      <c r="H18" s="311">
        <f t="shared" si="1"/>
        <v>0</v>
      </c>
      <c r="I18" s="308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6" bottom="0.98425196850393704" header="0.78740157480314965" footer="0.78740157480314965"/>
  <pageSetup paperSize="9" scale="64" orientation="portrait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D159"/>
  <sheetViews>
    <sheetView view="pageLayout" topLeftCell="A93" zoomScaleNormal="100" zoomScaleSheetLayoutView="100" workbookViewId="0">
      <selection activeCell="D101" sqref="D101"/>
    </sheetView>
  </sheetViews>
  <sheetFormatPr defaultRowHeight="12.75"/>
  <cols>
    <col min="1" max="1" width="7.1640625" style="115" bestFit="1" customWidth="1"/>
    <col min="2" max="2" width="67.1640625" style="116" bestFit="1" customWidth="1"/>
    <col min="3" max="4" width="21.33203125" style="674" customWidth="1"/>
    <col min="5" max="16384" width="9.33203125" style="116"/>
  </cols>
  <sheetData>
    <row r="1" spans="1:4" s="33" customFormat="1" ht="15.75">
      <c r="B1" s="376" t="s">
        <v>645</v>
      </c>
      <c r="C1" s="454"/>
      <c r="D1" s="454"/>
    </row>
    <row r="2" spans="1:4" s="33" customFormat="1" ht="15.75">
      <c r="B2" s="376" t="s">
        <v>674</v>
      </c>
      <c r="C2" s="454"/>
      <c r="D2" s="454"/>
    </row>
    <row r="3" spans="1:4" s="33" customFormat="1" ht="15.75">
      <c r="B3" s="379" t="s">
        <v>647</v>
      </c>
      <c r="C3" s="454"/>
      <c r="D3" s="454"/>
    </row>
    <row r="6" spans="1:4" s="33" customFormat="1" ht="15.95" customHeight="1">
      <c r="A6" s="705" t="s">
        <v>577</v>
      </c>
      <c r="B6" s="705"/>
    </row>
    <row r="7" spans="1:4" s="33" customFormat="1" ht="15.95" customHeight="1" thickBot="1">
      <c r="A7" s="706" t="s">
        <v>142</v>
      </c>
      <c r="B7" s="706"/>
      <c r="C7" s="670" t="s">
        <v>581</v>
      </c>
      <c r="D7" s="670" t="s">
        <v>581</v>
      </c>
    </row>
    <row r="8" spans="1:4" s="33" customFormat="1" ht="38.1" customHeight="1" thickBot="1">
      <c r="A8" s="34" t="s">
        <v>64</v>
      </c>
      <c r="B8" s="35" t="s">
        <v>13</v>
      </c>
      <c r="C8" s="625" t="s">
        <v>692</v>
      </c>
      <c r="D8" s="625" t="s">
        <v>717</v>
      </c>
    </row>
    <row r="9" spans="1:4" s="38" customFormat="1" ht="12" customHeight="1" thickBot="1">
      <c r="A9" s="36" t="s">
        <v>483</v>
      </c>
      <c r="B9" s="37" t="s">
        <v>484</v>
      </c>
      <c r="C9" s="578" t="s">
        <v>485</v>
      </c>
      <c r="D9" s="578" t="s">
        <v>485</v>
      </c>
    </row>
    <row r="10" spans="1:4" s="42" customFormat="1" ht="12" customHeight="1" thickBot="1">
      <c r="A10" s="39" t="s">
        <v>14</v>
      </c>
      <c r="B10" s="40" t="s">
        <v>241</v>
      </c>
      <c r="C10" s="526">
        <f>+C11+C12+C13+C14+C15+C16</f>
        <v>0</v>
      </c>
      <c r="D10" s="526">
        <f>+D11+D12+D13+D14+D15+D16</f>
        <v>0</v>
      </c>
    </row>
    <row r="11" spans="1:4" s="42" customFormat="1" ht="12" customHeight="1">
      <c r="A11" s="43" t="s">
        <v>93</v>
      </c>
      <c r="B11" s="44" t="s">
        <v>242</v>
      </c>
      <c r="C11" s="523"/>
      <c r="D11" s="523"/>
    </row>
    <row r="12" spans="1:4" s="42" customFormat="1" ht="12" customHeight="1">
      <c r="A12" s="46" t="s">
        <v>94</v>
      </c>
      <c r="B12" s="47" t="s">
        <v>243</v>
      </c>
      <c r="C12" s="518"/>
      <c r="D12" s="518"/>
    </row>
    <row r="13" spans="1:4" s="42" customFormat="1" ht="12" customHeight="1">
      <c r="A13" s="46" t="s">
        <v>95</v>
      </c>
      <c r="B13" s="47" t="s">
        <v>244</v>
      </c>
      <c r="C13" s="518"/>
      <c r="D13" s="518"/>
    </row>
    <row r="14" spans="1:4" s="42" customFormat="1" ht="12" customHeight="1">
      <c r="A14" s="46" t="s">
        <v>96</v>
      </c>
      <c r="B14" s="47" t="s">
        <v>245</v>
      </c>
      <c r="C14" s="518"/>
      <c r="D14" s="518"/>
    </row>
    <row r="15" spans="1:4" s="42" customFormat="1" ht="12" customHeight="1">
      <c r="A15" s="46" t="s">
        <v>139</v>
      </c>
      <c r="B15" s="49" t="s">
        <v>426</v>
      </c>
      <c r="C15" s="518"/>
      <c r="D15" s="518"/>
    </row>
    <row r="16" spans="1:4" s="42" customFormat="1" ht="12" customHeight="1" thickBot="1">
      <c r="A16" s="50" t="s">
        <v>97</v>
      </c>
      <c r="B16" s="51" t="s">
        <v>427</v>
      </c>
      <c r="C16" s="518"/>
      <c r="D16" s="518"/>
    </row>
    <row r="17" spans="1:4" s="42" customFormat="1" ht="12" customHeight="1" thickBot="1">
      <c r="A17" s="39" t="s">
        <v>15</v>
      </c>
      <c r="B17" s="52" t="s">
        <v>246</v>
      </c>
      <c r="C17" s="526">
        <f>+C18+C19+C20+C21+C22</f>
        <v>0</v>
      </c>
      <c r="D17" s="526">
        <f>+D18+D19+D20+D21+D22</f>
        <v>0</v>
      </c>
    </row>
    <row r="18" spans="1:4" s="42" customFormat="1" ht="12" customHeight="1">
      <c r="A18" s="43" t="s">
        <v>99</v>
      </c>
      <c r="B18" s="44" t="s">
        <v>247</v>
      </c>
      <c r="C18" s="523"/>
      <c r="D18" s="523"/>
    </row>
    <row r="19" spans="1:4" s="42" customFormat="1" ht="12" customHeight="1">
      <c r="A19" s="46" t="s">
        <v>100</v>
      </c>
      <c r="B19" s="47" t="s">
        <v>248</v>
      </c>
      <c r="C19" s="518"/>
      <c r="D19" s="518"/>
    </row>
    <row r="20" spans="1:4" s="42" customFormat="1" ht="12" customHeight="1">
      <c r="A20" s="46" t="s">
        <v>101</v>
      </c>
      <c r="B20" s="47" t="s">
        <v>416</v>
      </c>
      <c r="C20" s="518"/>
      <c r="D20" s="518"/>
    </row>
    <row r="21" spans="1:4" s="42" customFormat="1" ht="12" customHeight="1">
      <c r="A21" s="46" t="s">
        <v>102</v>
      </c>
      <c r="B21" s="47" t="s">
        <v>417</v>
      </c>
      <c r="C21" s="518"/>
      <c r="D21" s="518"/>
    </row>
    <row r="22" spans="1:4" s="42" customFormat="1" ht="12" customHeight="1">
      <c r="A22" s="46" t="s">
        <v>103</v>
      </c>
      <c r="B22" s="47" t="s">
        <v>249</v>
      </c>
      <c r="C22" s="518"/>
      <c r="D22" s="518"/>
    </row>
    <row r="23" spans="1:4" s="42" customFormat="1" ht="12" customHeight="1" thickBot="1">
      <c r="A23" s="50" t="s">
        <v>112</v>
      </c>
      <c r="B23" s="51" t="s">
        <v>250</v>
      </c>
      <c r="C23" s="519"/>
      <c r="D23" s="519"/>
    </row>
    <row r="24" spans="1:4" s="42" customFormat="1" ht="12" customHeight="1" thickBot="1">
      <c r="A24" s="39" t="s">
        <v>16</v>
      </c>
      <c r="B24" s="40" t="s">
        <v>251</v>
      </c>
      <c r="C24" s="526">
        <f>+C25+C26+C27+C28+C29</f>
        <v>0</v>
      </c>
      <c r="D24" s="526">
        <f>+D25+D26+D27+D28+D29</f>
        <v>0</v>
      </c>
    </row>
    <row r="25" spans="1:4" s="42" customFormat="1" ht="12" customHeight="1">
      <c r="A25" s="43" t="s">
        <v>82</v>
      </c>
      <c r="B25" s="44" t="s">
        <v>252</v>
      </c>
      <c r="C25" s="523"/>
      <c r="D25" s="523"/>
    </row>
    <row r="26" spans="1:4" s="42" customFormat="1" ht="12" customHeight="1">
      <c r="A26" s="46" t="s">
        <v>83</v>
      </c>
      <c r="B26" s="47" t="s">
        <v>253</v>
      </c>
      <c r="C26" s="518"/>
      <c r="D26" s="518"/>
    </row>
    <row r="27" spans="1:4" s="42" customFormat="1" ht="12" customHeight="1">
      <c r="A27" s="46" t="s">
        <v>84</v>
      </c>
      <c r="B27" s="47" t="s">
        <v>418</v>
      </c>
      <c r="C27" s="518"/>
      <c r="D27" s="518"/>
    </row>
    <row r="28" spans="1:4" s="42" customFormat="1" ht="12" customHeight="1">
      <c r="A28" s="46" t="s">
        <v>85</v>
      </c>
      <c r="B28" s="47" t="s">
        <v>419</v>
      </c>
      <c r="C28" s="518"/>
      <c r="D28" s="518"/>
    </row>
    <row r="29" spans="1:4" s="42" customFormat="1" ht="12" customHeight="1">
      <c r="A29" s="46" t="s">
        <v>160</v>
      </c>
      <c r="B29" s="47" t="s">
        <v>254</v>
      </c>
      <c r="C29" s="518"/>
      <c r="D29" s="518"/>
    </row>
    <row r="30" spans="1:4" s="42" customFormat="1" ht="12" customHeight="1" thickBot="1">
      <c r="A30" s="50" t="s">
        <v>161</v>
      </c>
      <c r="B30" s="54" t="s">
        <v>255</v>
      </c>
      <c r="C30" s="519"/>
      <c r="D30" s="519"/>
    </row>
    <row r="31" spans="1:4" s="42" customFormat="1" ht="12" customHeight="1" thickBot="1">
      <c r="A31" s="39" t="s">
        <v>162</v>
      </c>
      <c r="B31" s="40" t="s">
        <v>256</v>
      </c>
      <c r="C31" s="527">
        <f>+C32+C36+C37+C38</f>
        <v>0</v>
      </c>
      <c r="D31" s="527">
        <f>+D32+D36+D37+D38</f>
        <v>0</v>
      </c>
    </row>
    <row r="32" spans="1:4" s="42" customFormat="1" ht="12" customHeight="1">
      <c r="A32" s="43" t="s">
        <v>257</v>
      </c>
      <c r="B32" s="110" t="s">
        <v>433</v>
      </c>
      <c r="C32" s="568">
        <f>C33+C34+C35</f>
        <v>0</v>
      </c>
      <c r="D32" s="568">
        <f>D33+D34+D35</f>
        <v>0</v>
      </c>
    </row>
    <row r="33" spans="1:4" s="42" customFormat="1" ht="12" customHeight="1">
      <c r="A33" s="46" t="s">
        <v>258</v>
      </c>
      <c r="B33" s="111" t="s">
        <v>593</v>
      </c>
      <c r="C33" s="518"/>
      <c r="D33" s="518"/>
    </row>
    <row r="34" spans="1:4" s="42" customFormat="1" ht="12" customHeight="1">
      <c r="A34" s="46" t="s">
        <v>259</v>
      </c>
      <c r="B34" s="111" t="s">
        <v>594</v>
      </c>
      <c r="C34" s="518"/>
      <c r="D34" s="518"/>
    </row>
    <row r="35" spans="1:4" s="42" customFormat="1" ht="12" customHeight="1">
      <c r="A35" s="46" t="s">
        <v>431</v>
      </c>
      <c r="B35" s="112" t="s">
        <v>432</v>
      </c>
      <c r="C35" s="518"/>
      <c r="D35" s="518"/>
    </row>
    <row r="36" spans="1:4" s="42" customFormat="1" ht="12" customHeight="1">
      <c r="A36" s="46" t="s">
        <v>260</v>
      </c>
      <c r="B36" s="111" t="s">
        <v>265</v>
      </c>
      <c r="C36" s="518"/>
      <c r="D36" s="518"/>
    </row>
    <row r="37" spans="1:4" s="42" customFormat="1" ht="12" customHeight="1">
      <c r="A37" s="46" t="s">
        <v>261</v>
      </c>
      <c r="B37" s="111" t="s">
        <v>575</v>
      </c>
      <c r="C37" s="518"/>
      <c r="D37" s="518"/>
    </row>
    <row r="38" spans="1:4" s="42" customFormat="1" ht="12" customHeight="1" thickBot="1">
      <c r="A38" s="50" t="s">
        <v>262</v>
      </c>
      <c r="B38" s="113" t="s">
        <v>267</v>
      </c>
      <c r="C38" s="519"/>
      <c r="D38" s="519"/>
    </row>
    <row r="39" spans="1:4" s="42" customFormat="1" ht="12" customHeight="1" thickBot="1">
      <c r="A39" s="39" t="s">
        <v>18</v>
      </c>
      <c r="B39" s="40" t="s">
        <v>428</v>
      </c>
      <c r="C39" s="526">
        <f>SUM(C40:C50)</f>
        <v>118146829</v>
      </c>
      <c r="D39" s="526">
        <f>SUM(D40:D50)</f>
        <v>115922890</v>
      </c>
    </row>
    <row r="40" spans="1:4" s="42" customFormat="1" ht="12" customHeight="1">
      <c r="A40" s="43" t="s">
        <v>86</v>
      </c>
      <c r="B40" s="44" t="s">
        <v>270</v>
      </c>
      <c r="C40" s="523"/>
      <c r="D40" s="523"/>
    </row>
    <row r="41" spans="1:4" s="42" customFormat="1" ht="12" customHeight="1">
      <c r="A41" s="46" t="s">
        <v>87</v>
      </c>
      <c r="B41" s="47" t="s">
        <v>271</v>
      </c>
      <c r="C41" s="518">
        <f>92359314</f>
        <v>92359314</v>
      </c>
      <c r="D41" s="518">
        <f>90608180</f>
        <v>90608180</v>
      </c>
    </row>
    <row r="42" spans="1:4" s="42" customFormat="1" ht="12" customHeight="1">
      <c r="A42" s="46" t="s">
        <v>88</v>
      </c>
      <c r="B42" s="47" t="s">
        <v>272</v>
      </c>
      <c r="C42" s="518"/>
      <c r="D42" s="518"/>
    </row>
    <row r="43" spans="1:4" s="42" customFormat="1" ht="12" customHeight="1">
      <c r="A43" s="46" t="s">
        <v>164</v>
      </c>
      <c r="B43" s="47" t="s">
        <v>273</v>
      </c>
      <c r="C43" s="518"/>
      <c r="D43" s="518"/>
    </row>
    <row r="44" spans="1:4" s="42" customFormat="1" ht="12" customHeight="1">
      <c r="A44" s="46" t="s">
        <v>165</v>
      </c>
      <c r="B44" s="47" t="s">
        <v>274</v>
      </c>
      <c r="C44" s="518"/>
      <c r="D44" s="518"/>
    </row>
    <row r="45" spans="1:4" s="42" customFormat="1" ht="12" customHeight="1">
      <c r="A45" s="46" t="s">
        <v>166</v>
      </c>
      <c r="B45" s="47" t="s">
        <v>275</v>
      </c>
      <c r="C45" s="518">
        <f>25787515</f>
        <v>25787515</v>
      </c>
      <c r="D45" s="518">
        <f>25314710</f>
        <v>25314710</v>
      </c>
    </row>
    <row r="46" spans="1:4" s="42" customFormat="1" ht="12" customHeight="1">
      <c r="A46" s="46" t="s">
        <v>167</v>
      </c>
      <c r="B46" s="47" t="s">
        <v>276</v>
      </c>
      <c r="C46" s="518"/>
      <c r="D46" s="518"/>
    </row>
    <row r="47" spans="1:4" s="42" customFormat="1" ht="12" customHeight="1">
      <c r="A47" s="46" t="s">
        <v>168</v>
      </c>
      <c r="B47" s="47" t="s">
        <v>277</v>
      </c>
      <c r="C47" s="671"/>
      <c r="D47" s="671"/>
    </row>
    <row r="48" spans="1:4" s="42" customFormat="1" ht="12" customHeight="1">
      <c r="A48" s="46" t="s">
        <v>268</v>
      </c>
      <c r="B48" s="47" t="s">
        <v>278</v>
      </c>
      <c r="C48" s="671"/>
      <c r="D48" s="671"/>
    </row>
    <row r="49" spans="1:4" s="42" customFormat="1" ht="12" customHeight="1">
      <c r="A49" s="50" t="s">
        <v>269</v>
      </c>
      <c r="B49" s="54" t="s">
        <v>430</v>
      </c>
      <c r="C49" s="672"/>
      <c r="D49" s="672"/>
    </row>
    <row r="50" spans="1:4" s="42" customFormat="1" ht="12" customHeight="1" thickBot="1">
      <c r="A50" s="50" t="s">
        <v>429</v>
      </c>
      <c r="B50" s="51" t="s">
        <v>279</v>
      </c>
      <c r="C50" s="672"/>
      <c r="D50" s="672"/>
    </row>
    <row r="51" spans="1:4" s="42" customFormat="1" ht="12" customHeight="1" thickBot="1">
      <c r="A51" s="39" t="s">
        <v>19</v>
      </c>
      <c r="B51" s="40" t="s">
        <v>280</v>
      </c>
      <c r="C51" s="526">
        <f>SUM(C52:C56)</f>
        <v>7000000</v>
      </c>
      <c r="D51" s="526">
        <f>SUM(D52:D56)</f>
        <v>7000000</v>
      </c>
    </row>
    <row r="52" spans="1:4" s="42" customFormat="1" ht="12" customHeight="1">
      <c r="A52" s="43" t="s">
        <v>89</v>
      </c>
      <c r="B52" s="44" t="s">
        <v>284</v>
      </c>
      <c r="C52" s="673"/>
      <c r="D52" s="673"/>
    </row>
    <row r="53" spans="1:4" s="42" customFormat="1" ht="12" customHeight="1">
      <c r="A53" s="46" t="s">
        <v>90</v>
      </c>
      <c r="B53" s="47" t="s">
        <v>285</v>
      </c>
      <c r="C53" s="671">
        <v>7000000</v>
      </c>
      <c r="D53" s="671">
        <v>7000000</v>
      </c>
    </row>
    <row r="54" spans="1:4" s="42" customFormat="1" ht="12" customHeight="1">
      <c r="A54" s="46" t="s">
        <v>281</v>
      </c>
      <c r="B54" s="47" t="s">
        <v>286</v>
      </c>
      <c r="C54" s="671"/>
      <c r="D54" s="671"/>
    </row>
    <row r="55" spans="1:4" s="42" customFormat="1" ht="12" customHeight="1">
      <c r="A55" s="46" t="s">
        <v>282</v>
      </c>
      <c r="B55" s="47" t="s">
        <v>287</v>
      </c>
      <c r="C55" s="671"/>
      <c r="D55" s="671"/>
    </row>
    <row r="56" spans="1:4" s="42" customFormat="1" ht="12" customHeight="1" thickBot="1">
      <c r="A56" s="50" t="s">
        <v>283</v>
      </c>
      <c r="B56" s="51" t="s">
        <v>288</v>
      </c>
      <c r="C56" s="672"/>
      <c r="D56" s="672"/>
    </row>
    <row r="57" spans="1:4" s="42" customFormat="1" ht="12" customHeight="1" thickBot="1">
      <c r="A57" s="39" t="s">
        <v>169</v>
      </c>
      <c r="B57" s="40" t="s">
        <v>289</v>
      </c>
      <c r="C57" s="526">
        <f>SUM(C58:C60)</f>
        <v>0</v>
      </c>
      <c r="D57" s="526">
        <f>SUM(D58:D60)</f>
        <v>0</v>
      </c>
    </row>
    <row r="58" spans="1:4" s="42" customFormat="1" ht="12" customHeight="1">
      <c r="A58" s="43" t="s">
        <v>91</v>
      </c>
      <c r="B58" s="44" t="s">
        <v>290</v>
      </c>
      <c r="C58" s="523"/>
      <c r="D58" s="523"/>
    </row>
    <row r="59" spans="1:4" s="42" customFormat="1" ht="12" customHeight="1">
      <c r="A59" s="46" t="s">
        <v>92</v>
      </c>
      <c r="B59" s="47" t="s">
        <v>420</v>
      </c>
      <c r="C59" s="518"/>
      <c r="D59" s="518"/>
    </row>
    <row r="60" spans="1:4" s="42" customFormat="1" ht="12" customHeight="1">
      <c r="A60" s="46" t="s">
        <v>293</v>
      </c>
      <c r="B60" s="47" t="s">
        <v>291</v>
      </c>
      <c r="C60" s="518"/>
      <c r="D60" s="518"/>
    </row>
    <row r="61" spans="1:4" s="42" customFormat="1" ht="12" customHeight="1" thickBot="1">
      <c r="A61" s="50" t="s">
        <v>294</v>
      </c>
      <c r="B61" s="51" t="s">
        <v>292</v>
      </c>
      <c r="C61" s="519"/>
      <c r="D61" s="519"/>
    </row>
    <row r="62" spans="1:4" s="42" customFormat="1" ht="12" customHeight="1" thickBot="1">
      <c r="A62" s="39" t="s">
        <v>21</v>
      </c>
      <c r="B62" s="52" t="s">
        <v>295</v>
      </c>
      <c r="C62" s="526">
        <f>SUM(C63:C65)</f>
        <v>100000</v>
      </c>
      <c r="D62" s="526">
        <f>SUM(D63:D65)</f>
        <v>100000</v>
      </c>
    </row>
    <row r="63" spans="1:4" s="42" customFormat="1" ht="12" customHeight="1">
      <c r="A63" s="43" t="s">
        <v>170</v>
      </c>
      <c r="B63" s="44" t="s">
        <v>297</v>
      </c>
      <c r="C63" s="671"/>
      <c r="D63" s="671"/>
    </row>
    <row r="64" spans="1:4" s="42" customFormat="1" ht="12" customHeight="1">
      <c r="A64" s="46" t="s">
        <v>171</v>
      </c>
      <c r="B64" s="47" t="s">
        <v>421</v>
      </c>
      <c r="C64" s="671">
        <v>100000</v>
      </c>
      <c r="D64" s="671">
        <v>100000</v>
      </c>
    </row>
    <row r="65" spans="1:4" s="42" customFormat="1" ht="12" customHeight="1">
      <c r="A65" s="46" t="s">
        <v>218</v>
      </c>
      <c r="B65" s="47" t="s">
        <v>298</v>
      </c>
      <c r="C65" s="671"/>
      <c r="D65" s="671"/>
    </row>
    <row r="66" spans="1:4" s="42" customFormat="1" ht="12" customHeight="1" thickBot="1">
      <c r="A66" s="50" t="s">
        <v>296</v>
      </c>
      <c r="B66" s="51" t="s">
        <v>299</v>
      </c>
      <c r="C66" s="671"/>
      <c r="D66" s="671"/>
    </row>
    <row r="67" spans="1:4" s="42" customFormat="1" ht="12" customHeight="1" thickBot="1">
      <c r="A67" s="61" t="s">
        <v>472</v>
      </c>
      <c r="B67" s="40" t="s">
        <v>300</v>
      </c>
      <c r="C67" s="527">
        <f>+C10+C17+C24+C31+C39+C51+C57+C62</f>
        <v>125246829</v>
      </c>
      <c r="D67" s="527">
        <f>+D10+D17+D24+D31+D39+D51+D57+D62</f>
        <v>123022890</v>
      </c>
    </row>
    <row r="68" spans="1:4" s="42" customFormat="1" ht="12" customHeight="1" thickBot="1">
      <c r="A68" s="62" t="s">
        <v>301</v>
      </c>
      <c r="B68" s="52" t="s">
        <v>302</v>
      </c>
      <c r="C68" s="526">
        <f>SUM(C69:C71)</f>
        <v>0</v>
      </c>
      <c r="D68" s="526">
        <f>SUM(D69:D71)</f>
        <v>0</v>
      </c>
    </row>
    <row r="69" spans="1:4" s="42" customFormat="1" ht="12" customHeight="1">
      <c r="A69" s="43" t="s">
        <v>333</v>
      </c>
      <c r="B69" s="44" t="s">
        <v>303</v>
      </c>
      <c r="C69" s="671"/>
      <c r="D69" s="671"/>
    </row>
    <row r="70" spans="1:4" s="42" customFormat="1" ht="12" customHeight="1">
      <c r="A70" s="46" t="s">
        <v>342</v>
      </c>
      <c r="B70" s="47" t="s">
        <v>304</v>
      </c>
      <c r="C70" s="671"/>
      <c r="D70" s="671"/>
    </row>
    <row r="71" spans="1:4" s="42" customFormat="1" ht="12" customHeight="1" thickBot="1">
      <c r="A71" s="50" t="s">
        <v>343</v>
      </c>
      <c r="B71" s="63" t="s">
        <v>457</v>
      </c>
      <c r="C71" s="671"/>
      <c r="D71" s="671"/>
    </row>
    <row r="72" spans="1:4" s="42" customFormat="1" ht="12" customHeight="1" thickBot="1">
      <c r="A72" s="62" t="s">
        <v>306</v>
      </c>
      <c r="B72" s="52" t="s">
        <v>307</v>
      </c>
      <c r="C72" s="526">
        <f>SUM(C73:C76)</f>
        <v>0</v>
      </c>
      <c r="D72" s="526">
        <f>SUM(D73:D76)</f>
        <v>0</v>
      </c>
    </row>
    <row r="73" spans="1:4" s="42" customFormat="1" ht="12" customHeight="1">
      <c r="A73" s="43" t="s">
        <v>140</v>
      </c>
      <c r="B73" s="44" t="s">
        <v>308</v>
      </c>
      <c r="C73" s="671"/>
      <c r="D73" s="671"/>
    </row>
    <row r="74" spans="1:4" s="42" customFormat="1" ht="12" customHeight="1">
      <c r="A74" s="46" t="s">
        <v>141</v>
      </c>
      <c r="B74" s="47" t="s">
        <v>309</v>
      </c>
      <c r="C74" s="671"/>
      <c r="D74" s="671"/>
    </row>
    <row r="75" spans="1:4" s="42" customFormat="1" ht="12" customHeight="1">
      <c r="A75" s="46" t="s">
        <v>334</v>
      </c>
      <c r="B75" s="47" t="s">
        <v>310</v>
      </c>
      <c r="C75" s="671"/>
      <c r="D75" s="671"/>
    </row>
    <row r="76" spans="1:4" s="42" customFormat="1" ht="12" customHeight="1" thickBot="1">
      <c r="A76" s="50" t="s">
        <v>335</v>
      </c>
      <c r="B76" s="51" t="s">
        <v>311</v>
      </c>
      <c r="C76" s="671"/>
      <c r="D76" s="671"/>
    </row>
    <row r="77" spans="1:4" s="42" customFormat="1" ht="12" customHeight="1" thickBot="1">
      <c r="A77" s="62" t="s">
        <v>312</v>
      </c>
      <c r="B77" s="52" t="s">
        <v>313</v>
      </c>
      <c r="C77" s="526">
        <f>SUM(C78:C79)</f>
        <v>0</v>
      </c>
      <c r="D77" s="526">
        <f>SUM(D78:D79)</f>
        <v>0</v>
      </c>
    </row>
    <row r="78" spans="1:4" s="42" customFormat="1" ht="12" customHeight="1">
      <c r="A78" s="43" t="s">
        <v>336</v>
      </c>
      <c r="B78" s="44" t="s">
        <v>314</v>
      </c>
      <c r="C78" s="671"/>
      <c r="D78" s="671"/>
    </row>
    <row r="79" spans="1:4" s="42" customFormat="1" ht="12" customHeight="1" thickBot="1">
      <c r="A79" s="50" t="s">
        <v>337</v>
      </c>
      <c r="B79" s="51" t="s">
        <v>315</v>
      </c>
      <c r="C79" s="671"/>
      <c r="D79" s="671"/>
    </row>
    <row r="80" spans="1:4" s="42" customFormat="1" ht="12" customHeight="1" thickBot="1">
      <c r="A80" s="62" t="s">
        <v>316</v>
      </c>
      <c r="B80" s="52" t="s">
        <v>317</v>
      </c>
      <c r="C80" s="526">
        <f>SUM(C81:C83)</f>
        <v>0</v>
      </c>
      <c r="D80" s="526">
        <f>SUM(D81:D83)</f>
        <v>0</v>
      </c>
    </row>
    <row r="81" spans="1:4" s="42" customFormat="1" ht="12" customHeight="1">
      <c r="A81" s="43" t="s">
        <v>338</v>
      </c>
      <c r="B81" s="44" t="s">
        <v>318</v>
      </c>
      <c r="C81" s="671"/>
      <c r="D81" s="671"/>
    </row>
    <row r="82" spans="1:4" s="42" customFormat="1" ht="12" customHeight="1">
      <c r="A82" s="46" t="s">
        <v>339</v>
      </c>
      <c r="B82" s="47" t="s">
        <v>319</v>
      </c>
      <c r="C82" s="671"/>
      <c r="D82" s="671"/>
    </row>
    <row r="83" spans="1:4" s="42" customFormat="1" ht="12" customHeight="1" thickBot="1">
      <c r="A83" s="50" t="s">
        <v>340</v>
      </c>
      <c r="B83" s="51" t="s">
        <v>320</v>
      </c>
      <c r="C83" s="671"/>
      <c r="D83" s="671"/>
    </row>
    <row r="84" spans="1:4" s="42" customFormat="1" ht="12" customHeight="1" thickBot="1">
      <c r="A84" s="62" t="s">
        <v>321</v>
      </c>
      <c r="B84" s="52" t="s">
        <v>341</v>
      </c>
      <c r="C84" s="526">
        <f>SUM(C85:C88)</f>
        <v>0</v>
      </c>
      <c r="D84" s="526">
        <f>SUM(D85:D88)</f>
        <v>0</v>
      </c>
    </row>
    <row r="85" spans="1:4" s="42" customFormat="1" ht="12" customHeight="1">
      <c r="A85" s="64" t="s">
        <v>322</v>
      </c>
      <c r="B85" s="44" t="s">
        <v>323</v>
      </c>
      <c r="C85" s="671"/>
      <c r="D85" s="671"/>
    </row>
    <row r="86" spans="1:4" s="42" customFormat="1" ht="12" customHeight="1">
      <c r="A86" s="65" t="s">
        <v>324</v>
      </c>
      <c r="B86" s="47" t="s">
        <v>325</v>
      </c>
      <c r="C86" s="671"/>
      <c r="D86" s="671"/>
    </row>
    <row r="87" spans="1:4" s="42" customFormat="1" ht="12" customHeight="1">
      <c r="A87" s="65" t="s">
        <v>326</v>
      </c>
      <c r="B87" s="47" t="s">
        <v>327</v>
      </c>
      <c r="C87" s="671"/>
      <c r="D87" s="671"/>
    </row>
    <row r="88" spans="1:4" s="42" customFormat="1" ht="12" customHeight="1" thickBot="1">
      <c r="A88" s="66" t="s">
        <v>328</v>
      </c>
      <c r="B88" s="51" t="s">
        <v>329</v>
      </c>
      <c r="C88" s="671"/>
      <c r="D88" s="671"/>
    </row>
    <row r="89" spans="1:4" s="42" customFormat="1" ht="12" customHeight="1" thickBot="1">
      <c r="A89" s="62" t="s">
        <v>330</v>
      </c>
      <c r="B89" s="52" t="s">
        <v>471</v>
      </c>
      <c r="C89" s="572"/>
      <c r="D89" s="572"/>
    </row>
    <row r="90" spans="1:4" s="42" customFormat="1" ht="13.5" customHeight="1" thickBot="1">
      <c r="A90" s="62" t="s">
        <v>332</v>
      </c>
      <c r="B90" s="52" t="s">
        <v>331</v>
      </c>
      <c r="C90" s="572"/>
      <c r="D90" s="572"/>
    </row>
    <row r="91" spans="1:4" s="42" customFormat="1" ht="15.75" customHeight="1" thickBot="1">
      <c r="A91" s="62" t="s">
        <v>344</v>
      </c>
      <c r="B91" s="68" t="s">
        <v>474</v>
      </c>
      <c r="C91" s="527">
        <f>+C68+C72+C77+C80+C84+C90+C89</f>
        <v>0</v>
      </c>
      <c r="D91" s="527">
        <f>+D68+D72+D77+D80+D84+D90+D89</f>
        <v>0</v>
      </c>
    </row>
    <row r="92" spans="1:4" s="42" customFormat="1" ht="16.5" customHeight="1" thickBot="1">
      <c r="A92" s="69" t="s">
        <v>473</v>
      </c>
      <c r="B92" s="70" t="s">
        <v>475</v>
      </c>
      <c r="C92" s="527">
        <f>+C67+C91</f>
        <v>125246829</v>
      </c>
      <c r="D92" s="527">
        <f>+D67+D91</f>
        <v>123022890</v>
      </c>
    </row>
    <row r="93" spans="1:4" s="42" customFormat="1" ht="83.25" customHeight="1">
      <c r="A93" s="71"/>
      <c r="B93" s="72"/>
      <c r="C93" s="573"/>
      <c r="D93" s="573"/>
    </row>
    <row r="94" spans="1:4" s="33" customFormat="1" ht="16.5" customHeight="1">
      <c r="A94" s="705" t="s">
        <v>42</v>
      </c>
      <c r="B94" s="705"/>
      <c r="C94" s="435"/>
      <c r="D94" s="435"/>
    </row>
    <row r="95" spans="1:4" s="33" customFormat="1" ht="16.5" customHeight="1" thickBot="1">
      <c r="A95" s="707" t="s">
        <v>143</v>
      </c>
      <c r="B95" s="707"/>
      <c r="C95" s="574"/>
      <c r="D95" s="574"/>
    </row>
    <row r="96" spans="1:4" s="33" customFormat="1" ht="38.1" customHeight="1" thickBot="1">
      <c r="A96" s="34" t="s">
        <v>64</v>
      </c>
      <c r="B96" s="35" t="s">
        <v>43</v>
      </c>
      <c r="C96" s="507" t="s">
        <v>692</v>
      </c>
      <c r="D96" s="625" t="s">
        <v>717</v>
      </c>
    </row>
    <row r="97" spans="1:4" s="38" customFormat="1" ht="12" customHeight="1" thickBot="1">
      <c r="A97" s="73" t="s">
        <v>483</v>
      </c>
      <c r="B97" s="74" t="s">
        <v>484</v>
      </c>
      <c r="C97" s="575" t="s">
        <v>485</v>
      </c>
      <c r="D97" s="575" t="s">
        <v>485</v>
      </c>
    </row>
    <row r="98" spans="1:4" s="33" customFormat="1" ht="12" customHeight="1" thickBot="1">
      <c r="A98" s="75" t="s">
        <v>14</v>
      </c>
      <c r="B98" s="76" t="s">
        <v>625</v>
      </c>
      <c r="C98" s="516">
        <f>C99+C100+C101+C102+C103+C116</f>
        <v>100723129</v>
      </c>
      <c r="D98" s="516">
        <f>D99+D100+D101+D102+D103+D116</f>
        <v>98499190</v>
      </c>
    </row>
    <row r="99" spans="1:4" s="33" customFormat="1" ht="12" customHeight="1">
      <c r="A99" s="78" t="s">
        <v>93</v>
      </c>
      <c r="B99" s="15" t="s">
        <v>44</v>
      </c>
      <c r="C99" s="517">
        <v>13754400</v>
      </c>
      <c r="D99" s="517">
        <f>12648077</f>
        <v>12648077</v>
      </c>
    </row>
    <row r="100" spans="1:4" s="33" customFormat="1" ht="12" customHeight="1">
      <c r="A100" s="46" t="s">
        <v>94</v>
      </c>
      <c r="B100" s="16" t="s">
        <v>172</v>
      </c>
      <c r="C100" s="518">
        <v>2831544</v>
      </c>
      <c r="D100" s="518">
        <f>2713928</f>
        <v>2713928</v>
      </c>
    </row>
    <row r="101" spans="1:4" s="33" customFormat="1" ht="12" customHeight="1">
      <c r="A101" s="46" t="s">
        <v>95</v>
      </c>
      <c r="B101" s="16" t="s">
        <v>131</v>
      </c>
      <c r="C101" s="519">
        <v>84137185</v>
      </c>
      <c r="D101" s="519">
        <f>83137185</f>
        <v>83137185</v>
      </c>
    </row>
    <row r="102" spans="1:4" s="33" customFormat="1" ht="12" customHeight="1">
      <c r="A102" s="46" t="s">
        <v>96</v>
      </c>
      <c r="B102" s="80" t="s">
        <v>173</v>
      </c>
      <c r="C102" s="519"/>
      <c r="D102" s="519"/>
    </row>
    <row r="103" spans="1:4" s="33" customFormat="1" ht="12" customHeight="1">
      <c r="A103" s="46" t="s">
        <v>107</v>
      </c>
      <c r="B103" s="81" t="s">
        <v>174</v>
      </c>
      <c r="C103" s="519">
        <f>C104+C105+C106+C107+C108+C110+C111+C112+C113+C114+C115</f>
        <v>0</v>
      </c>
      <c r="D103" s="519">
        <f>D104+D105+D106+D107+D108+D110+D111+D112+D113+D114+D115</f>
        <v>0</v>
      </c>
    </row>
    <row r="104" spans="1:4" s="33" customFormat="1" ht="12" customHeight="1">
      <c r="A104" s="46" t="s">
        <v>97</v>
      </c>
      <c r="B104" s="16" t="s">
        <v>438</v>
      </c>
      <c r="C104" s="519"/>
      <c r="D104" s="519"/>
    </row>
    <row r="105" spans="1:4" s="33" customFormat="1" ht="12" customHeight="1">
      <c r="A105" s="46" t="s">
        <v>98</v>
      </c>
      <c r="B105" s="82" t="s">
        <v>437</v>
      </c>
      <c r="C105" s="519"/>
      <c r="D105" s="519"/>
    </row>
    <row r="106" spans="1:4" s="33" customFormat="1" ht="12" customHeight="1">
      <c r="A106" s="46" t="s">
        <v>108</v>
      </c>
      <c r="B106" s="82" t="s">
        <v>436</v>
      </c>
      <c r="C106" s="519"/>
      <c r="D106" s="519"/>
    </row>
    <row r="107" spans="1:4" s="33" customFormat="1" ht="12" customHeight="1">
      <c r="A107" s="46" t="s">
        <v>109</v>
      </c>
      <c r="B107" s="83" t="s">
        <v>347</v>
      </c>
      <c r="C107" s="519"/>
      <c r="D107" s="519"/>
    </row>
    <row r="108" spans="1:4" s="33" customFormat="1" ht="12" customHeight="1">
      <c r="A108" s="46" t="s">
        <v>110</v>
      </c>
      <c r="B108" s="84" t="s">
        <v>348</v>
      </c>
      <c r="C108" s="519"/>
      <c r="D108" s="519"/>
    </row>
    <row r="109" spans="1:4" s="33" customFormat="1" ht="12" customHeight="1">
      <c r="A109" s="46" t="s">
        <v>111</v>
      </c>
      <c r="B109" s="84" t="s">
        <v>349</v>
      </c>
      <c r="C109" s="519"/>
      <c r="D109" s="519"/>
    </row>
    <row r="110" spans="1:4" s="33" customFormat="1" ht="12" customHeight="1">
      <c r="A110" s="46" t="s">
        <v>113</v>
      </c>
      <c r="B110" s="83" t="s">
        <v>350</v>
      </c>
      <c r="C110" s="519"/>
      <c r="D110" s="519"/>
    </row>
    <row r="111" spans="1:4" s="33" customFormat="1" ht="12" customHeight="1">
      <c r="A111" s="46" t="s">
        <v>175</v>
      </c>
      <c r="B111" s="83" t="s">
        <v>351</v>
      </c>
      <c r="C111" s="519"/>
      <c r="D111" s="519"/>
    </row>
    <row r="112" spans="1:4" s="33" customFormat="1" ht="12" customHeight="1">
      <c r="A112" s="46" t="s">
        <v>345</v>
      </c>
      <c r="B112" s="84" t="s">
        <v>352</v>
      </c>
      <c r="C112" s="519"/>
      <c r="D112" s="519"/>
    </row>
    <row r="113" spans="1:4" s="33" customFormat="1" ht="12" customHeight="1">
      <c r="A113" s="85" t="s">
        <v>346</v>
      </c>
      <c r="B113" s="82" t="s">
        <v>353</v>
      </c>
      <c r="C113" s="519"/>
      <c r="D113" s="519"/>
    </row>
    <row r="114" spans="1:4" s="33" customFormat="1" ht="12" customHeight="1">
      <c r="A114" s="46" t="s">
        <v>434</v>
      </c>
      <c r="B114" s="82" t="s">
        <v>354</v>
      </c>
      <c r="C114" s="519"/>
      <c r="D114" s="519"/>
    </row>
    <row r="115" spans="1:4" s="33" customFormat="1" ht="12" customHeight="1">
      <c r="A115" s="50" t="s">
        <v>435</v>
      </c>
      <c r="B115" s="82" t="s">
        <v>355</v>
      </c>
      <c r="C115" s="519"/>
      <c r="D115" s="519"/>
    </row>
    <row r="116" spans="1:4" s="33" customFormat="1" ht="12" customHeight="1">
      <c r="A116" s="46" t="s">
        <v>439</v>
      </c>
      <c r="B116" s="80" t="s">
        <v>45</v>
      </c>
      <c r="C116" s="518">
        <f>C117+C118</f>
        <v>0</v>
      </c>
      <c r="D116" s="518">
        <f>D117+D118</f>
        <v>0</v>
      </c>
    </row>
    <row r="117" spans="1:4" s="33" customFormat="1" ht="12" customHeight="1">
      <c r="A117" s="46" t="s">
        <v>440</v>
      </c>
      <c r="B117" s="16" t="s">
        <v>442</v>
      </c>
      <c r="C117" s="518"/>
      <c r="D117" s="518"/>
    </row>
    <row r="118" spans="1:4" s="33" customFormat="1" ht="12" customHeight="1">
      <c r="A118" s="46" t="s">
        <v>441</v>
      </c>
      <c r="B118" s="114" t="s">
        <v>443</v>
      </c>
      <c r="C118" s="518"/>
      <c r="D118" s="518"/>
    </row>
    <row r="119" spans="1:4" s="33" customFormat="1" ht="12" customHeight="1" thickBot="1">
      <c r="A119" s="89" t="s">
        <v>15</v>
      </c>
      <c r="B119" s="90" t="s">
        <v>626</v>
      </c>
      <c r="C119" s="522">
        <f>+C120+C122+C124</f>
        <v>24523700</v>
      </c>
      <c r="D119" s="522">
        <f>+D120+D122+D124</f>
        <v>24523700</v>
      </c>
    </row>
    <row r="120" spans="1:4" s="33" customFormat="1" ht="12" customHeight="1">
      <c r="A120" s="43" t="s">
        <v>99</v>
      </c>
      <c r="B120" s="16" t="s">
        <v>217</v>
      </c>
      <c r="C120" s="523">
        <v>18097500</v>
      </c>
      <c r="D120" s="523">
        <v>18097500</v>
      </c>
    </row>
    <row r="121" spans="1:4" s="33" customFormat="1" ht="12" customHeight="1">
      <c r="A121" s="43" t="s">
        <v>100</v>
      </c>
      <c r="B121" s="91" t="s">
        <v>359</v>
      </c>
      <c r="C121" s="523"/>
      <c r="D121" s="523"/>
    </row>
    <row r="122" spans="1:4" s="33" customFormat="1" ht="12" customHeight="1">
      <c r="A122" s="43" t="s">
        <v>101</v>
      </c>
      <c r="B122" s="91" t="s">
        <v>176</v>
      </c>
      <c r="C122" s="518">
        <v>6426200</v>
      </c>
      <c r="D122" s="518">
        <v>6426200</v>
      </c>
    </row>
    <row r="123" spans="1:4" s="33" customFormat="1" ht="12" customHeight="1">
      <c r="A123" s="43" t="s">
        <v>102</v>
      </c>
      <c r="B123" s="91" t="s">
        <v>360</v>
      </c>
      <c r="C123" s="524"/>
      <c r="D123" s="524"/>
    </row>
    <row r="124" spans="1:4" s="33" customFormat="1" ht="12" customHeight="1">
      <c r="A124" s="43" t="s">
        <v>103</v>
      </c>
      <c r="B124" s="51" t="s">
        <v>219</v>
      </c>
      <c r="C124" s="524">
        <f>C125+C126+C127+C128+C129+C130+C131+C132</f>
        <v>0</v>
      </c>
      <c r="D124" s="524">
        <f>D125+D126+D127+D128+D129+D130+D131+D132</f>
        <v>0</v>
      </c>
    </row>
    <row r="125" spans="1:4" s="33" customFormat="1" ht="12" customHeight="1">
      <c r="A125" s="43" t="s">
        <v>112</v>
      </c>
      <c r="B125" s="49" t="s">
        <v>422</v>
      </c>
      <c r="C125" s="524"/>
      <c r="D125" s="524"/>
    </row>
    <row r="126" spans="1:4" s="33" customFormat="1" ht="12" customHeight="1">
      <c r="A126" s="43" t="s">
        <v>114</v>
      </c>
      <c r="B126" s="93" t="s">
        <v>365</v>
      </c>
      <c r="C126" s="524"/>
      <c r="D126" s="524"/>
    </row>
    <row r="127" spans="1:4" s="33" customFormat="1" ht="15.75">
      <c r="A127" s="43" t="s">
        <v>177</v>
      </c>
      <c r="B127" s="84" t="s">
        <v>349</v>
      </c>
      <c r="C127" s="524"/>
      <c r="D127" s="524"/>
    </row>
    <row r="128" spans="1:4" s="33" customFormat="1" ht="12" customHeight="1">
      <c r="A128" s="43" t="s">
        <v>178</v>
      </c>
      <c r="B128" s="84" t="s">
        <v>364</v>
      </c>
      <c r="C128" s="524"/>
      <c r="D128" s="524"/>
    </row>
    <row r="129" spans="1:4" s="33" customFormat="1" ht="12" customHeight="1">
      <c r="A129" s="43" t="s">
        <v>179</v>
      </c>
      <c r="B129" s="84" t="s">
        <v>363</v>
      </c>
      <c r="C129" s="524"/>
      <c r="D129" s="524"/>
    </row>
    <row r="130" spans="1:4" s="33" customFormat="1" ht="12" customHeight="1">
      <c r="A130" s="43" t="s">
        <v>356</v>
      </c>
      <c r="B130" s="84" t="s">
        <v>352</v>
      </c>
      <c r="C130" s="524"/>
      <c r="D130" s="524"/>
    </row>
    <row r="131" spans="1:4" s="33" customFormat="1" ht="12" customHeight="1">
      <c r="A131" s="43" t="s">
        <v>357</v>
      </c>
      <c r="B131" s="84" t="s">
        <v>362</v>
      </c>
      <c r="C131" s="524"/>
      <c r="D131" s="524"/>
    </row>
    <row r="132" spans="1:4" s="33" customFormat="1" ht="16.5" thickBot="1">
      <c r="A132" s="85" t="s">
        <v>358</v>
      </c>
      <c r="B132" s="84" t="s">
        <v>361</v>
      </c>
      <c r="C132" s="525"/>
      <c r="D132" s="525"/>
    </row>
    <row r="133" spans="1:4" s="33" customFormat="1" ht="12" customHeight="1" thickBot="1">
      <c r="A133" s="39" t="s">
        <v>16</v>
      </c>
      <c r="B133" s="19" t="s">
        <v>444</v>
      </c>
      <c r="C133" s="526">
        <f>+C98+C119</f>
        <v>125246829</v>
      </c>
      <c r="D133" s="526">
        <f>+D98+D119</f>
        <v>123022890</v>
      </c>
    </row>
    <row r="134" spans="1:4" s="33" customFormat="1" ht="12" customHeight="1" thickBot="1">
      <c r="A134" s="39" t="s">
        <v>17</v>
      </c>
      <c r="B134" s="19" t="s">
        <v>445</v>
      </c>
      <c r="C134" s="526">
        <f>+C135+C136+C137</f>
        <v>0</v>
      </c>
      <c r="D134" s="526">
        <f>+D135+D136+D137</f>
        <v>0</v>
      </c>
    </row>
    <row r="135" spans="1:4" s="33" customFormat="1" ht="12" customHeight="1">
      <c r="A135" s="43" t="s">
        <v>257</v>
      </c>
      <c r="B135" s="91" t="s">
        <v>452</v>
      </c>
      <c r="C135" s="524"/>
      <c r="D135" s="524"/>
    </row>
    <row r="136" spans="1:4" s="33" customFormat="1" ht="12" customHeight="1">
      <c r="A136" s="43" t="s">
        <v>260</v>
      </c>
      <c r="B136" s="91" t="s">
        <v>453</v>
      </c>
      <c r="C136" s="524"/>
      <c r="D136" s="524"/>
    </row>
    <row r="137" spans="1:4" s="33" customFormat="1" ht="12" customHeight="1" thickBot="1">
      <c r="A137" s="85" t="s">
        <v>261</v>
      </c>
      <c r="B137" s="91" t="s">
        <v>454</v>
      </c>
      <c r="C137" s="524"/>
      <c r="D137" s="524"/>
    </row>
    <row r="138" spans="1:4" s="33" customFormat="1" ht="12" customHeight="1" thickBot="1">
      <c r="A138" s="39" t="s">
        <v>18</v>
      </c>
      <c r="B138" s="19" t="s">
        <v>446</v>
      </c>
      <c r="C138" s="526">
        <f>SUM(C139:C144)</f>
        <v>0</v>
      </c>
      <c r="D138" s="526">
        <f>SUM(D139:D144)</f>
        <v>0</v>
      </c>
    </row>
    <row r="139" spans="1:4" s="33" customFormat="1" ht="12" customHeight="1">
      <c r="A139" s="43" t="s">
        <v>86</v>
      </c>
      <c r="B139" s="18" t="s">
        <v>455</v>
      </c>
      <c r="C139" s="524"/>
      <c r="D139" s="524"/>
    </row>
    <row r="140" spans="1:4" s="33" customFormat="1" ht="12" customHeight="1">
      <c r="A140" s="43" t="s">
        <v>87</v>
      </c>
      <c r="B140" s="18" t="s">
        <v>447</v>
      </c>
      <c r="C140" s="524"/>
      <c r="D140" s="524"/>
    </row>
    <row r="141" spans="1:4" s="33" customFormat="1" ht="12" customHeight="1">
      <c r="A141" s="43" t="s">
        <v>88</v>
      </c>
      <c r="B141" s="18" t="s">
        <v>448</v>
      </c>
      <c r="C141" s="524"/>
      <c r="D141" s="524"/>
    </row>
    <row r="142" spans="1:4" s="33" customFormat="1" ht="12" customHeight="1">
      <c r="A142" s="43" t="s">
        <v>164</v>
      </c>
      <c r="B142" s="18" t="s">
        <v>449</v>
      </c>
      <c r="C142" s="524"/>
      <c r="D142" s="524"/>
    </row>
    <row r="143" spans="1:4" s="33" customFormat="1" ht="12" customHeight="1">
      <c r="A143" s="43" t="s">
        <v>165</v>
      </c>
      <c r="B143" s="18" t="s">
        <v>450</v>
      </c>
      <c r="C143" s="524"/>
      <c r="D143" s="524"/>
    </row>
    <row r="144" spans="1:4" s="33" customFormat="1" ht="12" customHeight="1" thickBot="1">
      <c r="A144" s="85" t="s">
        <v>166</v>
      </c>
      <c r="B144" s="18" t="s">
        <v>451</v>
      </c>
      <c r="C144" s="524"/>
      <c r="D144" s="524"/>
    </row>
    <row r="145" spans="1:4" s="33" customFormat="1" ht="12" customHeight="1" thickBot="1">
      <c r="A145" s="39" t="s">
        <v>19</v>
      </c>
      <c r="B145" s="19" t="s">
        <v>459</v>
      </c>
      <c r="C145" s="527">
        <f>+C146+C147+C148+C149</f>
        <v>0</v>
      </c>
      <c r="D145" s="527">
        <f>+D146+D147+D148+D149</f>
        <v>0</v>
      </c>
    </row>
    <row r="146" spans="1:4" s="33" customFormat="1" ht="12" customHeight="1">
      <c r="A146" s="43" t="s">
        <v>89</v>
      </c>
      <c r="B146" s="18" t="s">
        <v>366</v>
      </c>
      <c r="C146" s="524"/>
      <c r="D146" s="524"/>
    </row>
    <row r="147" spans="1:4" s="33" customFormat="1" ht="12" customHeight="1">
      <c r="A147" s="43" t="s">
        <v>90</v>
      </c>
      <c r="B147" s="18" t="s">
        <v>367</v>
      </c>
      <c r="C147" s="524"/>
      <c r="D147" s="524"/>
    </row>
    <row r="148" spans="1:4" s="33" customFormat="1" ht="12" customHeight="1">
      <c r="A148" s="43" t="s">
        <v>281</v>
      </c>
      <c r="B148" s="18" t="s">
        <v>460</v>
      </c>
      <c r="C148" s="524"/>
      <c r="D148" s="524"/>
    </row>
    <row r="149" spans="1:4" s="33" customFormat="1" ht="12" customHeight="1" thickBot="1">
      <c r="A149" s="85" t="s">
        <v>282</v>
      </c>
      <c r="B149" s="17" t="s">
        <v>386</v>
      </c>
      <c r="C149" s="524"/>
      <c r="D149" s="524"/>
    </row>
    <row r="150" spans="1:4" s="33" customFormat="1" ht="12" customHeight="1" thickBot="1">
      <c r="A150" s="39" t="s">
        <v>20</v>
      </c>
      <c r="B150" s="19" t="s">
        <v>461</v>
      </c>
      <c r="C150" s="528">
        <f>SUM(C151:C155)</f>
        <v>0</v>
      </c>
      <c r="D150" s="528">
        <f>SUM(D151:D155)</f>
        <v>0</v>
      </c>
    </row>
    <row r="151" spans="1:4" s="33" customFormat="1" ht="12" customHeight="1">
      <c r="A151" s="43" t="s">
        <v>91</v>
      </c>
      <c r="B151" s="18" t="s">
        <v>456</v>
      </c>
      <c r="C151" s="524"/>
      <c r="D151" s="524"/>
    </row>
    <row r="152" spans="1:4" s="33" customFormat="1" ht="12" customHeight="1">
      <c r="A152" s="43" t="s">
        <v>92</v>
      </c>
      <c r="B152" s="18" t="s">
        <v>463</v>
      </c>
      <c r="C152" s="524"/>
      <c r="D152" s="524"/>
    </row>
    <row r="153" spans="1:4" s="33" customFormat="1" ht="12" customHeight="1">
      <c r="A153" s="43" t="s">
        <v>293</v>
      </c>
      <c r="B153" s="18" t="s">
        <v>458</v>
      </c>
      <c r="C153" s="524"/>
      <c r="D153" s="524"/>
    </row>
    <row r="154" spans="1:4" s="33" customFormat="1" ht="12" customHeight="1">
      <c r="A154" s="43" t="s">
        <v>294</v>
      </c>
      <c r="B154" s="18" t="s">
        <v>464</v>
      </c>
      <c r="C154" s="524"/>
      <c r="D154" s="524"/>
    </row>
    <row r="155" spans="1:4" s="33" customFormat="1" ht="12" customHeight="1" thickBot="1">
      <c r="A155" s="43" t="s">
        <v>462</v>
      </c>
      <c r="B155" s="18" t="s">
        <v>465</v>
      </c>
      <c r="C155" s="524"/>
      <c r="D155" s="524"/>
    </row>
    <row r="156" spans="1:4" s="33" customFormat="1" ht="12" customHeight="1" thickBot="1">
      <c r="A156" s="39" t="s">
        <v>21</v>
      </c>
      <c r="B156" s="19" t="s">
        <v>466</v>
      </c>
      <c r="C156" s="529"/>
      <c r="D156" s="529"/>
    </row>
    <row r="157" spans="1:4" s="33" customFormat="1" ht="12" customHeight="1" thickBot="1">
      <c r="A157" s="39" t="s">
        <v>22</v>
      </c>
      <c r="B157" s="19" t="s">
        <v>467</v>
      </c>
      <c r="C157" s="529"/>
      <c r="D157" s="529"/>
    </row>
    <row r="158" spans="1:4" s="33" customFormat="1" ht="15" customHeight="1" thickBot="1">
      <c r="A158" s="39" t="s">
        <v>23</v>
      </c>
      <c r="B158" s="19" t="s">
        <v>469</v>
      </c>
      <c r="C158" s="530">
        <f>+C134+C138+C145+C150+C156+C157</f>
        <v>0</v>
      </c>
      <c r="D158" s="530">
        <f>+D134+D138+D145+D150+D156+D157</f>
        <v>0</v>
      </c>
    </row>
    <row r="159" spans="1:4" s="42" customFormat="1" ht="12.95" customHeight="1" thickBot="1">
      <c r="A159" s="98" t="s">
        <v>24</v>
      </c>
      <c r="B159" s="99" t="s">
        <v>468</v>
      </c>
      <c r="C159" s="530">
        <f>+C133+C158</f>
        <v>125246829</v>
      </c>
      <c r="D159" s="530">
        <f>+D133+D158</f>
        <v>123022890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9" fitToHeight="2" orientation="portrait" r:id="rId1"/>
  <headerFooter alignWithMargins="0">
    <oddHeader>&amp;R&amp;"Times New Roman CE,Félkövér dőlt"&amp;11 1.1. melléklet a 5/2019. (III.28.) önkormányzati rendelethez</oddHeader>
    <oddFooter>&amp;P. oldal, összesen: &amp;N</oddFooter>
  </headerFooter>
  <rowBreaks count="3" manualBreakCount="3">
    <brk id="67" max="3" man="1"/>
    <brk id="92" max="3" man="1"/>
    <brk id="133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B7" sqref="B7"/>
    </sheetView>
  </sheetViews>
  <sheetFormatPr defaultRowHeight="12.75"/>
  <cols>
    <col min="1" max="1" width="5.83203125" style="346" customWidth="1"/>
    <col min="2" max="2" width="54.83203125" style="9" customWidth="1"/>
    <col min="3" max="4" width="17.6640625" style="9" customWidth="1"/>
    <col min="5" max="16384" width="9.33203125" style="9"/>
  </cols>
  <sheetData>
    <row r="1" spans="1:4" ht="31.5" customHeight="1">
      <c r="B1" s="763" t="s">
        <v>5</v>
      </c>
      <c r="C1" s="763"/>
      <c r="D1" s="763"/>
    </row>
    <row r="2" spans="1:4" s="349" customFormat="1" ht="16.5" thickBot="1">
      <c r="A2" s="348"/>
      <c r="B2" s="347"/>
      <c r="D2" s="350" t="s">
        <v>581</v>
      </c>
    </row>
    <row r="3" spans="1:4" s="354" customFormat="1" ht="48" customHeight="1" thickBot="1">
      <c r="A3" s="351" t="s">
        <v>12</v>
      </c>
      <c r="B3" s="352" t="s">
        <v>13</v>
      </c>
      <c r="C3" s="352" t="s">
        <v>66</v>
      </c>
      <c r="D3" s="353" t="s">
        <v>67</v>
      </c>
    </row>
    <row r="4" spans="1:4" s="354" customFormat="1" ht="14.1" customHeight="1" thickBot="1">
      <c r="A4" s="10" t="s">
        <v>483</v>
      </c>
      <c r="B4" s="11" t="s">
        <v>484</v>
      </c>
      <c r="C4" s="11" t="s">
        <v>485</v>
      </c>
      <c r="D4" s="12" t="s">
        <v>487</v>
      </c>
    </row>
    <row r="5" spans="1:4" ht="18" customHeight="1">
      <c r="A5" s="355" t="s">
        <v>14</v>
      </c>
      <c r="B5" s="356" t="s">
        <v>156</v>
      </c>
      <c r="C5" s="357"/>
      <c r="D5" s="20"/>
    </row>
    <row r="6" spans="1:4" ht="18" customHeight="1">
      <c r="A6" s="358" t="s">
        <v>15</v>
      </c>
      <c r="B6" s="359" t="s">
        <v>157</v>
      </c>
      <c r="C6" s="360"/>
      <c r="D6" s="27"/>
    </row>
    <row r="7" spans="1:4" ht="18" customHeight="1">
      <c r="A7" s="358" t="s">
        <v>16</v>
      </c>
      <c r="B7" s="359" t="s">
        <v>115</v>
      </c>
      <c r="C7" s="360"/>
      <c r="D7" s="27"/>
    </row>
    <row r="8" spans="1:4" ht="18" customHeight="1">
      <c r="A8" s="358" t="s">
        <v>17</v>
      </c>
      <c r="B8" s="359" t="s">
        <v>116</v>
      </c>
      <c r="C8" s="360"/>
      <c r="D8" s="27"/>
    </row>
    <row r="9" spans="1:4" ht="18" customHeight="1">
      <c r="A9" s="358" t="s">
        <v>18</v>
      </c>
      <c r="B9" s="359" t="s">
        <v>149</v>
      </c>
      <c r="C9" s="360"/>
      <c r="D9" s="27"/>
    </row>
    <row r="10" spans="1:4" ht="18" customHeight="1">
      <c r="A10" s="358" t="s">
        <v>19</v>
      </c>
      <c r="B10" s="359" t="s">
        <v>150</v>
      </c>
      <c r="C10" s="360"/>
      <c r="D10" s="27"/>
    </row>
    <row r="11" spans="1:4" ht="18" customHeight="1">
      <c r="A11" s="358" t="s">
        <v>20</v>
      </c>
      <c r="B11" s="361" t="s">
        <v>151</v>
      </c>
      <c r="C11" s="360"/>
      <c r="D11" s="27"/>
    </row>
    <row r="12" spans="1:4" ht="18" customHeight="1">
      <c r="A12" s="358" t="s">
        <v>22</v>
      </c>
      <c r="B12" s="361" t="s">
        <v>152</v>
      </c>
      <c r="C12" s="360"/>
      <c r="D12" s="27"/>
    </row>
    <row r="13" spans="1:4" ht="18" customHeight="1">
      <c r="A13" s="358" t="s">
        <v>23</v>
      </c>
      <c r="B13" s="361" t="s">
        <v>153</v>
      </c>
      <c r="C13" s="360"/>
      <c r="D13" s="27"/>
    </row>
    <row r="14" spans="1:4" ht="18" customHeight="1">
      <c r="A14" s="358" t="s">
        <v>24</v>
      </c>
      <c r="B14" s="361" t="s">
        <v>154</v>
      </c>
      <c r="C14" s="360"/>
      <c r="D14" s="27"/>
    </row>
    <row r="15" spans="1:4" ht="22.5" customHeight="1">
      <c r="A15" s="358" t="s">
        <v>25</v>
      </c>
      <c r="B15" s="361" t="s">
        <v>155</v>
      </c>
      <c r="C15" s="360"/>
      <c r="D15" s="27"/>
    </row>
    <row r="16" spans="1:4" ht="18" customHeight="1">
      <c r="A16" s="358" t="s">
        <v>26</v>
      </c>
      <c r="B16" s="359" t="s">
        <v>117</v>
      </c>
      <c r="C16" s="360"/>
      <c r="D16" s="27"/>
    </row>
    <row r="17" spans="1:4" ht="18" customHeight="1">
      <c r="A17" s="358" t="s">
        <v>27</v>
      </c>
      <c r="B17" s="359" t="s">
        <v>7</v>
      </c>
      <c r="C17" s="360"/>
      <c r="D17" s="27"/>
    </row>
    <row r="18" spans="1:4" ht="18" customHeight="1">
      <c r="A18" s="358" t="s">
        <v>28</v>
      </c>
      <c r="B18" s="359" t="s">
        <v>6</v>
      </c>
      <c r="C18" s="360"/>
      <c r="D18" s="27"/>
    </row>
    <row r="19" spans="1:4" ht="18" customHeight="1">
      <c r="A19" s="358" t="s">
        <v>29</v>
      </c>
      <c r="B19" s="359" t="s">
        <v>118</v>
      </c>
      <c r="C19" s="360"/>
      <c r="D19" s="27"/>
    </row>
    <row r="20" spans="1:4" ht="18" customHeight="1">
      <c r="A20" s="358" t="s">
        <v>30</v>
      </c>
      <c r="B20" s="359" t="s">
        <v>119</v>
      </c>
      <c r="C20" s="360"/>
      <c r="D20" s="27"/>
    </row>
    <row r="21" spans="1:4" ht="18" customHeight="1">
      <c r="A21" s="358" t="s">
        <v>31</v>
      </c>
      <c r="B21" s="362"/>
      <c r="C21" s="171"/>
      <c r="D21" s="27"/>
    </row>
    <row r="22" spans="1:4" ht="18" customHeight="1">
      <c r="A22" s="358" t="s">
        <v>32</v>
      </c>
      <c r="B22" s="363"/>
      <c r="C22" s="171"/>
      <c r="D22" s="27"/>
    </row>
    <row r="23" spans="1:4" ht="18" customHeight="1">
      <c r="A23" s="358" t="s">
        <v>33</v>
      </c>
      <c r="B23" s="363"/>
      <c r="C23" s="171"/>
      <c r="D23" s="27"/>
    </row>
    <row r="24" spans="1:4" ht="18" customHeight="1">
      <c r="A24" s="358" t="s">
        <v>34</v>
      </c>
      <c r="B24" s="363"/>
      <c r="C24" s="171"/>
      <c r="D24" s="27"/>
    </row>
    <row r="25" spans="1:4" ht="18" customHeight="1">
      <c r="A25" s="358" t="s">
        <v>35</v>
      </c>
      <c r="B25" s="363"/>
      <c r="C25" s="171"/>
      <c r="D25" s="27"/>
    </row>
    <row r="26" spans="1:4" ht="18" customHeight="1">
      <c r="A26" s="358" t="s">
        <v>36</v>
      </c>
      <c r="B26" s="363"/>
      <c r="C26" s="171"/>
      <c r="D26" s="27"/>
    </row>
    <row r="27" spans="1:4" ht="18" customHeight="1">
      <c r="A27" s="358" t="s">
        <v>37</v>
      </c>
      <c r="B27" s="363"/>
      <c r="C27" s="171"/>
      <c r="D27" s="27"/>
    </row>
    <row r="28" spans="1:4" ht="18" customHeight="1">
      <c r="A28" s="358" t="s">
        <v>38</v>
      </c>
      <c r="B28" s="363"/>
      <c r="C28" s="171"/>
      <c r="D28" s="27"/>
    </row>
    <row r="29" spans="1:4" ht="18" customHeight="1" thickBot="1">
      <c r="A29" s="364" t="s">
        <v>39</v>
      </c>
      <c r="B29" s="365"/>
      <c r="C29" s="366"/>
      <c r="D29" s="21"/>
    </row>
    <row r="30" spans="1:4" ht="18" customHeight="1" thickBot="1">
      <c r="A30" s="367" t="s">
        <v>40</v>
      </c>
      <c r="B30" s="368" t="s">
        <v>48</v>
      </c>
      <c r="C30" s="369">
        <f>+C5+C6+C7+C8+C9+C16+C17+C18+C19+C20+C21+C22+C23+C24+C25+C26+C27+C28+C29</f>
        <v>0</v>
      </c>
      <c r="D30" s="370">
        <f>+D5+D6+D7+D8+D9+D16+D17+D18+D19+D20+D21+D22+D23+D24+D25+D26+D27+D28+D29</f>
        <v>0</v>
      </c>
    </row>
    <row r="31" spans="1:4" ht="8.25" customHeight="1">
      <c r="A31" s="371"/>
      <c r="B31" s="762"/>
      <c r="C31" s="762"/>
      <c r="D31" s="762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73"/>
  <sheetViews>
    <sheetView topLeftCell="A56" zoomScaleNormal="100" workbookViewId="0">
      <selection activeCell="E63" sqref="E63"/>
    </sheetView>
  </sheetViews>
  <sheetFormatPr defaultRowHeight="15.75"/>
  <cols>
    <col min="1" max="1" width="6.6640625" style="403" bestFit="1" customWidth="1"/>
    <col min="2" max="2" width="66.1640625" style="404" bestFit="1" customWidth="1"/>
    <col min="3" max="3" width="16.33203125" style="404" bestFit="1" customWidth="1"/>
    <col min="4" max="4" width="15.6640625" style="404" bestFit="1" customWidth="1"/>
    <col min="5" max="5" width="16.33203125" style="404" bestFit="1" customWidth="1"/>
    <col min="6" max="6" width="15.6640625" style="404" bestFit="1" customWidth="1"/>
    <col min="7" max="9" width="16.33203125" style="404" bestFit="1" customWidth="1"/>
    <col min="10" max="10" width="16" style="404" bestFit="1" customWidth="1"/>
    <col min="11" max="11" width="14.6640625" style="404" bestFit="1" customWidth="1"/>
    <col min="12" max="14" width="15.6640625" style="404" bestFit="1" customWidth="1"/>
    <col min="15" max="15" width="18.1640625" style="405" bestFit="1" customWidth="1"/>
    <col min="16" max="16384" width="9.33203125" style="404"/>
  </cols>
  <sheetData>
    <row r="1" spans="1:15">
      <c r="B1" s="404" t="s">
        <v>536</v>
      </c>
      <c r="L1" s="764" t="s">
        <v>661</v>
      </c>
      <c r="M1" s="764"/>
      <c r="N1" s="764"/>
    </row>
    <row r="4" spans="1:15" ht="20.25" customHeight="1">
      <c r="A4" s="765" t="s">
        <v>689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</row>
    <row r="5" spans="1:15" ht="21" customHeight="1">
      <c r="A5" s="765" t="s">
        <v>690</v>
      </c>
      <c r="B5" s="765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</row>
    <row r="6" spans="1:15" ht="21" customHeight="1">
      <c r="A6" s="480"/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</row>
    <row r="7" spans="1:15" ht="16.5" thickBot="1">
      <c r="O7" s="471" t="s">
        <v>581</v>
      </c>
    </row>
    <row r="8" spans="1:15" s="403" customFormat="1" ht="31.5" customHeight="1" thickBot="1">
      <c r="A8" s="481" t="s">
        <v>12</v>
      </c>
      <c r="B8" s="482" t="s">
        <v>56</v>
      </c>
      <c r="C8" s="482" t="s">
        <v>68</v>
      </c>
      <c r="D8" s="482" t="s">
        <v>69</v>
      </c>
      <c r="E8" s="482" t="s">
        <v>70</v>
      </c>
      <c r="F8" s="482" t="s">
        <v>71</v>
      </c>
      <c r="G8" s="482" t="s">
        <v>72</v>
      </c>
      <c r="H8" s="482" t="s">
        <v>73</v>
      </c>
      <c r="I8" s="482" t="s">
        <v>74</v>
      </c>
      <c r="J8" s="482" t="s">
        <v>75</v>
      </c>
      <c r="K8" s="482" t="s">
        <v>76</v>
      </c>
      <c r="L8" s="482" t="s">
        <v>77</v>
      </c>
      <c r="M8" s="482" t="s">
        <v>78</v>
      </c>
      <c r="N8" s="482" t="s">
        <v>79</v>
      </c>
      <c r="O8" s="483" t="s">
        <v>46</v>
      </c>
    </row>
    <row r="9" spans="1:15" s="485" customFormat="1" ht="15" customHeight="1" thickBot="1">
      <c r="A9" s="484"/>
      <c r="B9" s="767" t="s">
        <v>51</v>
      </c>
      <c r="C9" s="768"/>
      <c r="D9" s="768"/>
      <c r="E9" s="768"/>
      <c r="F9" s="768"/>
      <c r="G9" s="768"/>
      <c r="H9" s="768"/>
      <c r="I9" s="768"/>
      <c r="J9" s="768"/>
      <c r="K9" s="768"/>
      <c r="L9" s="768"/>
      <c r="M9" s="768"/>
      <c r="N9" s="768"/>
      <c r="O9" s="769"/>
    </row>
    <row r="10" spans="1:15" s="490" customFormat="1" ht="22.5" customHeight="1">
      <c r="A10" s="486" t="s">
        <v>14</v>
      </c>
      <c r="B10" s="487" t="s">
        <v>369</v>
      </c>
      <c r="C10" s="488">
        <f>223966276/12</f>
        <v>18663856.333333332</v>
      </c>
      <c r="D10" s="488">
        <f t="shared" ref="D10:N10" si="0">223966276/12</f>
        <v>18663856.333333332</v>
      </c>
      <c r="E10" s="488">
        <f t="shared" si="0"/>
        <v>18663856.333333332</v>
      </c>
      <c r="F10" s="488">
        <f t="shared" si="0"/>
        <v>18663856.333333332</v>
      </c>
      <c r="G10" s="488">
        <f t="shared" si="0"/>
        <v>18663856.333333332</v>
      </c>
      <c r="H10" s="488">
        <f t="shared" si="0"/>
        <v>18663856.333333332</v>
      </c>
      <c r="I10" s="488">
        <f t="shared" si="0"/>
        <v>18663856.333333332</v>
      </c>
      <c r="J10" s="488">
        <f t="shared" si="0"/>
        <v>18663856.333333332</v>
      </c>
      <c r="K10" s="488">
        <f t="shared" si="0"/>
        <v>18663856.333333332</v>
      </c>
      <c r="L10" s="488">
        <f t="shared" si="0"/>
        <v>18663856.333333332</v>
      </c>
      <c r="M10" s="488">
        <f t="shared" si="0"/>
        <v>18663856.333333332</v>
      </c>
      <c r="N10" s="488">
        <f t="shared" si="0"/>
        <v>18663856.333333332</v>
      </c>
      <c r="O10" s="489">
        <f t="shared" ref="O10:O19" si="1">SUM(C10:N10)</f>
        <v>223966276.00000003</v>
      </c>
    </row>
    <row r="11" spans="1:15" s="490" customFormat="1" ht="22.5" customHeight="1">
      <c r="A11" s="486" t="s">
        <v>15</v>
      </c>
      <c r="B11" s="487" t="s">
        <v>591</v>
      </c>
      <c r="C11" s="488">
        <f>89479+505300+227619-2</f>
        <v>822396</v>
      </c>
      <c r="D11" s="488">
        <f>89479+505300+306000</f>
        <v>900779</v>
      </c>
      <c r="E11" s="488">
        <f>4269996+38640+150535+505300</f>
        <v>4964471</v>
      </c>
      <c r="F11" s="488">
        <f>4269996+38640+150535+505300</f>
        <v>4964471</v>
      </c>
      <c r="G11" s="488">
        <f>4269996+38640+150535+505300</f>
        <v>4964471</v>
      </c>
      <c r="H11" s="488">
        <f>4269996+38640+505300</f>
        <v>4813936</v>
      </c>
      <c r="I11" s="488">
        <f>4269996+38640+505300</f>
        <v>4813936</v>
      </c>
      <c r="J11" s="488">
        <f>4269996+38640+505300+23000000</f>
        <v>27813936</v>
      </c>
      <c r="K11" s="488">
        <f>4269996+38640+505300+1639729+112502</f>
        <v>6566167</v>
      </c>
      <c r="L11" s="488">
        <f>4269996+38640+505300</f>
        <v>4813936</v>
      </c>
      <c r="M11" s="488">
        <f>4269996+38640+505300</f>
        <v>4813936</v>
      </c>
      <c r="N11" s="488">
        <f>4269996+38640+505300</f>
        <v>4813936</v>
      </c>
      <c r="O11" s="489">
        <f t="shared" si="1"/>
        <v>75066371</v>
      </c>
    </row>
    <row r="12" spans="1:15" s="490" customFormat="1" ht="22.5" customHeight="1">
      <c r="A12" s="486" t="s">
        <v>16</v>
      </c>
      <c r="B12" s="487" t="s">
        <v>590</v>
      </c>
      <c r="C12" s="488"/>
      <c r="D12" s="488"/>
      <c r="E12" s="488"/>
      <c r="F12" s="488"/>
      <c r="G12" s="488"/>
      <c r="H12" s="488"/>
      <c r="I12" s="488"/>
      <c r="J12" s="488"/>
      <c r="K12" s="488">
        <f>39844721</f>
        <v>39844721</v>
      </c>
      <c r="L12" s="488"/>
      <c r="M12" s="488"/>
      <c r="N12" s="488"/>
      <c r="O12" s="489">
        <f t="shared" si="1"/>
        <v>39844721</v>
      </c>
    </row>
    <row r="13" spans="1:15" s="490" customFormat="1" ht="22.5" customHeight="1">
      <c r="A13" s="486" t="s">
        <v>17</v>
      </c>
      <c r="B13" s="487" t="s">
        <v>163</v>
      </c>
      <c r="C13" s="488">
        <f>136700000/12</f>
        <v>11391666.666666666</v>
      </c>
      <c r="D13" s="488">
        <f t="shared" ref="D13:N13" si="2">136700000/12</f>
        <v>11391666.666666666</v>
      </c>
      <c r="E13" s="488">
        <f t="shared" si="2"/>
        <v>11391666.666666666</v>
      </c>
      <c r="F13" s="488">
        <f t="shared" si="2"/>
        <v>11391666.666666666</v>
      </c>
      <c r="G13" s="488">
        <f t="shared" si="2"/>
        <v>11391666.666666666</v>
      </c>
      <c r="H13" s="488">
        <f t="shared" si="2"/>
        <v>11391666.666666666</v>
      </c>
      <c r="I13" s="488">
        <f t="shared" si="2"/>
        <v>11391666.666666666</v>
      </c>
      <c r="J13" s="488">
        <f t="shared" si="2"/>
        <v>11391666.666666666</v>
      </c>
      <c r="K13" s="488">
        <f t="shared" si="2"/>
        <v>11391666.666666666</v>
      </c>
      <c r="L13" s="488">
        <f t="shared" si="2"/>
        <v>11391666.666666666</v>
      </c>
      <c r="M13" s="488">
        <f t="shared" si="2"/>
        <v>11391666.666666666</v>
      </c>
      <c r="N13" s="488">
        <f t="shared" si="2"/>
        <v>11391666.666666666</v>
      </c>
      <c r="O13" s="489">
        <f t="shared" si="1"/>
        <v>136700000.00000003</v>
      </c>
    </row>
    <row r="14" spans="1:15" s="490" customFormat="1" ht="22.5" customHeight="1">
      <c r="A14" s="486" t="s">
        <v>18</v>
      </c>
      <c r="B14" s="487" t="s">
        <v>415</v>
      </c>
      <c r="C14" s="488">
        <f>125000+15875+21167+444500+174625+1000</f>
        <v>782167</v>
      </c>
      <c r="D14" s="488">
        <f>125000+15875+21167+174625+1000</f>
        <v>337667</v>
      </c>
      <c r="E14" s="488">
        <f>125000+250+15875+21167+174625+1000</f>
        <v>337917</v>
      </c>
      <c r="F14" s="488">
        <f>125000+2928874+6400+15875+21167+174625+1000</f>
        <v>3272941</v>
      </c>
      <c r="G14" s="488">
        <f>125000+15875+21167+174625+1000</f>
        <v>337667</v>
      </c>
      <c r="H14" s="488">
        <f>125000+250+470000+15875+21167+174625+1000+7601204+3829304+404897</f>
        <v>12643322</v>
      </c>
      <c r="I14" s="488">
        <f>125000+15875+21167+49530000+174625+1000</f>
        <v>49867667</v>
      </c>
      <c r="J14" s="488">
        <f>125000+15875+21167+49530000+11864429+174625+1000</f>
        <v>61732096</v>
      </c>
      <c r="K14" s="488">
        <f>125000+250+15875+21167+174625+1000</f>
        <v>337917</v>
      </c>
      <c r="L14" s="488">
        <f>125000+15875+21167+174625+1000</f>
        <v>337667</v>
      </c>
      <c r="M14" s="488">
        <f>125000+15875+21167+174625</f>
        <v>336667</v>
      </c>
      <c r="N14" s="488">
        <f>125000+250+15875+21167+174625</f>
        <v>336917</v>
      </c>
      <c r="O14" s="489">
        <f t="shared" si="1"/>
        <v>130660612</v>
      </c>
    </row>
    <row r="15" spans="1:15" s="490" customFormat="1" ht="22.5" customHeight="1">
      <c r="A15" s="486" t="s">
        <v>19</v>
      </c>
      <c r="B15" s="487" t="s">
        <v>8</v>
      </c>
      <c r="C15" s="488">
        <f>10000</f>
        <v>10000</v>
      </c>
      <c r="D15" s="488">
        <f>10000</f>
        <v>10000</v>
      </c>
      <c r="E15" s="488">
        <f>10000</f>
        <v>10000</v>
      </c>
      <c r="F15" s="488">
        <f>10000</f>
        <v>10000</v>
      </c>
      <c r="G15" s="488">
        <f>10000</f>
        <v>10000</v>
      </c>
      <c r="H15" s="488">
        <f>10000+7000000</f>
        <v>7010000</v>
      </c>
      <c r="I15" s="488">
        <f>10000</f>
        <v>10000</v>
      </c>
      <c r="J15" s="488">
        <f>10000</f>
        <v>10000</v>
      </c>
      <c r="K15" s="488">
        <f>10000</f>
        <v>10000</v>
      </c>
      <c r="L15" s="488">
        <f>10000</f>
        <v>10000</v>
      </c>
      <c r="M15" s="488"/>
      <c r="N15" s="488"/>
      <c r="O15" s="489">
        <f t="shared" si="1"/>
        <v>7100000</v>
      </c>
    </row>
    <row r="16" spans="1:15" s="490" customFormat="1" ht="22.5" customHeight="1">
      <c r="A16" s="486" t="s">
        <v>20</v>
      </c>
      <c r="B16" s="487" t="s">
        <v>371</v>
      </c>
      <c r="C16" s="488"/>
      <c r="D16" s="488">
        <v>505503</v>
      </c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9">
        <f t="shared" si="1"/>
        <v>505503</v>
      </c>
    </row>
    <row r="17" spans="1:15" s="490" customFormat="1" ht="22.5" customHeight="1">
      <c r="A17" s="486" t="s">
        <v>21</v>
      </c>
      <c r="B17" s="487" t="s">
        <v>403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9">
        <f t="shared" si="1"/>
        <v>0</v>
      </c>
    </row>
    <row r="18" spans="1:15" s="490" customFormat="1" ht="22.5" customHeight="1" thickBot="1">
      <c r="A18" s="486" t="s">
        <v>22</v>
      </c>
      <c r="B18" s="487" t="s">
        <v>9</v>
      </c>
      <c r="C18" s="488">
        <v>541000000</v>
      </c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9">
        <f t="shared" si="1"/>
        <v>541000000</v>
      </c>
    </row>
    <row r="19" spans="1:15" s="495" customFormat="1" ht="15.95" customHeight="1" thickBot="1">
      <c r="A19" s="491"/>
      <c r="B19" s="492" t="s">
        <v>104</v>
      </c>
      <c r="C19" s="493">
        <f t="shared" ref="C19:N19" si="3">SUM(C10:C18)</f>
        <v>572670086</v>
      </c>
      <c r="D19" s="493">
        <f t="shared" si="3"/>
        <v>31809472</v>
      </c>
      <c r="E19" s="493">
        <f t="shared" si="3"/>
        <v>35367911</v>
      </c>
      <c r="F19" s="493">
        <f t="shared" si="3"/>
        <v>38302935</v>
      </c>
      <c r="G19" s="493">
        <f t="shared" si="3"/>
        <v>35367661</v>
      </c>
      <c r="H19" s="493">
        <f t="shared" si="3"/>
        <v>54522781</v>
      </c>
      <c r="I19" s="493">
        <f t="shared" si="3"/>
        <v>84747126</v>
      </c>
      <c r="J19" s="493">
        <f t="shared" si="3"/>
        <v>119611555</v>
      </c>
      <c r="K19" s="493">
        <f t="shared" si="3"/>
        <v>76814328</v>
      </c>
      <c r="L19" s="493">
        <f t="shared" si="3"/>
        <v>35217126</v>
      </c>
      <c r="M19" s="493">
        <f t="shared" si="3"/>
        <v>35206126</v>
      </c>
      <c r="N19" s="493">
        <f t="shared" si="3"/>
        <v>35206376</v>
      </c>
      <c r="O19" s="494">
        <f t="shared" si="1"/>
        <v>1154843483</v>
      </c>
    </row>
    <row r="20" spans="1:15" s="495" customFormat="1" ht="15.95" customHeight="1">
      <c r="A20" s="496"/>
      <c r="B20" s="497"/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</row>
    <row r="21" spans="1:15" s="495" customFormat="1" ht="15.95" customHeight="1">
      <c r="A21" s="499"/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</row>
    <row r="22" spans="1:15" s="485" customFormat="1" ht="15" customHeight="1" thickBot="1">
      <c r="A22" s="502"/>
      <c r="B22" s="770" t="s">
        <v>52</v>
      </c>
      <c r="C22" s="771"/>
      <c r="D22" s="771"/>
      <c r="E22" s="771"/>
      <c r="F22" s="771"/>
      <c r="G22" s="771"/>
      <c r="H22" s="771"/>
      <c r="I22" s="771"/>
      <c r="J22" s="771"/>
      <c r="K22" s="771"/>
      <c r="L22" s="771"/>
      <c r="M22" s="771"/>
      <c r="N22" s="771"/>
      <c r="O22" s="772"/>
    </row>
    <row r="23" spans="1:15" s="490" customFormat="1" ht="22.5" customHeight="1">
      <c r="A23" s="486" t="s">
        <v>14</v>
      </c>
      <c r="B23" s="487" t="s">
        <v>57</v>
      </c>
      <c r="C23" s="488">
        <f>289590+5296811+5</f>
        <v>5586406</v>
      </c>
      <c r="D23" s="488">
        <f>289590+5296811</f>
        <v>5586401</v>
      </c>
      <c r="E23" s="488">
        <f>5296811</f>
        <v>5296811</v>
      </c>
      <c r="F23" s="488">
        <f>5296811</f>
        <v>5296811</v>
      </c>
      <c r="G23" s="488">
        <f>5296811</f>
        <v>5296811</v>
      </c>
      <c r="H23" s="488">
        <f>5296811</f>
        <v>5296811</v>
      </c>
      <c r="I23" s="488">
        <f>6877200+5296811</f>
        <v>12174011</v>
      </c>
      <c r="J23" s="488">
        <f>6877200+5296811</f>
        <v>12174011</v>
      </c>
      <c r="K23" s="488">
        <f>5296811</f>
        <v>5296811</v>
      </c>
      <c r="L23" s="488">
        <f>5296811</f>
        <v>5296811</v>
      </c>
      <c r="M23" s="488">
        <f>3144000+5296811</f>
        <v>8440811</v>
      </c>
      <c r="N23" s="488">
        <f>5296811</f>
        <v>5296811</v>
      </c>
      <c r="O23" s="489">
        <f>SUM(C23:N23)</f>
        <v>81039317</v>
      </c>
    </row>
    <row r="24" spans="1:15" s="490" customFormat="1" ht="22.5" customHeight="1">
      <c r="A24" s="486" t="s">
        <v>15</v>
      </c>
      <c r="B24" s="487" t="s">
        <v>172</v>
      </c>
      <c r="C24" s="488">
        <f>23847+1136734-5</f>
        <v>1160576</v>
      </c>
      <c r="D24" s="488">
        <f>23847+1136734</f>
        <v>1160581</v>
      </c>
      <c r="E24" s="488">
        <f>1136734</f>
        <v>1136734</v>
      </c>
      <c r="F24" s="488">
        <f>1136734</f>
        <v>1136734</v>
      </c>
      <c r="G24" s="488">
        <f>1136734</f>
        <v>1136734</v>
      </c>
      <c r="H24" s="488">
        <f>1136734</f>
        <v>1136734</v>
      </c>
      <c r="I24" s="488">
        <f>1415772+1136734</f>
        <v>2552506</v>
      </c>
      <c r="J24" s="488">
        <f>1415772+1136734</f>
        <v>2552506</v>
      </c>
      <c r="K24" s="488">
        <f>1136734</f>
        <v>1136734</v>
      </c>
      <c r="L24" s="488">
        <f>1136734</f>
        <v>1136734</v>
      </c>
      <c r="M24" s="488">
        <f>613080+1136734</f>
        <v>1749814</v>
      </c>
      <c r="N24" s="488">
        <f>1136734</f>
        <v>1136734</v>
      </c>
      <c r="O24" s="489">
        <f>SUM(C24:N24)</f>
        <v>17133121</v>
      </c>
    </row>
    <row r="25" spans="1:15" s="490" customFormat="1" ht="22.5" customHeight="1">
      <c r="A25" s="486" t="s">
        <v>16</v>
      </c>
      <c r="B25" s="487" t="s">
        <v>131</v>
      </c>
      <c r="C25" s="488">
        <f>17138605+3295558-2</f>
        <v>20434161</v>
      </c>
      <c r="D25" s="488">
        <f>17138605+1056000+1270000+3295558</f>
        <v>22760163</v>
      </c>
      <c r="E25" s="488">
        <f>17138605+900000+7600000+700000+2625000+3295558+32345</f>
        <v>32291508</v>
      </c>
      <c r="F25" s="488">
        <f>9566169+17138605+3295558</f>
        <v>30000332</v>
      </c>
      <c r="G25" s="488">
        <f>9566169+17138605+3295558+650000</f>
        <v>30650332</v>
      </c>
      <c r="H25" s="488">
        <f>17138605+29379062+3295558</f>
        <v>49813225</v>
      </c>
      <c r="I25" s="488">
        <f>150000+533400+29379062+3295558</f>
        <v>33358020</v>
      </c>
      <c r="J25" s="488">
        <f>150000+29379062+3295558-4000000</f>
        <v>28824620</v>
      </c>
      <c r="K25" s="488">
        <f>3295558</f>
        <v>3295558</v>
      </c>
      <c r="L25" s="488">
        <f>3295558</f>
        <v>3295558</v>
      </c>
      <c r="M25" s="488">
        <f>3295558</f>
        <v>3295558</v>
      </c>
      <c r="N25" s="488">
        <f>2540000+3295558</f>
        <v>5835558</v>
      </c>
      <c r="O25" s="489">
        <f>SUM(C25:N25)</f>
        <v>263854593</v>
      </c>
    </row>
    <row r="26" spans="1:15" s="490" customFormat="1" ht="22.5" customHeight="1">
      <c r="A26" s="486" t="s">
        <v>17</v>
      </c>
      <c r="B26" s="487" t="s">
        <v>173</v>
      </c>
      <c r="C26" s="488">
        <f t="shared" ref="C26:I26" si="4">352500</f>
        <v>352500</v>
      </c>
      <c r="D26" s="488">
        <f t="shared" si="4"/>
        <v>352500</v>
      </c>
      <c r="E26" s="488">
        <f t="shared" si="4"/>
        <v>352500</v>
      </c>
      <c r="F26" s="488">
        <f t="shared" si="4"/>
        <v>352500</v>
      </c>
      <c r="G26" s="488">
        <f t="shared" si="4"/>
        <v>352500</v>
      </c>
      <c r="H26" s="488">
        <f t="shared" si="4"/>
        <v>352500</v>
      </c>
      <c r="I26" s="488">
        <f t="shared" si="4"/>
        <v>352500</v>
      </c>
      <c r="J26" s="488">
        <f>50000+900000+352500</f>
        <v>1302500</v>
      </c>
      <c r="K26" s="488">
        <f>900000+352500</f>
        <v>1252500</v>
      </c>
      <c r="L26" s="488">
        <f>1200000+352500</f>
        <v>1552500</v>
      </c>
      <c r="M26" s="488">
        <f>50000+352500</f>
        <v>402500</v>
      </c>
      <c r="N26" s="488">
        <f>352500</f>
        <v>352500</v>
      </c>
      <c r="O26" s="489">
        <f>SUM(C26:N26)</f>
        <v>7330000</v>
      </c>
    </row>
    <row r="27" spans="1:15" s="490" customFormat="1" ht="22.5" customHeight="1">
      <c r="A27" s="486" t="s">
        <v>18</v>
      </c>
      <c r="B27" s="487" t="s">
        <v>624</v>
      </c>
      <c r="C27" s="488">
        <f>500000</f>
        <v>500000</v>
      </c>
      <c r="D27" s="488">
        <v>505503</v>
      </c>
      <c r="E27" s="488"/>
      <c r="F27" s="488"/>
      <c r="G27" s="488"/>
      <c r="H27" s="488">
        <f>500000</f>
        <v>500000</v>
      </c>
      <c r="I27" s="488"/>
      <c r="J27" s="488"/>
      <c r="K27" s="488"/>
      <c r="L27" s="488"/>
      <c r="M27" s="488"/>
      <c r="N27" s="488"/>
      <c r="O27" s="489">
        <f>SUM(C27:N27)</f>
        <v>1505503</v>
      </c>
    </row>
    <row r="28" spans="1:15" s="490" customFormat="1" ht="22.5" customHeight="1">
      <c r="A28" s="486" t="s">
        <v>19</v>
      </c>
      <c r="B28" s="487" t="s">
        <v>591</v>
      </c>
      <c r="C28" s="488">
        <f>525000+10259988-4</f>
        <v>10784984</v>
      </c>
      <c r="D28" s="488">
        <f>10259988</f>
        <v>10259988</v>
      </c>
      <c r="E28" s="488">
        <f>1840500+595000+10259988-700000</f>
        <v>11995488</v>
      </c>
      <c r="F28" s="488">
        <f>10259988</f>
        <v>10259988</v>
      </c>
      <c r="G28" s="488">
        <f>10259988</f>
        <v>10259988</v>
      </c>
      <c r="H28" s="488">
        <f>100000+10259988</f>
        <v>10359988</v>
      </c>
      <c r="I28" s="488">
        <f>1500000+10259988</f>
        <v>11759988</v>
      </c>
      <c r="J28" s="488">
        <f>525000+1840500+595000+10259988</f>
        <v>13220488</v>
      </c>
      <c r="K28" s="488">
        <f>10259988</f>
        <v>10259988</v>
      </c>
      <c r="L28" s="488">
        <f>10259988</f>
        <v>10259988</v>
      </c>
      <c r="M28" s="488">
        <f>10259988</f>
        <v>10259988</v>
      </c>
      <c r="N28" s="488">
        <f>10259988</f>
        <v>10259988</v>
      </c>
      <c r="O28" s="489">
        <f t="shared" ref="O28:O35" si="5">SUM(C28:N28)</f>
        <v>129940852</v>
      </c>
    </row>
    <row r="29" spans="1:15" s="490" customFormat="1" ht="22.5" customHeight="1">
      <c r="A29" s="486" t="s">
        <v>20</v>
      </c>
      <c r="B29" s="487" t="s">
        <v>592</v>
      </c>
      <c r="C29" s="488"/>
      <c r="D29" s="488"/>
      <c r="E29" s="488">
        <f>17625000+1440000</f>
        <v>19065000</v>
      </c>
      <c r="F29" s="488"/>
      <c r="G29" s="488"/>
      <c r="H29" s="488"/>
      <c r="I29" s="488"/>
      <c r="J29" s="488">
        <f>23000000</f>
        <v>23000000</v>
      </c>
      <c r="K29" s="488"/>
      <c r="L29" s="488"/>
      <c r="M29" s="488"/>
      <c r="N29" s="488"/>
      <c r="O29" s="489">
        <f t="shared" si="5"/>
        <v>42065000</v>
      </c>
    </row>
    <row r="30" spans="1:15" s="490" customFormat="1" ht="22.5" customHeight="1">
      <c r="A30" s="486" t="s">
        <v>21</v>
      </c>
      <c r="B30" s="487" t="s">
        <v>554</v>
      </c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>
        <v>33170228</v>
      </c>
      <c r="O30" s="489">
        <f t="shared" si="5"/>
        <v>33170228</v>
      </c>
    </row>
    <row r="31" spans="1:15" s="490" customFormat="1" ht="22.5" customHeight="1">
      <c r="A31" s="486" t="s">
        <v>22</v>
      </c>
      <c r="B31" s="487" t="s">
        <v>217</v>
      </c>
      <c r="C31" s="488">
        <f>20429850</f>
        <v>20429850</v>
      </c>
      <c r="D31" s="488">
        <f>1143000+127000+20429850</f>
        <v>21699850</v>
      </c>
      <c r="E31" s="488">
        <f>7556989+20429850-317500</f>
        <v>27669339</v>
      </c>
      <c r="F31" s="488">
        <f>7556990+622554+20429850</f>
        <v>28609394</v>
      </c>
      <c r="G31" s="488">
        <f>1905000+14627225+16510000+20429850</f>
        <v>53472075</v>
      </c>
      <c r="H31" s="488">
        <f>2671233+20429850+7</f>
        <v>23101090</v>
      </c>
      <c r="I31" s="488">
        <f>762000+533400+2671233+20429850</f>
        <v>24396483</v>
      </c>
      <c r="J31" s="488">
        <f>2671233+20429850</f>
        <v>23101083</v>
      </c>
      <c r="K31" s="488">
        <f>20429850</f>
        <v>20429850</v>
      </c>
      <c r="L31" s="488">
        <f>20429850</f>
        <v>20429850</v>
      </c>
      <c r="M31" s="488">
        <f>20429850</f>
        <v>20429850</v>
      </c>
      <c r="N31" s="488">
        <f>20429850</f>
        <v>20429850</v>
      </c>
      <c r="O31" s="489">
        <f t="shared" si="5"/>
        <v>304198564</v>
      </c>
    </row>
    <row r="32" spans="1:15" s="490" customFormat="1" ht="22.5" customHeight="1">
      <c r="A32" s="486" t="s">
        <v>23</v>
      </c>
      <c r="B32" s="487" t="s">
        <v>176</v>
      </c>
      <c r="C32" s="488">
        <f>7391575</f>
        <v>7391575</v>
      </c>
      <c r="D32" s="488">
        <f>7391575</f>
        <v>7391575</v>
      </c>
      <c r="E32" s="488">
        <f>317500+7391575-3+317500</f>
        <v>8026572</v>
      </c>
      <c r="F32" s="488">
        <f>254000+7391575</f>
        <v>7645575</v>
      </c>
      <c r="G32" s="488">
        <f t="shared" ref="G32:N32" si="6">7391575</f>
        <v>7391575</v>
      </c>
      <c r="H32" s="488">
        <f t="shared" si="6"/>
        <v>7391575</v>
      </c>
      <c r="I32" s="488">
        <f t="shared" si="6"/>
        <v>7391575</v>
      </c>
      <c r="J32" s="488">
        <f t="shared" si="6"/>
        <v>7391575</v>
      </c>
      <c r="K32" s="488">
        <f t="shared" si="6"/>
        <v>7391575</v>
      </c>
      <c r="L32" s="488">
        <f t="shared" si="6"/>
        <v>7391575</v>
      </c>
      <c r="M32" s="488">
        <f t="shared" si="6"/>
        <v>7391575</v>
      </c>
      <c r="N32" s="488">
        <f t="shared" si="6"/>
        <v>7391575</v>
      </c>
      <c r="O32" s="489">
        <f t="shared" si="5"/>
        <v>89587897</v>
      </c>
    </row>
    <row r="33" spans="1:15" s="490" customFormat="1" ht="22.5" customHeight="1">
      <c r="A33" s="486" t="s">
        <v>24</v>
      </c>
      <c r="B33" s="487" t="s">
        <v>219</v>
      </c>
      <c r="C33" s="488"/>
      <c r="D33" s="488"/>
      <c r="E33" s="488">
        <f>600000+50000</f>
        <v>650000</v>
      </c>
      <c r="F33" s="488"/>
      <c r="G33" s="488"/>
      <c r="H33" s="488"/>
      <c r="I33" s="488"/>
      <c r="J33" s="488"/>
      <c r="K33" s="488"/>
      <c r="L33" s="488"/>
      <c r="M33" s="488"/>
      <c r="N33" s="488"/>
      <c r="O33" s="489">
        <f t="shared" si="5"/>
        <v>650000</v>
      </c>
    </row>
    <row r="34" spans="1:15" s="490" customFormat="1" ht="22.5" customHeight="1" thickBot="1">
      <c r="A34" s="486" t="s">
        <v>25</v>
      </c>
      <c r="B34" s="487" t="s">
        <v>10</v>
      </c>
      <c r="C34" s="488">
        <f>(176260688/12)+8107720</f>
        <v>22796110.666666664</v>
      </c>
      <c r="D34" s="488">
        <f t="shared" ref="D34:N34" si="7">(176260688/12)</f>
        <v>14688390.666666666</v>
      </c>
      <c r="E34" s="488">
        <f t="shared" si="7"/>
        <v>14688390.666666666</v>
      </c>
      <c r="F34" s="488">
        <f t="shared" si="7"/>
        <v>14688390.666666666</v>
      </c>
      <c r="G34" s="488">
        <f t="shared" si="7"/>
        <v>14688390.666666666</v>
      </c>
      <c r="H34" s="488">
        <f t="shared" si="7"/>
        <v>14688390.666666666</v>
      </c>
      <c r="I34" s="488">
        <f t="shared" si="7"/>
        <v>14688390.666666666</v>
      </c>
      <c r="J34" s="488">
        <f t="shared" si="7"/>
        <v>14688390.666666666</v>
      </c>
      <c r="K34" s="488">
        <f t="shared" si="7"/>
        <v>14688390.666666666</v>
      </c>
      <c r="L34" s="488">
        <f t="shared" si="7"/>
        <v>14688390.666666666</v>
      </c>
      <c r="M34" s="488">
        <f t="shared" si="7"/>
        <v>14688390.666666666</v>
      </c>
      <c r="N34" s="488">
        <f t="shared" si="7"/>
        <v>14688390.666666666</v>
      </c>
      <c r="O34" s="489">
        <f t="shared" si="5"/>
        <v>184368407.99999997</v>
      </c>
    </row>
    <row r="35" spans="1:15" s="495" customFormat="1" ht="15.95" customHeight="1" thickBot="1">
      <c r="A35" s="491"/>
      <c r="B35" s="492" t="s">
        <v>105</v>
      </c>
      <c r="C35" s="493">
        <f t="shared" ref="C35:N35" si="8">SUM(C23:C34)</f>
        <v>89436162.666666657</v>
      </c>
      <c r="D35" s="493">
        <f t="shared" si="8"/>
        <v>84404951.666666672</v>
      </c>
      <c r="E35" s="493">
        <f t="shared" si="8"/>
        <v>121172342.66666667</v>
      </c>
      <c r="F35" s="493">
        <f t="shared" si="8"/>
        <v>97989724.666666672</v>
      </c>
      <c r="G35" s="493">
        <f t="shared" si="8"/>
        <v>123248405.66666667</v>
      </c>
      <c r="H35" s="493">
        <f t="shared" si="8"/>
        <v>112640313.66666667</v>
      </c>
      <c r="I35" s="493">
        <f t="shared" si="8"/>
        <v>106673473.66666667</v>
      </c>
      <c r="J35" s="493">
        <f t="shared" si="8"/>
        <v>126255173.66666667</v>
      </c>
      <c r="K35" s="493">
        <f t="shared" si="8"/>
        <v>63751406.666666664</v>
      </c>
      <c r="L35" s="493">
        <f t="shared" si="8"/>
        <v>64051406.666666664</v>
      </c>
      <c r="M35" s="493">
        <f t="shared" si="8"/>
        <v>66658486.666666664</v>
      </c>
      <c r="N35" s="493">
        <f t="shared" si="8"/>
        <v>98561634.666666672</v>
      </c>
      <c r="O35" s="494">
        <f t="shared" si="5"/>
        <v>1154843482.9999998</v>
      </c>
    </row>
    <row r="36" spans="1:15" s="495" customFormat="1" ht="15.95" customHeight="1" thickBot="1">
      <c r="A36" s="503"/>
      <c r="B36" s="504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</row>
    <row r="37" spans="1:15" ht="16.5" thickBot="1">
      <c r="A37" s="491"/>
      <c r="B37" s="492" t="s">
        <v>106</v>
      </c>
      <c r="C37" s="493">
        <f t="shared" ref="C37:O37" si="9">C19-C35</f>
        <v>483233923.33333337</v>
      </c>
      <c r="D37" s="493">
        <f t="shared" si="9"/>
        <v>-52595479.666666672</v>
      </c>
      <c r="E37" s="493">
        <f t="shared" si="9"/>
        <v>-85804431.666666672</v>
      </c>
      <c r="F37" s="493">
        <f t="shared" si="9"/>
        <v>-59686789.666666672</v>
      </c>
      <c r="G37" s="493">
        <f t="shared" si="9"/>
        <v>-87880744.666666672</v>
      </c>
      <c r="H37" s="493">
        <f t="shared" si="9"/>
        <v>-58117532.666666672</v>
      </c>
      <c r="I37" s="493">
        <f t="shared" si="9"/>
        <v>-21926347.666666672</v>
      </c>
      <c r="J37" s="493">
        <f t="shared" si="9"/>
        <v>-6643618.6666666716</v>
      </c>
      <c r="K37" s="493">
        <f t="shared" si="9"/>
        <v>13062921.333333336</v>
      </c>
      <c r="L37" s="493">
        <f t="shared" si="9"/>
        <v>-28834280.666666664</v>
      </c>
      <c r="M37" s="493">
        <f t="shared" si="9"/>
        <v>-31452360.666666664</v>
      </c>
      <c r="N37" s="493">
        <f t="shared" si="9"/>
        <v>-63355258.666666672</v>
      </c>
      <c r="O37" s="494">
        <f t="shared" si="9"/>
        <v>0</v>
      </c>
    </row>
    <row r="40" spans="1:15" ht="20.25" customHeight="1">
      <c r="A40" s="765" t="s">
        <v>689</v>
      </c>
      <c r="B40" s="766"/>
      <c r="C40" s="766"/>
      <c r="D40" s="766"/>
      <c r="E40" s="766"/>
      <c r="F40" s="766"/>
      <c r="G40" s="766"/>
      <c r="H40" s="766"/>
      <c r="I40" s="766"/>
      <c r="J40" s="766"/>
      <c r="K40" s="766"/>
      <c r="L40" s="766"/>
      <c r="M40" s="766"/>
      <c r="N40" s="766"/>
      <c r="O40" s="766"/>
    </row>
    <row r="41" spans="1:15" ht="21" customHeight="1">
      <c r="A41" s="765" t="s">
        <v>716</v>
      </c>
      <c r="B41" s="765"/>
      <c r="C41" s="765"/>
      <c r="D41" s="765"/>
      <c r="E41" s="765"/>
      <c r="F41" s="765"/>
      <c r="G41" s="765"/>
      <c r="H41" s="765"/>
      <c r="I41" s="765"/>
      <c r="J41" s="765"/>
      <c r="K41" s="765"/>
      <c r="L41" s="765"/>
      <c r="M41" s="765"/>
      <c r="N41" s="765"/>
      <c r="O41" s="765"/>
    </row>
    <row r="42" spans="1:15" ht="21" customHeight="1">
      <c r="A42" s="480"/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</row>
    <row r="43" spans="1:15" ht="16.5" thickBot="1">
      <c r="O43" s="471" t="s">
        <v>581</v>
      </c>
    </row>
    <row r="44" spans="1:15" s="403" customFormat="1" ht="31.5" customHeight="1" thickBot="1">
      <c r="A44" s="481" t="s">
        <v>12</v>
      </c>
      <c r="B44" s="482" t="s">
        <v>56</v>
      </c>
      <c r="C44" s="482" t="s">
        <v>68</v>
      </c>
      <c r="D44" s="482" t="s">
        <v>69</v>
      </c>
      <c r="E44" s="482" t="s">
        <v>70</v>
      </c>
      <c r="F44" s="482" t="s">
        <v>71</v>
      </c>
      <c r="G44" s="482" t="s">
        <v>72</v>
      </c>
      <c r="H44" s="482" t="s">
        <v>73</v>
      </c>
      <c r="I44" s="482" t="s">
        <v>74</v>
      </c>
      <c r="J44" s="482" t="s">
        <v>75</v>
      </c>
      <c r="K44" s="482" t="s">
        <v>76</v>
      </c>
      <c r="L44" s="482" t="s">
        <v>77</v>
      </c>
      <c r="M44" s="482" t="s">
        <v>78</v>
      </c>
      <c r="N44" s="482" t="s">
        <v>79</v>
      </c>
      <c r="O44" s="483" t="s">
        <v>46</v>
      </c>
    </row>
    <row r="45" spans="1:15" s="485" customFormat="1" ht="15" customHeight="1" thickBot="1">
      <c r="A45" s="484"/>
      <c r="B45" s="767" t="s">
        <v>51</v>
      </c>
      <c r="C45" s="768"/>
      <c r="D45" s="768"/>
      <c r="E45" s="768"/>
      <c r="F45" s="768"/>
      <c r="G45" s="768"/>
      <c r="H45" s="768"/>
      <c r="I45" s="768"/>
      <c r="J45" s="768"/>
      <c r="K45" s="768"/>
      <c r="L45" s="768"/>
      <c r="M45" s="768"/>
      <c r="N45" s="768"/>
      <c r="O45" s="769"/>
    </row>
    <row r="46" spans="1:15" s="490" customFormat="1" ht="22.5" customHeight="1">
      <c r="A46" s="486" t="s">
        <v>14</v>
      </c>
      <c r="B46" s="487" t="s">
        <v>369</v>
      </c>
      <c r="C46" s="488">
        <f>223966276/12</f>
        <v>18663856.333333332</v>
      </c>
      <c r="D46" s="488">
        <f t="shared" ref="D46:N46" si="10">223966276/12</f>
        <v>18663856.333333332</v>
      </c>
      <c r="E46" s="488">
        <f>223966276/12+267920+344876+8520000</f>
        <v>27796652.333333332</v>
      </c>
      <c r="F46" s="488">
        <f t="shared" si="10"/>
        <v>18663856.333333332</v>
      </c>
      <c r="G46" s="488">
        <f t="shared" si="10"/>
        <v>18663856.333333332</v>
      </c>
      <c r="H46" s="488">
        <f t="shared" si="10"/>
        <v>18663856.333333332</v>
      </c>
      <c r="I46" s="488">
        <f t="shared" si="10"/>
        <v>18663856.333333332</v>
      </c>
      <c r="J46" s="488">
        <f t="shared" si="10"/>
        <v>18663856.333333332</v>
      </c>
      <c r="K46" s="488">
        <f t="shared" si="10"/>
        <v>18663856.333333332</v>
      </c>
      <c r="L46" s="488">
        <f t="shared" si="10"/>
        <v>18663856.333333332</v>
      </c>
      <c r="M46" s="488">
        <f t="shared" si="10"/>
        <v>18663856.333333332</v>
      </c>
      <c r="N46" s="488">
        <f t="shared" si="10"/>
        <v>18663856.333333332</v>
      </c>
      <c r="O46" s="489">
        <f t="shared" ref="O46:O55" si="11">SUM(C46:N46)</f>
        <v>233099072.00000003</v>
      </c>
    </row>
    <row r="47" spans="1:15" s="490" customFormat="1" ht="22.5" customHeight="1">
      <c r="A47" s="486" t="s">
        <v>15</v>
      </c>
      <c r="B47" s="487" t="s">
        <v>591</v>
      </c>
      <c r="C47" s="488">
        <f>89479+505300+227619-2</f>
        <v>822396</v>
      </c>
      <c r="D47" s="488">
        <f>89479+505300+306000</f>
        <v>900779</v>
      </c>
      <c r="E47" s="488">
        <f>4269996+38640+150535+505300+695378+4151815</f>
        <v>9811664</v>
      </c>
      <c r="F47" s="488">
        <f>4269996+38640+150535+505300</f>
        <v>4964471</v>
      </c>
      <c r="G47" s="488">
        <f>4269996+38640+150535+505300</f>
        <v>4964471</v>
      </c>
      <c r="H47" s="488">
        <f>4269996+38640+505300</f>
        <v>4813936</v>
      </c>
      <c r="I47" s="488">
        <f>4269996+38640+505300</f>
        <v>4813936</v>
      </c>
      <c r="J47" s="488">
        <f>4269996+38640+505300+23000000</f>
        <v>27813936</v>
      </c>
      <c r="K47" s="488">
        <f>4269996+38640+505300+1639729+112502</f>
        <v>6566167</v>
      </c>
      <c r="L47" s="488">
        <f>4269996+38640+505300</f>
        <v>4813936</v>
      </c>
      <c r="M47" s="488">
        <f>4269996+38640+505300</f>
        <v>4813936</v>
      </c>
      <c r="N47" s="488">
        <f>4269996+38640+505300</f>
        <v>4813936</v>
      </c>
      <c r="O47" s="489">
        <f t="shared" si="11"/>
        <v>79913564</v>
      </c>
    </row>
    <row r="48" spans="1:15" s="490" customFormat="1" ht="22.5" customHeight="1">
      <c r="A48" s="486" t="s">
        <v>16</v>
      </c>
      <c r="B48" s="487" t="s">
        <v>590</v>
      </c>
      <c r="C48" s="488"/>
      <c r="D48" s="488"/>
      <c r="E48" s="488">
        <f>7313612-7313612</f>
        <v>0</v>
      </c>
      <c r="F48" s="488"/>
      <c r="G48" s="488"/>
      <c r="H48" s="488"/>
      <c r="I48" s="488"/>
      <c r="J48" s="488"/>
      <c r="K48" s="488">
        <f>39844721-7313612</f>
        <v>32531109</v>
      </c>
      <c r="L48" s="488"/>
      <c r="M48" s="488"/>
      <c r="N48" s="488"/>
      <c r="O48" s="489">
        <f t="shared" si="11"/>
        <v>32531109</v>
      </c>
    </row>
    <row r="49" spans="1:15" s="490" customFormat="1" ht="22.5" customHeight="1">
      <c r="A49" s="486" t="s">
        <v>17</v>
      </c>
      <c r="B49" s="487" t="s">
        <v>163</v>
      </c>
      <c r="C49" s="488">
        <f>136700000/12</f>
        <v>11391666.666666666</v>
      </c>
      <c r="D49" s="488">
        <f t="shared" ref="D49:N49" si="12">136700000/12</f>
        <v>11391666.666666666</v>
      </c>
      <c r="E49" s="488">
        <f>136700000/12</f>
        <v>11391666.666666666</v>
      </c>
      <c r="F49" s="488">
        <f t="shared" si="12"/>
        <v>11391666.666666666</v>
      </c>
      <c r="G49" s="488">
        <f t="shared" si="12"/>
        <v>11391666.666666666</v>
      </c>
      <c r="H49" s="488">
        <f t="shared" si="12"/>
        <v>11391666.666666666</v>
      </c>
      <c r="I49" s="488">
        <f t="shared" si="12"/>
        <v>11391666.666666666</v>
      </c>
      <c r="J49" s="488">
        <f t="shared" si="12"/>
        <v>11391666.666666666</v>
      </c>
      <c r="K49" s="488">
        <f t="shared" si="12"/>
        <v>11391666.666666666</v>
      </c>
      <c r="L49" s="488">
        <f t="shared" si="12"/>
        <v>11391666.666666666</v>
      </c>
      <c r="M49" s="488">
        <f t="shared" si="12"/>
        <v>11391666.666666666</v>
      </c>
      <c r="N49" s="488">
        <f t="shared" si="12"/>
        <v>11391666.666666666</v>
      </c>
      <c r="O49" s="489">
        <f t="shared" si="11"/>
        <v>136700000.00000003</v>
      </c>
    </row>
    <row r="50" spans="1:15" s="490" customFormat="1" ht="22.5" customHeight="1">
      <c r="A50" s="486" t="s">
        <v>18</v>
      </c>
      <c r="B50" s="487" t="s">
        <v>415</v>
      </c>
      <c r="C50" s="488">
        <f>125000+15875+21167+444500+174625+1000</f>
        <v>782167</v>
      </c>
      <c r="D50" s="488">
        <f>125000+15875+21167+174625+1000</f>
        <v>337667</v>
      </c>
      <c r="E50" s="488">
        <f>125000+250+15875+21167+174625+1000+215957</f>
        <v>553874</v>
      </c>
      <c r="F50" s="488">
        <f>125000+2928874+6400+15875+21167+174625+1000</f>
        <v>3272941</v>
      </c>
      <c r="G50" s="488">
        <f>125000+15875+21167+174625+1000</f>
        <v>337667</v>
      </c>
      <c r="H50" s="488">
        <f>125000+250+470000+15875+21167+174625+1000+7601204+3829304+404897</f>
        <v>12643322</v>
      </c>
      <c r="I50" s="488">
        <f>125000+15875+21167+49530000+174625+1000</f>
        <v>49867667</v>
      </c>
      <c r="J50" s="488">
        <f>125000+15875+21167+49530000+11864429+174625+1000</f>
        <v>61732096</v>
      </c>
      <c r="K50" s="488">
        <f>125000+250+15875+21167+174625+1000</f>
        <v>337917</v>
      </c>
      <c r="L50" s="488">
        <f>125000+15875+21167+174625+1000</f>
        <v>337667</v>
      </c>
      <c r="M50" s="488">
        <f>125000+15875+21167+174625</f>
        <v>336667</v>
      </c>
      <c r="N50" s="488">
        <f>125000+250+15875+21167+174625</f>
        <v>336917</v>
      </c>
      <c r="O50" s="489">
        <f t="shared" si="11"/>
        <v>130876569</v>
      </c>
    </row>
    <row r="51" spans="1:15" s="490" customFormat="1" ht="22.5" customHeight="1">
      <c r="A51" s="486" t="s">
        <v>19</v>
      </c>
      <c r="B51" s="487" t="s">
        <v>8</v>
      </c>
      <c r="C51" s="488">
        <f>10000</f>
        <v>10000</v>
      </c>
      <c r="D51" s="488">
        <f>10000</f>
        <v>10000</v>
      </c>
      <c r="E51" s="488">
        <f>10000</f>
        <v>10000</v>
      </c>
      <c r="F51" s="488">
        <f>10000</f>
        <v>10000</v>
      </c>
      <c r="G51" s="488">
        <f>10000</f>
        <v>10000</v>
      </c>
      <c r="H51" s="488">
        <f>10000+7000000</f>
        <v>7010000</v>
      </c>
      <c r="I51" s="488">
        <f>10000</f>
        <v>10000</v>
      </c>
      <c r="J51" s="488">
        <f>10000</f>
        <v>10000</v>
      </c>
      <c r="K51" s="488">
        <f>10000</f>
        <v>10000</v>
      </c>
      <c r="L51" s="488">
        <f>10000</f>
        <v>10000</v>
      </c>
      <c r="M51" s="488"/>
      <c r="N51" s="488"/>
      <c r="O51" s="489">
        <f t="shared" si="11"/>
        <v>7100000</v>
      </c>
    </row>
    <row r="52" spans="1:15" s="490" customFormat="1" ht="22.5" customHeight="1">
      <c r="A52" s="486" t="s">
        <v>20</v>
      </c>
      <c r="B52" s="487" t="s">
        <v>371</v>
      </c>
      <c r="C52" s="488"/>
      <c r="D52" s="488">
        <v>505503</v>
      </c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>
        <f t="shared" si="11"/>
        <v>505503</v>
      </c>
    </row>
    <row r="53" spans="1:15" s="490" customFormat="1" ht="22.5" customHeight="1">
      <c r="A53" s="486" t="s">
        <v>21</v>
      </c>
      <c r="B53" s="487" t="s">
        <v>403</v>
      </c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>
        <f t="shared" si="11"/>
        <v>0</v>
      </c>
    </row>
    <row r="54" spans="1:15" s="490" customFormat="1" ht="22.5" customHeight="1" thickBot="1">
      <c r="A54" s="486" t="s">
        <v>22</v>
      </c>
      <c r="B54" s="487" t="s">
        <v>9</v>
      </c>
      <c r="C54" s="488">
        <v>541000000</v>
      </c>
      <c r="D54" s="488"/>
      <c r="E54" s="488">
        <f>475499</f>
        <v>475499</v>
      </c>
      <c r="F54" s="488"/>
      <c r="G54" s="488"/>
      <c r="H54" s="488"/>
      <c r="I54" s="488"/>
      <c r="J54" s="488"/>
      <c r="K54" s="488"/>
      <c r="L54" s="488"/>
      <c r="M54" s="488"/>
      <c r="N54" s="488"/>
      <c r="O54" s="489">
        <f t="shared" si="11"/>
        <v>541475499</v>
      </c>
    </row>
    <row r="55" spans="1:15" s="495" customFormat="1" ht="15.95" customHeight="1" thickBot="1">
      <c r="A55" s="491"/>
      <c r="B55" s="492" t="s">
        <v>104</v>
      </c>
      <c r="C55" s="493">
        <f t="shared" ref="C55:N55" si="13">SUM(C46:C54)</f>
        <v>572670086</v>
      </c>
      <c r="D55" s="493">
        <f t="shared" si="13"/>
        <v>31809472</v>
      </c>
      <c r="E55" s="493">
        <f t="shared" si="13"/>
        <v>50039355.999999993</v>
      </c>
      <c r="F55" s="493">
        <f t="shared" si="13"/>
        <v>38302935</v>
      </c>
      <c r="G55" s="493">
        <f t="shared" si="13"/>
        <v>35367661</v>
      </c>
      <c r="H55" s="493">
        <f t="shared" si="13"/>
        <v>54522781</v>
      </c>
      <c r="I55" s="493">
        <f t="shared" si="13"/>
        <v>84747126</v>
      </c>
      <c r="J55" s="493">
        <f t="shared" si="13"/>
        <v>119611555</v>
      </c>
      <c r="K55" s="493">
        <f t="shared" si="13"/>
        <v>69500716</v>
      </c>
      <c r="L55" s="493">
        <f t="shared" si="13"/>
        <v>35217126</v>
      </c>
      <c r="M55" s="493">
        <f t="shared" si="13"/>
        <v>35206126</v>
      </c>
      <c r="N55" s="493">
        <f t="shared" si="13"/>
        <v>35206376</v>
      </c>
      <c r="O55" s="494">
        <f t="shared" si="11"/>
        <v>1162201316</v>
      </c>
    </row>
    <row r="56" spans="1:15" s="495" customFormat="1" ht="15.95" customHeight="1">
      <c r="A56" s="496"/>
      <c r="B56" s="497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</row>
    <row r="57" spans="1:15" s="495" customFormat="1" ht="15.95" customHeight="1">
      <c r="A57" s="499"/>
      <c r="B57" s="500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</row>
    <row r="58" spans="1:15" s="485" customFormat="1" ht="15" customHeight="1" thickBot="1">
      <c r="A58" s="502"/>
      <c r="B58" s="770" t="s">
        <v>52</v>
      </c>
      <c r="C58" s="771"/>
      <c r="D58" s="771"/>
      <c r="E58" s="771"/>
      <c r="F58" s="771"/>
      <c r="G58" s="771"/>
      <c r="H58" s="771"/>
      <c r="I58" s="771"/>
      <c r="J58" s="771"/>
      <c r="K58" s="771"/>
      <c r="L58" s="771"/>
      <c r="M58" s="771"/>
      <c r="N58" s="771"/>
      <c r="O58" s="772"/>
    </row>
    <row r="59" spans="1:15" s="490" customFormat="1" ht="22.5" customHeight="1">
      <c r="A59" s="486" t="s">
        <v>14</v>
      </c>
      <c r="B59" s="487" t="s">
        <v>57</v>
      </c>
      <c r="C59" s="488">
        <f>289590+5296811+5</f>
        <v>5586406</v>
      </c>
      <c r="D59" s="488">
        <f>289590+5296811</f>
        <v>5586401</v>
      </c>
      <c r="E59" s="488">
        <f>5296811+775698+4647201-1006323</f>
        <v>9713387</v>
      </c>
      <c r="F59" s="488">
        <f>5296811</f>
        <v>5296811</v>
      </c>
      <c r="G59" s="488">
        <f>5296811</f>
        <v>5296811</v>
      </c>
      <c r="H59" s="488">
        <f>5296811</f>
        <v>5296811</v>
      </c>
      <c r="I59" s="488">
        <f>6877200+5296811</f>
        <v>12174011</v>
      </c>
      <c r="J59" s="488">
        <f>6877200+5296811</f>
        <v>12174011</v>
      </c>
      <c r="K59" s="488">
        <f>5296811</f>
        <v>5296811</v>
      </c>
      <c r="L59" s="488">
        <f>5296811</f>
        <v>5296811</v>
      </c>
      <c r="M59" s="488">
        <f>3144000+5296811</f>
        <v>8440811</v>
      </c>
      <c r="N59" s="488">
        <f>5296811</f>
        <v>5296811</v>
      </c>
      <c r="O59" s="489">
        <f>SUM(C59:N59)</f>
        <v>85455893</v>
      </c>
    </row>
    <row r="60" spans="1:15" s="490" customFormat="1" ht="22.5" customHeight="1">
      <c r="A60" s="486" t="s">
        <v>15</v>
      </c>
      <c r="B60" s="487" t="s">
        <v>172</v>
      </c>
      <c r="C60" s="488">
        <f>23847+1136734-5</f>
        <v>1160576</v>
      </c>
      <c r="D60" s="488">
        <f>23847+1136734</f>
        <v>1160581</v>
      </c>
      <c r="E60" s="488">
        <f>1136734+75631+453102-98116</f>
        <v>1567351</v>
      </c>
      <c r="F60" s="488">
        <f>1136734</f>
        <v>1136734</v>
      </c>
      <c r="G60" s="488">
        <f>1136734</f>
        <v>1136734</v>
      </c>
      <c r="H60" s="488">
        <f>1136734</f>
        <v>1136734</v>
      </c>
      <c r="I60" s="488">
        <f>1415772+1136734</f>
        <v>2552506</v>
      </c>
      <c r="J60" s="488">
        <f>1415772+1136734</f>
        <v>2552506</v>
      </c>
      <c r="K60" s="488">
        <f>1136734</f>
        <v>1136734</v>
      </c>
      <c r="L60" s="488">
        <f>1136734</f>
        <v>1136734</v>
      </c>
      <c r="M60" s="488">
        <f>613080+1136734</f>
        <v>1749814</v>
      </c>
      <c r="N60" s="488">
        <f>1136734</f>
        <v>1136734</v>
      </c>
      <c r="O60" s="489">
        <f>SUM(C60:N60)</f>
        <v>17563738</v>
      </c>
    </row>
    <row r="61" spans="1:15" s="490" customFormat="1" ht="22.5" customHeight="1">
      <c r="A61" s="486" t="s">
        <v>16</v>
      </c>
      <c r="B61" s="487" t="s">
        <v>131</v>
      </c>
      <c r="C61" s="488">
        <f>17138605+3295558-2</f>
        <v>20434161</v>
      </c>
      <c r="D61" s="488">
        <f>17138605+1056000+1270000+3295558</f>
        <v>22760163</v>
      </c>
      <c r="E61" s="488">
        <f>17138605+900000+7600000+700000+2625000+3295558+32345+215957-127000</f>
        <v>32380465</v>
      </c>
      <c r="F61" s="488">
        <f>9566169+17138605+3295558</f>
        <v>30000332</v>
      </c>
      <c r="G61" s="488">
        <f>9566169+17138605+3295558+650000</f>
        <v>30650332</v>
      </c>
      <c r="H61" s="488">
        <f>17138605+29379062+3295558</f>
        <v>49813225</v>
      </c>
      <c r="I61" s="488">
        <f>150000+533400+29379062+3295558</f>
        <v>33358020</v>
      </c>
      <c r="J61" s="488">
        <f>150000+29379062+3295558-4000000</f>
        <v>28824620</v>
      </c>
      <c r="K61" s="488">
        <f>3295558</f>
        <v>3295558</v>
      </c>
      <c r="L61" s="488">
        <f>3295558</f>
        <v>3295558</v>
      </c>
      <c r="M61" s="488">
        <f>3295558</f>
        <v>3295558</v>
      </c>
      <c r="N61" s="488">
        <f>2540000+3295558</f>
        <v>5835558</v>
      </c>
      <c r="O61" s="489">
        <f>SUM(C61:N61)</f>
        <v>263943550</v>
      </c>
    </row>
    <row r="62" spans="1:15" s="490" customFormat="1" ht="22.5" customHeight="1">
      <c r="A62" s="486" t="s">
        <v>17</v>
      </c>
      <c r="B62" s="487" t="s">
        <v>173</v>
      </c>
      <c r="C62" s="488">
        <f t="shared" ref="C62:I62" si="14">352500</f>
        <v>352500</v>
      </c>
      <c r="D62" s="488">
        <f t="shared" si="14"/>
        <v>352500</v>
      </c>
      <c r="E62" s="488">
        <f t="shared" si="14"/>
        <v>352500</v>
      </c>
      <c r="F62" s="488">
        <f t="shared" si="14"/>
        <v>352500</v>
      </c>
      <c r="G62" s="488">
        <f t="shared" si="14"/>
        <v>352500</v>
      </c>
      <c r="H62" s="488">
        <f t="shared" si="14"/>
        <v>352500</v>
      </c>
      <c r="I62" s="488">
        <f t="shared" si="14"/>
        <v>352500</v>
      </c>
      <c r="J62" s="488">
        <f>50000+900000+352500</f>
        <v>1302500</v>
      </c>
      <c r="K62" s="488">
        <f>900000+352500</f>
        <v>1252500</v>
      </c>
      <c r="L62" s="488">
        <f>1200000+352500</f>
        <v>1552500</v>
      </c>
      <c r="M62" s="488">
        <f>50000+352500</f>
        <v>402500</v>
      </c>
      <c r="N62" s="488">
        <f>352500</f>
        <v>352500</v>
      </c>
      <c r="O62" s="489">
        <f>SUM(C62:N62)</f>
        <v>7330000</v>
      </c>
    </row>
    <row r="63" spans="1:15" s="490" customFormat="1" ht="22.5" customHeight="1">
      <c r="A63" s="486" t="s">
        <v>18</v>
      </c>
      <c r="B63" s="487" t="s">
        <v>624</v>
      </c>
      <c r="C63" s="488">
        <f>500000</f>
        <v>500000</v>
      </c>
      <c r="D63" s="488">
        <v>505503</v>
      </c>
      <c r="E63" s="488">
        <f>2886754+64975</f>
        <v>2951729</v>
      </c>
      <c r="F63" s="488"/>
      <c r="G63" s="488"/>
      <c r="H63" s="488">
        <f>500000</f>
        <v>500000</v>
      </c>
      <c r="I63" s="488"/>
      <c r="J63" s="488"/>
      <c r="K63" s="488"/>
      <c r="L63" s="488"/>
      <c r="M63" s="488"/>
      <c r="N63" s="488"/>
      <c r="O63" s="489">
        <f>SUM(C63:N63)</f>
        <v>4457232</v>
      </c>
    </row>
    <row r="64" spans="1:15" s="490" customFormat="1" ht="22.5" customHeight="1">
      <c r="A64" s="486" t="s">
        <v>19</v>
      </c>
      <c r="B64" s="487" t="s">
        <v>591</v>
      </c>
      <c r="C64" s="488">
        <f>525000+10259988-4</f>
        <v>10784984</v>
      </c>
      <c r="D64" s="488">
        <f>10259988</f>
        <v>10259988</v>
      </c>
      <c r="E64" s="488">
        <f>1840500+595000+10259988-700000</f>
        <v>11995488</v>
      </c>
      <c r="F64" s="488">
        <f>10259988</f>
        <v>10259988</v>
      </c>
      <c r="G64" s="488">
        <f>10259988</f>
        <v>10259988</v>
      </c>
      <c r="H64" s="488">
        <f>100000+10259988</f>
        <v>10359988</v>
      </c>
      <c r="I64" s="488">
        <f>1500000+10259988</f>
        <v>11759988</v>
      </c>
      <c r="J64" s="488">
        <f>525000+1840500+595000+10259988</f>
        <v>13220488</v>
      </c>
      <c r="K64" s="488">
        <f>10259988</f>
        <v>10259988</v>
      </c>
      <c r="L64" s="488">
        <f>10259988</f>
        <v>10259988</v>
      </c>
      <c r="M64" s="488">
        <f>10259988</f>
        <v>10259988</v>
      </c>
      <c r="N64" s="488">
        <f>10259988</f>
        <v>10259988</v>
      </c>
      <c r="O64" s="489">
        <f t="shared" ref="O64:O71" si="15">SUM(C64:N64)</f>
        <v>129940852</v>
      </c>
    </row>
    <row r="65" spans="1:15" s="490" customFormat="1" ht="22.5" customHeight="1">
      <c r="A65" s="486" t="s">
        <v>20</v>
      </c>
      <c r="B65" s="487" t="s">
        <v>592</v>
      </c>
      <c r="C65" s="488"/>
      <c r="D65" s="488"/>
      <c r="E65" s="488">
        <f>17625000+1440000</f>
        <v>19065000</v>
      </c>
      <c r="F65" s="488"/>
      <c r="G65" s="488"/>
      <c r="H65" s="488"/>
      <c r="I65" s="488"/>
      <c r="J65" s="488">
        <f>23000000</f>
        <v>23000000</v>
      </c>
      <c r="K65" s="488"/>
      <c r="L65" s="488"/>
      <c r="M65" s="488"/>
      <c r="N65" s="488"/>
      <c r="O65" s="489">
        <f t="shared" si="15"/>
        <v>42065000</v>
      </c>
    </row>
    <row r="66" spans="1:15" s="490" customFormat="1" ht="22.5" customHeight="1">
      <c r="A66" s="486" t="s">
        <v>21</v>
      </c>
      <c r="B66" s="487" t="s">
        <v>554</v>
      </c>
      <c r="C66" s="488"/>
      <c r="D66" s="488"/>
      <c r="E66" s="488">
        <f>267920+344876+8520000+7313613+475499-2886754-64975</f>
        <v>13970179</v>
      </c>
      <c r="F66" s="488"/>
      <c r="G66" s="488"/>
      <c r="H66" s="488"/>
      <c r="I66" s="488"/>
      <c r="J66" s="488"/>
      <c r="K66" s="488"/>
      <c r="L66" s="488"/>
      <c r="M66" s="488"/>
      <c r="N66" s="488">
        <v>33170228</v>
      </c>
      <c r="O66" s="489">
        <f t="shared" si="15"/>
        <v>47140407</v>
      </c>
    </row>
    <row r="67" spans="1:15" s="490" customFormat="1" ht="22.5" customHeight="1">
      <c r="A67" s="486" t="s">
        <v>22</v>
      </c>
      <c r="B67" s="487" t="s">
        <v>217</v>
      </c>
      <c r="C67" s="488">
        <f>20429850</f>
        <v>20429850</v>
      </c>
      <c r="D67" s="488">
        <f>1143000+127000+20429850</f>
        <v>21699850</v>
      </c>
      <c r="E67" s="488">
        <f>7556989+20429850-317500-14627225+127000</f>
        <v>13169114</v>
      </c>
      <c r="F67" s="488">
        <f>7556990+622554+20429850</f>
        <v>28609394</v>
      </c>
      <c r="G67" s="488">
        <f>1905000+14627225+16510000+20429850</f>
        <v>53472075</v>
      </c>
      <c r="H67" s="488">
        <f>2671233+20429850+7</f>
        <v>23101090</v>
      </c>
      <c r="I67" s="488">
        <f>762000+533400+2671233+20429850</f>
        <v>24396483</v>
      </c>
      <c r="J67" s="488">
        <f>2671233+20429850</f>
        <v>23101083</v>
      </c>
      <c r="K67" s="488">
        <f>20429850</f>
        <v>20429850</v>
      </c>
      <c r="L67" s="488">
        <f>20429850</f>
        <v>20429850</v>
      </c>
      <c r="M67" s="488">
        <f>20429850</f>
        <v>20429850</v>
      </c>
      <c r="N67" s="488">
        <f>20429850</f>
        <v>20429850</v>
      </c>
      <c r="O67" s="489">
        <f t="shared" si="15"/>
        <v>289698339</v>
      </c>
    </row>
    <row r="68" spans="1:15" s="490" customFormat="1" ht="22.5" customHeight="1">
      <c r="A68" s="486" t="s">
        <v>23</v>
      </c>
      <c r="B68" s="487" t="s">
        <v>176</v>
      </c>
      <c r="C68" s="488">
        <f>7391575</f>
        <v>7391575</v>
      </c>
      <c r="D68" s="488">
        <f>7391575</f>
        <v>7391575</v>
      </c>
      <c r="E68" s="488">
        <f>317500+7391575-3+317500</f>
        <v>8026572</v>
      </c>
      <c r="F68" s="488">
        <f>254000+7391575</f>
        <v>7645575</v>
      </c>
      <c r="G68" s="488">
        <f t="shared" ref="G68:N68" si="16">7391575</f>
        <v>7391575</v>
      </c>
      <c r="H68" s="488">
        <f t="shared" si="16"/>
        <v>7391575</v>
      </c>
      <c r="I68" s="488">
        <f t="shared" si="16"/>
        <v>7391575</v>
      </c>
      <c r="J68" s="488">
        <f t="shared" si="16"/>
        <v>7391575</v>
      </c>
      <c r="K68" s="488">
        <f t="shared" si="16"/>
        <v>7391575</v>
      </c>
      <c r="L68" s="488">
        <f t="shared" si="16"/>
        <v>7391575</v>
      </c>
      <c r="M68" s="488">
        <f t="shared" si="16"/>
        <v>7391575</v>
      </c>
      <c r="N68" s="488">
        <f t="shared" si="16"/>
        <v>7391575</v>
      </c>
      <c r="O68" s="489">
        <f t="shared" si="15"/>
        <v>89587897</v>
      </c>
    </row>
    <row r="69" spans="1:15" s="490" customFormat="1" ht="22.5" customHeight="1">
      <c r="A69" s="486" t="s">
        <v>24</v>
      </c>
      <c r="B69" s="487" t="s">
        <v>219</v>
      </c>
      <c r="C69" s="488"/>
      <c r="D69" s="488"/>
      <c r="E69" s="488">
        <f>600000+50000</f>
        <v>650000</v>
      </c>
      <c r="F69" s="488"/>
      <c r="G69" s="488"/>
      <c r="H69" s="488"/>
      <c r="I69" s="488"/>
      <c r="J69" s="488"/>
      <c r="K69" s="488"/>
      <c r="L69" s="488"/>
      <c r="M69" s="488"/>
      <c r="N69" s="488"/>
      <c r="O69" s="489">
        <f t="shared" si="15"/>
        <v>650000</v>
      </c>
    </row>
    <row r="70" spans="1:15" s="490" customFormat="1" ht="22.5" customHeight="1" thickBot="1">
      <c r="A70" s="486" t="s">
        <v>25</v>
      </c>
      <c r="B70" s="487" t="s">
        <v>10</v>
      </c>
      <c r="C70" s="488">
        <f>(176260688/12)+8107720</f>
        <v>22796110.666666664</v>
      </c>
      <c r="D70" s="488">
        <f t="shared" ref="D70:N70" si="17">(176260688/12)</f>
        <v>14688390.666666666</v>
      </c>
      <c r="E70" s="488">
        <f t="shared" si="17"/>
        <v>14688390.666666666</v>
      </c>
      <c r="F70" s="488">
        <f t="shared" si="17"/>
        <v>14688390.666666666</v>
      </c>
      <c r="G70" s="488">
        <f t="shared" si="17"/>
        <v>14688390.666666666</v>
      </c>
      <c r="H70" s="488">
        <f t="shared" si="17"/>
        <v>14688390.666666666</v>
      </c>
      <c r="I70" s="488">
        <f t="shared" si="17"/>
        <v>14688390.666666666</v>
      </c>
      <c r="J70" s="488">
        <f t="shared" si="17"/>
        <v>14688390.666666666</v>
      </c>
      <c r="K70" s="488">
        <f t="shared" si="17"/>
        <v>14688390.666666666</v>
      </c>
      <c r="L70" s="488">
        <f t="shared" si="17"/>
        <v>14688390.666666666</v>
      </c>
      <c r="M70" s="488">
        <f t="shared" si="17"/>
        <v>14688390.666666666</v>
      </c>
      <c r="N70" s="488">
        <f t="shared" si="17"/>
        <v>14688390.666666666</v>
      </c>
      <c r="O70" s="489">
        <f t="shared" si="15"/>
        <v>184368407.99999997</v>
      </c>
    </row>
    <row r="71" spans="1:15" s="495" customFormat="1" ht="15.95" customHeight="1" thickBot="1">
      <c r="A71" s="491"/>
      <c r="B71" s="492" t="s">
        <v>105</v>
      </c>
      <c r="C71" s="493">
        <f t="shared" ref="C71:N71" si="18">SUM(C59:C70)</f>
        <v>89436162.666666657</v>
      </c>
      <c r="D71" s="493">
        <f t="shared" si="18"/>
        <v>84404951.666666672</v>
      </c>
      <c r="E71" s="493">
        <f t="shared" si="18"/>
        <v>128530175.66666667</v>
      </c>
      <c r="F71" s="493">
        <f t="shared" si="18"/>
        <v>97989724.666666672</v>
      </c>
      <c r="G71" s="493">
        <f t="shared" si="18"/>
        <v>123248405.66666667</v>
      </c>
      <c r="H71" s="493">
        <f t="shared" si="18"/>
        <v>112640313.66666667</v>
      </c>
      <c r="I71" s="493">
        <f t="shared" si="18"/>
        <v>106673473.66666667</v>
      </c>
      <c r="J71" s="493">
        <f t="shared" si="18"/>
        <v>126255173.66666667</v>
      </c>
      <c r="K71" s="493">
        <f t="shared" si="18"/>
        <v>63751406.666666664</v>
      </c>
      <c r="L71" s="493">
        <f t="shared" si="18"/>
        <v>64051406.666666664</v>
      </c>
      <c r="M71" s="493">
        <f t="shared" si="18"/>
        <v>66658486.666666664</v>
      </c>
      <c r="N71" s="493">
        <f t="shared" si="18"/>
        <v>98561634.666666672</v>
      </c>
      <c r="O71" s="494">
        <f t="shared" si="15"/>
        <v>1162201315.9999998</v>
      </c>
    </row>
    <row r="72" spans="1:15" s="495" customFormat="1" ht="15.95" customHeight="1" thickBot="1">
      <c r="A72" s="503"/>
      <c r="B72" s="504"/>
      <c r="C72" s="505"/>
      <c r="D72" s="505"/>
      <c r="E72" s="505"/>
      <c r="F72" s="505"/>
      <c r="G72" s="505"/>
      <c r="H72" s="505"/>
      <c r="I72" s="505"/>
      <c r="J72" s="505"/>
      <c r="K72" s="505"/>
      <c r="L72" s="505"/>
      <c r="M72" s="505"/>
      <c r="N72" s="505"/>
      <c r="O72" s="505"/>
    </row>
    <row r="73" spans="1:15" ht="16.5" thickBot="1">
      <c r="A73" s="491"/>
      <c r="B73" s="492" t="s">
        <v>106</v>
      </c>
      <c r="C73" s="493">
        <f t="shared" ref="C73:O73" si="19">C55-C71</f>
        <v>483233923.33333337</v>
      </c>
      <c r="D73" s="493">
        <f t="shared" si="19"/>
        <v>-52595479.666666672</v>
      </c>
      <c r="E73" s="493">
        <f t="shared" si="19"/>
        <v>-78490819.666666687</v>
      </c>
      <c r="F73" s="493">
        <f t="shared" si="19"/>
        <v>-59686789.666666672</v>
      </c>
      <c r="G73" s="493">
        <f t="shared" si="19"/>
        <v>-87880744.666666672</v>
      </c>
      <c r="H73" s="493">
        <f t="shared" si="19"/>
        <v>-58117532.666666672</v>
      </c>
      <c r="I73" s="493">
        <f t="shared" si="19"/>
        <v>-21926347.666666672</v>
      </c>
      <c r="J73" s="493">
        <f t="shared" si="19"/>
        <v>-6643618.6666666716</v>
      </c>
      <c r="K73" s="493">
        <f t="shared" si="19"/>
        <v>5749309.3333333358</v>
      </c>
      <c r="L73" s="493">
        <f t="shared" si="19"/>
        <v>-28834280.666666664</v>
      </c>
      <c r="M73" s="493">
        <f t="shared" si="19"/>
        <v>-31452360.666666664</v>
      </c>
      <c r="N73" s="493">
        <f t="shared" si="19"/>
        <v>-63355258.666666672</v>
      </c>
      <c r="O73" s="494">
        <f t="shared" si="19"/>
        <v>0</v>
      </c>
    </row>
  </sheetData>
  <mergeCells count="9">
    <mergeCell ref="L1:N1"/>
    <mergeCell ref="A40:O40"/>
    <mergeCell ref="A41:O41"/>
    <mergeCell ref="B45:O45"/>
    <mergeCell ref="B58:O58"/>
    <mergeCell ref="A4:O4"/>
    <mergeCell ref="A5:O5"/>
    <mergeCell ref="B9:O9"/>
    <mergeCell ref="B22:O22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1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1" manualBreakCount="1">
    <brk id="39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</sheetPr>
  <dimension ref="A1:C39"/>
  <sheetViews>
    <sheetView topLeftCell="A30" zoomScaleNormal="100" workbookViewId="0">
      <selection activeCell="A45" sqref="A45"/>
    </sheetView>
  </sheetViews>
  <sheetFormatPr defaultRowHeight="15.75"/>
  <cols>
    <col min="1" max="1" width="109.5" style="445" bestFit="1" customWidth="1"/>
    <col min="2" max="3" width="35.33203125" style="445" bestFit="1" customWidth="1"/>
    <col min="4" max="16384" width="9.33203125" style="445"/>
  </cols>
  <sheetData>
    <row r="1" spans="1:3">
      <c r="A1" s="444" t="s">
        <v>536</v>
      </c>
    </row>
    <row r="2" spans="1:3">
      <c r="A2" s="342" t="s">
        <v>587</v>
      </c>
    </row>
    <row r="3" spans="1:3">
      <c r="A3" s="343" t="s">
        <v>687</v>
      </c>
      <c r="B3" s="343"/>
      <c r="C3" s="343"/>
    </row>
    <row r="4" spans="1:3">
      <c r="A4" s="344"/>
      <c r="B4" s="471" t="s">
        <v>581</v>
      </c>
      <c r="C4" s="471" t="s">
        <v>581</v>
      </c>
    </row>
    <row r="5" spans="1:3">
      <c r="A5" s="345" t="s">
        <v>47</v>
      </c>
      <c r="B5" s="345" t="s">
        <v>688</v>
      </c>
      <c r="C5" s="345" t="s">
        <v>715</v>
      </c>
    </row>
    <row r="6" spans="1:3" s="446" customFormat="1">
      <c r="A6" s="345" t="s">
        <v>483</v>
      </c>
      <c r="B6" s="345" t="s">
        <v>484</v>
      </c>
      <c r="C6" s="345" t="s">
        <v>484</v>
      </c>
    </row>
    <row r="7" spans="1:3">
      <c r="A7" s="345" t="s">
        <v>558</v>
      </c>
      <c r="B7" s="472">
        <f>SUM(B8+B9+B15+B17+B16+B14)</f>
        <v>118506104</v>
      </c>
      <c r="C7" s="472">
        <f>SUM(C8+C9+C15+C17+C16+C14)</f>
        <v>118774024</v>
      </c>
    </row>
    <row r="8" spans="1:3">
      <c r="A8" s="447" t="s">
        <v>559</v>
      </c>
      <c r="B8" s="473">
        <v>48777000</v>
      </c>
      <c r="C8" s="473">
        <v>48777000</v>
      </c>
    </row>
    <row r="9" spans="1:3">
      <c r="A9" s="447" t="s">
        <v>560</v>
      </c>
      <c r="B9" s="474">
        <f>B10+B11+B12+B13</f>
        <v>32900904</v>
      </c>
      <c r="C9" s="474">
        <f>C10+C11+C12+C13</f>
        <v>32900904</v>
      </c>
    </row>
    <row r="10" spans="1:3">
      <c r="A10" s="448" t="s">
        <v>561</v>
      </c>
      <c r="B10" s="473">
        <v>7367920</v>
      </c>
      <c r="C10" s="473">
        <v>7367920</v>
      </c>
    </row>
    <row r="11" spans="1:3">
      <c r="A11" s="448" t="s">
        <v>562</v>
      </c>
      <c r="B11" s="473">
        <v>14432000</v>
      </c>
      <c r="C11" s="473">
        <v>14432000</v>
      </c>
    </row>
    <row r="12" spans="1:3">
      <c r="A12" s="448" t="s">
        <v>563</v>
      </c>
      <c r="B12" s="473">
        <v>1744044</v>
      </c>
      <c r="C12" s="473">
        <v>1744044</v>
      </c>
    </row>
    <row r="13" spans="1:3">
      <c r="A13" s="448" t="s">
        <v>564</v>
      </c>
      <c r="B13" s="473">
        <v>9356940</v>
      </c>
      <c r="C13" s="473">
        <v>9356940</v>
      </c>
    </row>
    <row r="14" spans="1:3">
      <c r="A14" s="447" t="s">
        <v>653</v>
      </c>
      <c r="B14" s="473">
        <v>972400</v>
      </c>
      <c r="C14" s="473">
        <v>972400</v>
      </c>
    </row>
    <row r="15" spans="1:3">
      <c r="A15" s="447" t="s">
        <v>582</v>
      </c>
      <c r="B15" s="473">
        <v>6885000</v>
      </c>
      <c r="C15" s="473">
        <v>6885000</v>
      </c>
    </row>
    <row r="16" spans="1:3">
      <c r="A16" s="447" t="s">
        <v>571</v>
      </c>
      <c r="B16" s="475">
        <v>28970800</v>
      </c>
      <c r="C16" s="475">
        <v>28970800</v>
      </c>
    </row>
    <row r="17" spans="1:3">
      <c r="A17" s="447" t="s">
        <v>694</v>
      </c>
      <c r="B17" s="475"/>
      <c r="C17" s="475">
        <f>267920</f>
        <v>267920</v>
      </c>
    </row>
    <row r="18" spans="1:3">
      <c r="A18" s="449" t="s">
        <v>565</v>
      </c>
      <c r="B18" s="476">
        <f>SUM(B19:B20)</f>
        <v>64532484</v>
      </c>
      <c r="C18" s="476">
        <f>SUM(C19:C20)</f>
        <v>64532484</v>
      </c>
    </row>
    <row r="19" spans="1:3">
      <c r="A19" s="447" t="s">
        <v>583</v>
      </c>
      <c r="B19" s="473">
        <v>54467817</v>
      </c>
      <c r="C19" s="473">
        <v>54467817</v>
      </c>
    </row>
    <row r="20" spans="1:3">
      <c r="A20" s="447" t="s">
        <v>566</v>
      </c>
      <c r="B20" s="473">
        <v>10064667</v>
      </c>
      <c r="C20" s="473">
        <v>10064667</v>
      </c>
    </row>
    <row r="21" spans="1:3">
      <c r="A21" s="449" t="s">
        <v>585</v>
      </c>
      <c r="B21" s="476">
        <f>B22+B23+B24+B25</f>
        <v>37842188</v>
      </c>
      <c r="C21" s="476">
        <f>C22+C23+C24+C25</f>
        <v>37842188</v>
      </c>
    </row>
    <row r="22" spans="1:3">
      <c r="A22" s="450" t="s">
        <v>567</v>
      </c>
      <c r="B22" s="477">
        <v>11093000</v>
      </c>
      <c r="C22" s="477">
        <v>11093000</v>
      </c>
    </row>
    <row r="23" spans="1:3">
      <c r="A23" s="451" t="s">
        <v>568</v>
      </c>
      <c r="B23" s="478">
        <v>885760</v>
      </c>
      <c r="C23" s="478">
        <v>885760</v>
      </c>
    </row>
    <row r="24" spans="1:3">
      <c r="A24" s="447" t="s">
        <v>569</v>
      </c>
      <c r="B24" s="475">
        <v>11913000</v>
      </c>
      <c r="C24" s="475">
        <v>11913000</v>
      </c>
    </row>
    <row r="25" spans="1:3">
      <c r="A25" s="447" t="s">
        <v>570</v>
      </c>
      <c r="B25" s="475">
        <v>13950428</v>
      </c>
      <c r="C25" s="475">
        <v>13950428</v>
      </c>
    </row>
    <row r="26" spans="1:3">
      <c r="A26" s="449" t="s">
        <v>586</v>
      </c>
      <c r="B26" s="479">
        <f>B27+B28+B29</f>
        <v>3085500</v>
      </c>
      <c r="C26" s="479">
        <f>C27+C28+C29</f>
        <v>3430376</v>
      </c>
    </row>
    <row r="27" spans="1:3">
      <c r="A27" s="451" t="s">
        <v>584</v>
      </c>
      <c r="B27" s="478">
        <v>3085500</v>
      </c>
      <c r="C27" s="478">
        <v>3085500</v>
      </c>
    </row>
    <row r="28" spans="1:3">
      <c r="A28" s="451" t="s">
        <v>627</v>
      </c>
      <c r="B28" s="478"/>
      <c r="C28" s="478">
        <f>344876</f>
        <v>344876</v>
      </c>
    </row>
    <row r="29" spans="1:3">
      <c r="A29" s="451" t="s">
        <v>640</v>
      </c>
      <c r="B29" s="478"/>
      <c r="C29" s="478"/>
    </row>
    <row r="30" spans="1:3" s="452" customFormat="1">
      <c r="A30" s="449" t="s">
        <v>639</v>
      </c>
      <c r="B30" s="479">
        <f>B31+B32+B33+B34</f>
        <v>0</v>
      </c>
      <c r="C30" s="479">
        <f>C31+C32+C33+C34</f>
        <v>8520000</v>
      </c>
    </row>
    <row r="31" spans="1:3">
      <c r="A31" s="447" t="s">
        <v>643</v>
      </c>
      <c r="B31" s="475"/>
      <c r="C31" s="475"/>
    </row>
    <row r="32" spans="1:3">
      <c r="A32" s="447" t="s">
        <v>572</v>
      </c>
      <c r="B32" s="475"/>
      <c r="C32" s="475"/>
    </row>
    <row r="33" spans="1:3">
      <c r="A33" s="447" t="s">
        <v>638</v>
      </c>
      <c r="B33" s="475"/>
      <c r="C33" s="475"/>
    </row>
    <row r="34" spans="1:3">
      <c r="A34" s="447" t="s">
        <v>718</v>
      </c>
      <c r="B34" s="475"/>
      <c r="C34" s="475">
        <v>8520000</v>
      </c>
    </row>
    <row r="35" spans="1:3">
      <c r="A35" s="449" t="s">
        <v>427</v>
      </c>
      <c r="B35" s="479">
        <f>B36</f>
        <v>0</v>
      </c>
      <c r="C35" s="479">
        <f>C36</f>
        <v>0</v>
      </c>
    </row>
    <row r="36" spans="1:3">
      <c r="A36" s="447" t="s">
        <v>695</v>
      </c>
      <c r="B36" s="475"/>
      <c r="C36" s="475"/>
    </row>
    <row r="37" spans="1:3">
      <c r="A37" s="449" t="s">
        <v>670</v>
      </c>
      <c r="B37" s="479">
        <f>B38</f>
        <v>0</v>
      </c>
      <c r="C37" s="479">
        <f>C38</f>
        <v>0</v>
      </c>
    </row>
    <row r="38" spans="1:3">
      <c r="A38" s="447" t="s">
        <v>670</v>
      </c>
      <c r="B38" s="475"/>
      <c r="C38" s="475"/>
    </row>
    <row r="39" spans="1:3">
      <c r="A39" s="453" t="s">
        <v>48</v>
      </c>
      <c r="B39" s="472">
        <f>B7+B18+B21+B26+B30+B35+B37</f>
        <v>223966276</v>
      </c>
      <c r="C39" s="472">
        <f>C7+C18+C21+C26+C30+C35+C37</f>
        <v>233099072</v>
      </c>
    </row>
  </sheetData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2" orientation="portrait" verticalDpi="300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E22"/>
  <sheetViews>
    <sheetView zoomScaleNormal="100" workbookViewId="0">
      <selection activeCell="F5" sqref="F5"/>
    </sheetView>
  </sheetViews>
  <sheetFormatPr defaultColWidth="14" defaultRowHeight="15.75"/>
  <cols>
    <col min="1" max="1" width="10.5" style="267" bestFit="1" customWidth="1"/>
    <col min="2" max="2" width="78.33203125" style="267" bestFit="1" customWidth="1"/>
    <col min="3" max="3" width="47.6640625" style="267" bestFit="1" customWidth="1"/>
    <col min="4" max="5" width="14.33203125" style="267" bestFit="1" customWidth="1"/>
    <col min="6" max="16384" width="14" style="267"/>
  </cols>
  <sheetData>
    <row r="1" spans="1:5" ht="22.5" customHeight="1">
      <c r="A1" s="753" t="s">
        <v>580</v>
      </c>
      <c r="B1" s="753"/>
      <c r="C1" s="753"/>
    </row>
    <row r="2" spans="1:5" ht="17.25" customHeight="1">
      <c r="A2" s="753" t="s">
        <v>685</v>
      </c>
      <c r="B2" s="753"/>
      <c r="C2" s="753"/>
      <c r="D2" s="336"/>
      <c r="E2" s="336"/>
    </row>
    <row r="3" spans="1:5" ht="17.25" customHeight="1">
      <c r="A3" s="336"/>
      <c r="B3" s="336"/>
      <c r="C3" s="336"/>
      <c r="D3" s="336"/>
      <c r="E3" s="336"/>
    </row>
    <row r="4" spans="1:5" ht="16.5" thickBot="1">
      <c r="C4" s="378" t="s">
        <v>581</v>
      </c>
    </row>
    <row r="5" spans="1:5" ht="55.5" customHeight="1">
      <c r="A5" s="337" t="s">
        <v>578</v>
      </c>
      <c r="B5" s="337" t="s">
        <v>120</v>
      </c>
      <c r="C5" s="337" t="s">
        <v>121</v>
      </c>
      <c r="D5" s="469" t="s">
        <v>686</v>
      </c>
      <c r="E5" s="469" t="s">
        <v>714</v>
      </c>
    </row>
    <row r="6" spans="1:5" ht="15.95" customHeight="1">
      <c r="A6" s="338" t="s">
        <v>14</v>
      </c>
      <c r="B6" s="339" t="s">
        <v>550</v>
      </c>
      <c r="C6" s="339" t="s">
        <v>574</v>
      </c>
      <c r="D6" s="467">
        <v>200000</v>
      </c>
      <c r="E6" s="467">
        <v>200000</v>
      </c>
    </row>
    <row r="7" spans="1:5" ht="15.95" customHeight="1">
      <c r="A7" s="338" t="s">
        <v>15</v>
      </c>
      <c r="B7" s="388" t="s">
        <v>542</v>
      </c>
      <c r="C7" s="388" t="s">
        <v>574</v>
      </c>
      <c r="D7" s="468">
        <v>300000</v>
      </c>
      <c r="E7" s="468">
        <v>300000</v>
      </c>
    </row>
    <row r="8" spans="1:5" ht="15.95" customHeight="1">
      <c r="A8" s="338" t="s">
        <v>16</v>
      </c>
      <c r="B8" s="339" t="s">
        <v>543</v>
      </c>
      <c r="C8" s="339" t="s">
        <v>574</v>
      </c>
      <c r="D8" s="467">
        <v>100000</v>
      </c>
      <c r="E8" s="467">
        <v>100000</v>
      </c>
    </row>
    <row r="9" spans="1:5" ht="18.75" customHeight="1">
      <c r="A9" s="338" t="s">
        <v>17</v>
      </c>
      <c r="B9" s="340" t="s">
        <v>545</v>
      </c>
      <c r="C9" s="339" t="s">
        <v>574</v>
      </c>
      <c r="D9" s="467">
        <v>1150000</v>
      </c>
      <c r="E9" s="467">
        <v>1150000</v>
      </c>
    </row>
    <row r="10" spans="1:5" ht="15.95" customHeight="1">
      <c r="A10" s="338" t="s">
        <v>18</v>
      </c>
      <c r="B10" s="339" t="s">
        <v>546</v>
      </c>
      <c r="C10" s="339" t="s">
        <v>574</v>
      </c>
      <c r="D10" s="467">
        <v>200000</v>
      </c>
      <c r="E10" s="467">
        <v>200000</v>
      </c>
    </row>
    <row r="11" spans="1:5" ht="15.95" customHeight="1">
      <c r="A11" s="338" t="s">
        <v>19</v>
      </c>
      <c r="B11" s="339" t="s">
        <v>546</v>
      </c>
      <c r="C11" s="339" t="s">
        <v>574</v>
      </c>
      <c r="D11" s="467">
        <v>500000</v>
      </c>
      <c r="E11" s="467">
        <v>500000</v>
      </c>
    </row>
    <row r="12" spans="1:5" ht="15.95" customHeight="1">
      <c r="A12" s="338" t="s">
        <v>20</v>
      </c>
      <c r="B12" s="339" t="s">
        <v>644</v>
      </c>
      <c r="C12" s="339" t="s">
        <v>574</v>
      </c>
      <c r="D12" s="467">
        <v>80000</v>
      </c>
      <c r="E12" s="467">
        <v>80000</v>
      </c>
    </row>
    <row r="13" spans="1:5" ht="15.95" customHeight="1">
      <c r="A13" s="338" t="s">
        <v>21</v>
      </c>
      <c r="B13" s="339" t="s">
        <v>547</v>
      </c>
      <c r="C13" s="339" t="s">
        <v>574</v>
      </c>
      <c r="D13" s="467">
        <v>7600000</v>
      </c>
      <c r="E13" s="467">
        <v>7600000</v>
      </c>
    </row>
    <row r="14" spans="1:5" ht="15.95" customHeight="1">
      <c r="A14" s="338" t="s">
        <v>22</v>
      </c>
      <c r="B14" s="339" t="s">
        <v>548</v>
      </c>
      <c r="C14" s="339" t="s">
        <v>574</v>
      </c>
      <c r="D14" s="467">
        <v>700000</v>
      </c>
      <c r="E14" s="467">
        <v>700000</v>
      </c>
    </row>
    <row r="15" spans="1:5" ht="16.5" customHeight="1">
      <c r="A15" s="338" t="s">
        <v>23</v>
      </c>
      <c r="B15" s="339" t="s">
        <v>544</v>
      </c>
      <c r="C15" s="339" t="s">
        <v>574</v>
      </c>
      <c r="D15" s="467">
        <v>900000</v>
      </c>
      <c r="E15" s="467">
        <v>900000</v>
      </c>
    </row>
    <row r="16" spans="1:5" ht="15.95" customHeight="1">
      <c r="A16" s="338" t="s">
        <v>24</v>
      </c>
      <c r="B16" s="339" t="s">
        <v>637</v>
      </c>
      <c r="C16" s="339" t="s">
        <v>574</v>
      </c>
      <c r="D16" s="467">
        <v>5600000</v>
      </c>
      <c r="E16" s="467">
        <v>5600000</v>
      </c>
    </row>
    <row r="17" spans="1:5" ht="15.95" customHeight="1">
      <c r="A17" s="338" t="s">
        <v>25</v>
      </c>
      <c r="B17" s="339" t="s">
        <v>549</v>
      </c>
      <c r="C17" s="339" t="s">
        <v>574</v>
      </c>
      <c r="D17" s="467">
        <v>200000</v>
      </c>
      <c r="E17" s="467">
        <v>200000</v>
      </c>
    </row>
    <row r="18" spans="1:5" ht="15.95" customHeight="1">
      <c r="A18" s="338" t="s">
        <v>26</v>
      </c>
      <c r="B18" s="339" t="s">
        <v>612</v>
      </c>
      <c r="C18" s="339" t="s">
        <v>574</v>
      </c>
      <c r="D18" s="467">
        <v>95000</v>
      </c>
      <c r="E18" s="467">
        <v>95000</v>
      </c>
    </row>
    <row r="19" spans="1:5" ht="15.95" customHeight="1">
      <c r="A19" s="338" t="s">
        <v>27</v>
      </c>
      <c r="B19" s="339" t="s">
        <v>579</v>
      </c>
      <c r="C19" s="339" t="s">
        <v>574</v>
      </c>
      <c r="D19" s="467">
        <v>1440000</v>
      </c>
      <c r="E19" s="467">
        <v>1440000</v>
      </c>
    </row>
    <row r="20" spans="1:5" ht="15.95" customHeight="1">
      <c r="A20" s="338" t="s">
        <v>31</v>
      </c>
      <c r="B20" s="339" t="s">
        <v>547</v>
      </c>
      <c r="C20" s="339" t="s">
        <v>669</v>
      </c>
      <c r="D20" s="467">
        <v>600000</v>
      </c>
      <c r="E20" s="467">
        <v>600000</v>
      </c>
    </row>
    <row r="21" spans="1:5" ht="15.95" customHeight="1" thickBot="1">
      <c r="A21" s="338" t="s">
        <v>32</v>
      </c>
      <c r="B21" s="339" t="s">
        <v>713</v>
      </c>
      <c r="C21" s="339" t="s">
        <v>669</v>
      </c>
      <c r="D21" s="467">
        <v>50000</v>
      </c>
      <c r="E21" s="467">
        <v>50000</v>
      </c>
    </row>
    <row r="22" spans="1:5" ht="15.95" customHeight="1" thickBot="1">
      <c r="A22" s="773" t="s">
        <v>48</v>
      </c>
      <c r="B22" s="774"/>
      <c r="C22" s="341"/>
      <c r="D22" s="470">
        <f>SUM(D6:D21)</f>
        <v>19715000</v>
      </c>
      <c r="E22" s="470">
        <f>SUM(E6:E21)</f>
        <v>19715000</v>
      </c>
    </row>
  </sheetData>
  <mergeCells count="3">
    <mergeCell ref="A1:C1"/>
    <mergeCell ref="A22:B22"/>
    <mergeCell ref="A2:C2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7" orientation="portrait" copies="4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zoomScale="120" zoomScaleNormal="120" zoomScaleSheetLayoutView="100" workbookViewId="0">
      <selection activeCell="B37" sqref="B37"/>
    </sheetView>
  </sheetViews>
  <sheetFormatPr defaultRowHeight="15.75"/>
  <cols>
    <col min="1" max="1" width="9" style="33" customWidth="1"/>
    <col min="2" max="2" width="66.33203125" style="33" bestFit="1" customWidth="1"/>
    <col min="3" max="5" width="15.5" style="454" customWidth="1"/>
    <col min="6" max="6" width="9" style="33" customWidth="1"/>
    <col min="7" max="16384" width="9.33203125" style="33"/>
  </cols>
  <sheetData>
    <row r="1" spans="1:5" ht="15.95" customHeight="1">
      <c r="A1" s="705" t="s">
        <v>11</v>
      </c>
      <c r="B1" s="705"/>
      <c r="C1" s="705"/>
      <c r="D1" s="705"/>
      <c r="E1" s="705"/>
    </row>
    <row r="2" spans="1:5" ht="15.95" customHeight="1" thickBot="1">
      <c r="A2" s="706" t="s">
        <v>142</v>
      </c>
      <c r="B2" s="706"/>
    </row>
    <row r="3" spans="1:5" ht="38.1" customHeight="1" thickBot="1">
      <c r="A3" s="34" t="s">
        <v>64</v>
      </c>
      <c r="B3" s="35" t="s">
        <v>13</v>
      </c>
      <c r="C3" s="35" t="s">
        <v>662</v>
      </c>
      <c r="D3" s="35" t="s">
        <v>663</v>
      </c>
      <c r="E3" s="35" t="s">
        <v>684</v>
      </c>
    </row>
    <row r="4" spans="1:5" s="38" customFormat="1" ht="12" customHeight="1" thickBot="1">
      <c r="A4" s="73" t="s">
        <v>483</v>
      </c>
      <c r="B4" s="74" t="s">
        <v>484</v>
      </c>
      <c r="C4" s="74" t="s">
        <v>485</v>
      </c>
      <c r="D4" s="74" t="s">
        <v>485</v>
      </c>
      <c r="E4" s="74" t="s">
        <v>485</v>
      </c>
    </row>
    <row r="5" spans="1:5" s="42" customFormat="1" ht="12" customHeight="1" thickBot="1">
      <c r="A5" s="39" t="s">
        <v>14</v>
      </c>
      <c r="B5" s="40" t="s">
        <v>522</v>
      </c>
      <c r="C5" s="455">
        <v>224000000</v>
      </c>
      <c r="D5" s="455">
        <v>224000000</v>
      </c>
      <c r="E5" s="455">
        <v>224000000</v>
      </c>
    </row>
    <row r="6" spans="1:5" s="42" customFormat="1" ht="12" customHeight="1" thickBot="1">
      <c r="A6" s="39" t="s">
        <v>15</v>
      </c>
      <c r="B6" s="52" t="s">
        <v>370</v>
      </c>
      <c r="C6" s="455">
        <v>37000000</v>
      </c>
      <c r="D6" s="455">
        <v>37000000</v>
      </c>
      <c r="E6" s="455">
        <v>37000000</v>
      </c>
    </row>
    <row r="7" spans="1:5" s="42" customFormat="1" ht="12" customHeight="1" thickBot="1">
      <c r="A7" s="39" t="s">
        <v>16</v>
      </c>
      <c r="B7" s="40" t="s">
        <v>378</v>
      </c>
      <c r="C7" s="455"/>
      <c r="D7" s="455"/>
      <c r="E7" s="455"/>
    </row>
    <row r="8" spans="1:5" s="42" customFormat="1" ht="12" customHeight="1" thickBot="1">
      <c r="A8" s="39" t="s">
        <v>162</v>
      </c>
      <c r="B8" s="40" t="s">
        <v>256</v>
      </c>
      <c r="C8" s="456">
        <f>+C9+C13+C14+C15</f>
        <v>136700000</v>
      </c>
      <c r="D8" s="456">
        <f>+D9+D13+D14+D15</f>
        <v>136700000</v>
      </c>
      <c r="E8" s="456">
        <f>+E9+E13+E14+E15</f>
        <v>136700000</v>
      </c>
    </row>
    <row r="9" spans="1:5" s="42" customFormat="1" ht="12" customHeight="1">
      <c r="A9" s="43" t="s">
        <v>257</v>
      </c>
      <c r="B9" s="44" t="s">
        <v>433</v>
      </c>
      <c r="C9" s="457">
        <f>+C10+C11+C12</f>
        <v>100000000</v>
      </c>
      <c r="D9" s="457">
        <f>+D10+D11+D12</f>
        <v>100000000</v>
      </c>
      <c r="E9" s="457">
        <f>+E10+E11+E12</f>
        <v>100000000</v>
      </c>
    </row>
    <row r="10" spans="1:5" s="42" customFormat="1" ht="12" customHeight="1">
      <c r="A10" s="46" t="s">
        <v>258</v>
      </c>
      <c r="B10" s="47" t="s">
        <v>263</v>
      </c>
      <c r="C10" s="458">
        <v>58000000</v>
      </c>
      <c r="D10" s="458">
        <v>58000000</v>
      </c>
      <c r="E10" s="458">
        <v>58000000</v>
      </c>
    </row>
    <row r="11" spans="1:5" s="42" customFormat="1" ht="12" customHeight="1">
      <c r="A11" s="46" t="s">
        <v>259</v>
      </c>
      <c r="B11" s="47" t="s">
        <v>264</v>
      </c>
      <c r="C11" s="458"/>
      <c r="D11" s="458"/>
      <c r="E11" s="458"/>
    </row>
    <row r="12" spans="1:5" s="42" customFormat="1" ht="12" customHeight="1">
      <c r="A12" s="46" t="s">
        <v>431</v>
      </c>
      <c r="B12" s="57" t="s">
        <v>432</v>
      </c>
      <c r="C12" s="458">
        <v>42000000</v>
      </c>
      <c r="D12" s="458">
        <v>42000000</v>
      </c>
      <c r="E12" s="458">
        <v>42000000</v>
      </c>
    </row>
    <row r="13" spans="1:5" s="42" customFormat="1" ht="12" customHeight="1">
      <c r="A13" s="46" t="s">
        <v>260</v>
      </c>
      <c r="B13" s="47" t="s">
        <v>265</v>
      </c>
      <c r="C13" s="458">
        <v>9000000</v>
      </c>
      <c r="D13" s="458">
        <v>9000000</v>
      </c>
      <c r="E13" s="458">
        <v>9000000</v>
      </c>
    </row>
    <row r="14" spans="1:5" s="42" customFormat="1" ht="12" customHeight="1">
      <c r="A14" s="46" t="s">
        <v>261</v>
      </c>
      <c r="B14" s="47" t="s">
        <v>266</v>
      </c>
      <c r="C14" s="458">
        <v>27500000</v>
      </c>
      <c r="D14" s="458">
        <v>27500000</v>
      </c>
      <c r="E14" s="458">
        <v>27500000</v>
      </c>
    </row>
    <row r="15" spans="1:5" s="42" customFormat="1" ht="12" customHeight="1" thickBot="1">
      <c r="A15" s="50" t="s">
        <v>262</v>
      </c>
      <c r="B15" s="54" t="s">
        <v>267</v>
      </c>
      <c r="C15" s="459">
        <v>200000</v>
      </c>
      <c r="D15" s="459">
        <v>200000</v>
      </c>
      <c r="E15" s="459">
        <v>200000</v>
      </c>
    </row>
    <row r="16" spans="1:5" s="42" customFormat="1" ht="12" customHeight="1" thickBot="1">
      <c r="A16" s="39" t="s">
        <v>18</v>
      </c>
      <c r="B16" s="40" t="s">
        <v>525</v>
      </c>
      <c r="C16" s="455">
        <v>130000000</v>
      </c>
      <c r="D16" s="455">
        <v>130000000</v>
      </c>
      <c r="E16" s="455">
        <v>130000000</v>
      </c>
    </row>
    <row r="17" spans="1:5" s="42" customFormat="1" ht="12" customHeight="1" thickBot="1">
      <c r="A17" s="39" t="s">
        <v>19</v>
      </c>
      <c r="B17" s="40" t="s">
        <v>8</v>
      </c>
      <c r="C17" s="455"/>
      <c r="D17" s="455"/>
      <c r="E17" s="455"/>
    </row>
    <row r="18" spans="1:5" s="42" customFormat="1" ht="12" customHeight="1" thickBot="1">
      <c r="A18" s="39" t="s">
        <v>169</v>
      </c>
      <c r="B18" s="40" t="s">
        <v>524</v>
      </c>
      <c r="C18" s="455"/>
      <c r="D18" s="455"/>
      <c r="E18" s="455"/>
    </row>
    <row r="19" spans="1:5" s="42" customFormat="1" ht="12" customHeight="1" thickBot="1">
      <c r="A19" s="39" t="s">
        <v>21</v>
      </c>
      <c r="B19" s="52" t="s">
        <v>523</v>
      </c>
      <c r="C19" s="455"/>
      <c r="D19" s="455"/>
      <c r="E19" s="455"/>
    </row>
    <row r="20" spans="1:5" s="42" customFormat="1" ht="12" customHeight="1" thickBot="1">
      <c r="A20" s="39" t="s">
        <v>22</v>
      </c>
      <c r="B20" s="40" t="s">
        <v>300</v>
      </c>
      <c r="C20" s="456">
        <f>+C5+C6+C7+C8+C16+C17+C18+C19</f>
        <v>527700000</v>
      </c>
      <c r="D20" s="456">
        <f>+D5+D6+D7+D8+D16+D17+D18+D19</f>
        <v>527700000</v>
      </c>
      <c r="E20" s="456">
        <f>+E5+E6+E7+E8+E16+E17+E18+E19</f>
        <v>527700000</v>
      </c>
    </row>
    <row r="21" spans="1:5" s="42" customFormat="1" ht="12" customHeight="1" thickBot="1">
      <c r="A21" s="39" t="s">
        <v>23</v>
      </c>
      <c r="B21" s="40" t="s">
        <v>526</v>
      </c>
      <c r="C21" s="460"/>
      <c r="D21" s="460"/>
      <c r="E21" s="460"/>
    </row>
    <row r="22" spans="1:5" s="42" customFormat="1" ht="12" customHeight="1" thickBot="1">
      <c r="A22" s="39" t="s">
        <v>24</v>
      </c>
      <c r="B22" s="40" t="s">
        <v>527</v>
      </c>
      <c r="C22" s="456">
        <f>+C20+C21</f>
        <v>527700000</v>
      </c>
      <c r="D22" s="456">
        <f>+D20+D21</f>
        <v>527700000</v>
      </c>
      <c r="E22" s="456">
        <f>+E20+E21</f>
        <v>527700000</v>
      </c>
    </row>
    <row r="23" spans="1:5" s="42" customFormat="1" ht="12" customHeight="1">
      <c r="A23" s="372"/>
      <c r="B23" s="373"/>
      <c r="C23" s="461"/>
      <c r="D23" s="461"/>
      <c r="E23" s="461"/>
    </row>
    <row r="24" spans="1:5" s="42" customFormat="1" ht="12" customHeight="1">
      <c r="A24" s="705" t="s">
        <v>42</v>
      </c>
      <c r="B24" s="705"/>
      <c r="C24" s="705"/>
      <c r="D24" s="705"/>
      <c r="E24" s="705"/>
    </row>
    <row r="25" spans="1:5" s="42" customFormat="1" ht="12" customHeight="1" thickBot="1">
      <c r="A25" s="707" t="s">
        <v>143</v>
      </c>
      <c r="B25" s="707"/>
      <c r="C25" s="454"/>
      <c r="D25" s="454"/>
      <c r="E25" s="454"/>
    </row>
    <row r="26" spans="1:5" s="42" customFormat="1" ht="24" customHeight="1" thickBot="1">
      <c r="A26" s="34" t="s">
        <v>12</v>
      </c>
      <c r="B26" s="35" t="s">
        <v>43</v>
      </c>
      <c r="C26" s="35" t="str">
        <f>+C3</f>
        <v>2020. évi</v>
      </c>
      <c r="D26" s="35" t="str">
        <f>+D3</f>
        <v>2021. évi</v>
      </c>
      <c r="E26" s="35" t="str">
        <f>+E3</f>
        <v>2022. évi</v>
      </c>
    </row>
    <row r="27" spans="1:5" s="42" customFormat="1" ht="12" customHeight="1" thickBot="1">
      <c r="A27" s="36" t="s">
        <v>483</v>
      </c>
      <c r="B27" s="37" t="s">
        <v>484</v>
      </c>
      <c r="C27" s="37" t="s">
        <v>485</v>
      </c>
      <c r="D27" s="37" t="s">
        <v>485</v>
      </c>
      <c r="E27" s="37" t="s">
        <v>485</v>
      </c>
    </row>
    <row r="28" spans="1:5" s="42" customFormat="1" ht="15" customHeight="1" thickBot="1">
      <c r="A28" s="39" t="s">
        <v>14</v>
      </c>
      <c r="B28" s="100" t="s">
        <v>528</v>
      </c>
      <c r="C28" s="455">
        <v>328100000</v>
      </c>
      <c r="D28" s="455">
        <v>328100000</v>
      </c>
      <c r="E28" s="455">
        <v>328100000</v>
      </c>
    </row>
    <row r="29" spans="1:5" ht="12" customHeight="1" thickBot="1">
      <c r="A29" s="89" t="s">
        <v>15</v>
      </c>
      <c r="B29" s="374" t="s">
        <v>533</v>
      </c>
      <c r="C29" s="462">
        <f>C30+C31+C32</f>
        <v>15600000</v>
      </c>
      <c r="D29" s="462">
        <f>D30+D31+D32</f>
        <v>15600000</v>
      </c>
      <c r="E29" s="462">
        <f>E30+E31+E32</f>
        <v>15600000</v>
      </c>
    </row>
    <row r="30" spans="1:5" ht="12" customHeight="1">
      <c r="A30" s="43" t="s">
        <v>99</v>
      </c>
      <c r="B30" s="16" t="s">
        <v>217</v>
      </c>
      <c r="C30" s="463">
        <v>10000000</v>
      </c>
      <c r="D30" s="463">
        <v>10000000</v>
      </c>
      <c r="E30" s="463">
        <v>10000000</v>
      </c>
    </row>
    <row r="31" spans="1:5" ht="12" customHeight="1">
      <c r="A31" s="43" t="s">
        <v>100</v>
      </c>
      <c r="B31" s="91" t="s">
        <v>176</v>
      </c>
      <c r="C31" s="458">
        <v>5000000</v>
      </c>
      <c r="D31" s="458">
        <v>5000000</v>
      </c>
      <c r="E31" s="458">
        <v>5000000</v>
      </c>
    </row>
    <row r="32" spans="1:5" ht="12" customHeight="1" thickBot="1">
      <c r="A32" s="43" t="s">
        <v>101</v>
      </c>
      <c r="B32" s="51" t="s">
        <v>219</v>
      </c>
      <c r="C32" s="458">
        <v>600000</v>
      </c>
      <c r="D32" s="458">
        <v>600000</v>
      </c>
      <c r="E32" s="458">
        <v>600000</v>
      </c>
    </row>
    <row r="33" spans="1:6" ht="12" customHeight="1" thickBot="1">
      <c r="A33" s="39" t="s">
        <v>16</v>
      </c>
      <c r="B33" s="19" t="s">
        <v>444</v>
      </c>
      <c r="C33" s="464">
        <f>+C28+C29</f>
        <v>343700000</v>
      </c>
      <c r="D33" s="464">
        <f>+D28+D29</f>
        <v>343700000</v>
      </c>
      <c r="E33" s="464">
        <f>+E28+E29</f>
        <v>343700000</v>
      </c>
    </row>
    <row r="34" spans="1:6" ht="15" customHeight="1" thickBot="1">
      <c r="A34" s="39" t="s">
        <v>17</v>
      </c>
      <c r="B34" s="19" t="s">
        <v>529</v>
      </c>
      <c r="C34" s="465">
        <v>184000000</v>
      </c>
      <c r="D34" s="465">
        <v>184000000</v>
      </c>
      <c r="E34" s="465">
        <v>184000000</v>
      </c>
      <c r="F34" s="97"/>
    </row>
    <row r="35" spans="1:6" s="42" customFormat="1" ht="12.95" customHeight="1" thickBot="1">
      <c r="A35" s="98" t="s">
        <v>18</v>
      </c>
      <c r="B35" s="99" t="s">
        <v>530</v>
      </c>
      <c r="C35" s="466">
        <f>+C33+C34</f>
        <v>527700000</v>
      </c>
      <c r="D35" s="466">
        <f>+D33+D34</f>
        <v>527700000</v>
      </c>
      <c r="E35" s="466">
        <f>+E33+E34</f>
        <v>527700000</v>
      </c>
    </row>
    <row r="36" spans="1:6">
      <c r="C36" s="33"/>
      <c r="D36" s="33"/>
      <c r="E36" s="33"/>
    </row>
    <row r="37" spans="1:6">
      <c r="C37" s="33"/>
      <c r="D37" s="33"/>
      <c r="E37" s="33"/>
    </row>
    <row r="38" spans="1:6">
      <c r="C38" s="33"/>
      <c r="D38" s="33"/>
      <c r="E38" s="33"/>
    </row>
    <row r="39" spans="1:6" ht="16.5" customHeight="1">
      <c r="C39" s="33"/>
      <c r="D39" s="33"/>
      <c r="E39" s="33"/>
    </row>
    <row r="40" spans="1:6">
      <c r="C40" s="33"/>
      <c r="D40" s="33"/>
      <c r="E40" s="33"/>
    </row>
    <row r="41" spans="1:6">
      <c r="C41" s="33"/>
      <c r="D41" s="33"/>
      <c r="E41" s="33"/>
    </row>
    <row r="42" spans="1:6">
      <c r="C42" s="33"/>
      <c r="D42" s="33"/>
      <c r="E42" s="33"/>
    </row>
    <row r="43" spans="1:6">
      <c r="C43" s="33"/>
      <c r="D43" s="33"/>
      <c r="E43" s="33"/>
    </row>
    <row r="44" spans="1:6">
      <c r="C44" s="33"/>
      <c r="D44" s="33"/>
      <c r="E44" s="33"/>
    </row>
    <row r="45" spans="1:6">
      <c r="C45" s="33"/>
      <c r="D45" s="33"/>
      <c r="E45" s="33"/>
    </row>
    <row r="46" spans="1:6">
      <c r="C46" s="33"/>
      <c r="D46" s="33"/>
      <c r="E46" s="33"/>
    </row>
    <row r="47" spans="1:6">
      <c r="C47" s="33"/>
      <c r="D47" s="33"/>
      <c r="E47" s="33"/>
    </row>
    <row r="48" spans="1:6">
      <c r="C48" s="33"/>
      <c r="D48" s="33"/>
      <c r="E48" s="33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8" fitToWidth="3" fitToHeight="2" orientation="portrait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D159"/>
  <sheetViews>
    <sheetView view="pageLayout" zoomScaleNormal="100" zoomScaleSheetLayoutView="100" workbookViewId="0">
      <selection activeCell="A6" sqref="A6:B6"/>
    </sheetView>
  </sheetViews>
  <sheetFormatPr defaultRowHeight="15.75"/>
  <cols>
    <col min="1" max="1" width="9.5" style="33" customWidth="1"/>
    <col min="2" max="2" width="91.6640625" style="33" customWidth="1"/>
    <col min="3" max="4" width="21.6640625" style="454" customWidth="1"/>
    <col min="5" max="16384" width="9.33203125" style="33"/>
  </cols>
  <sheetData>
    <row r="1" spans="1:4">
      <c r="B1" s="376" t="s">
        <v>645</v>
      </c>
    </row>
    <row r="2" spans="1:4">
      <c r="B2" s="376" t="s">
        <v>693</v>
      </c>
    </row>
    <row r="3" spans="1:4">
      <c r="B3" s="379" t="s">
        <v>648</v>
      </c>
    </row>
    <row r="5" spans="1:4" ht="15.95" customHeight="1">
      <c r="A5" s="705" t="s">
        <v>11</v>
      </c>
      <c r="B5" s="705"/>
      <c r="C5" s="33"/>
      <c r="D5" s="33"/>
    </row>
    <row r="6" spans="1:4" ht="15.95" customHeight="1" thickBot="1">
      <c r="A6" s="706" t="s">
        <v>142</v>
      </c>
      <c r="B6" s="706"/>
      <c r="C6" s="506" t="s">
        <v>581</v>
      </c>
      <c r="D6" s="506" t="s">
        <v>581</v>
      </c>
    </row>
    <row r="7" spans="1:4" ht="38.1" customHeight="1" thickBot="1">
      <c r="A7" s="34" t="s">
        <v>64</v>
      </c>
      <c r="B7" s="35" t="s">
        <v>13</v>
      </c>
      <c r="C7" s="625" t="s">
        <v>692</v>
      </c>
      <c r="D7" s="625" t="s">
        <v>717</v>
      </c>
    </row>
    <row r="8" spans="1:4" s="38" customFormat="1" ht="12" customHeight="1" thickBot="1">
      <c r="A8" s="36" t="s">
        <v>483</v>
      </c>
      <c r="B8" s="37" t="s">
        <v>484</v>
      </c>
      <c r="C8" s="578" t="s">
        <v>485</v>
      </c>
      <c r="D8" s="578" t="s">
        <v>485</v>
      </c>
    </row>
    <row r="9" spans="1:4" s="42" customFormat="1" ht="12" customHeight="1" thickBot="1">
      <c r="A9" s="39" t="s">
        <v>14</v>
      </c>
      <c r="B9" s="40" t="s">
        <v>241</v>
      </c>
      <c r="C9" s="41">
        <f>+C10+C11+C12+C13+C14+C15</f>
        <v>0</v>
      </c>
      <c r="D9" s="41">
        <f>+D10+D11+D12+D13+D14+D15</f>
        <v>0</v>
      </c>
    </row>
    <row r="10" spans="1:4" s="42" customFormat="1" ht="12" customHeight="1">
      <c r="A10" s="43" t="s">
        <v>93</v>
      </c>
      <c r="B10" s="44" t="s">
        <v>242</v>
      </c>
      <c r="C10" s="45"/>
      <c r="D10" s="45"/>
    </row>
    <row r="11" spans="1:4" s="42" customFormat="1" ht="12" customHeight="1">
      <c r="A11" s="46" t="s">
        <v>94</v>
      </c>
      <c r="B11" s="47" t="s">
        <v>243</v>
      </c>
      <c r="C11" s="48"/>
      <c r="D11" s="48"/>
    </row>
    <row r="12" spans="1:4" s="42" customFormat="1" ht="12" customHeight="1">
      <c r="A12" s="46" t="s">
        <v>95</v>
      </c>
      <c r="B12" s="47" t="s">
        <v>244</v>
      </c>
      <c r="C12" s="48"/>
      <c r="D12" s="48"/>
    </row>
    <row r="13" spans="1:4" s="42" customFormat="1" ht="12" customHeight="1">
      <c r="A13" s="46" t="s">
        <v>96</v>
      </c>
      <c r="B13" s="47" t="s">
        <v>245</v>
      </c>
      <c r="C13" s="48"/>
      <c r="D13" s="48"/>
    </row>
    <row r="14" spans="1:4" s="42" customFormat="1" ht="12" customHeight="1">
      <c r="A14" s="46" t="s">
        <v>139</v>
      </c>
      <c r="B14" s="49" t="s">
        <v>426</v>
      </c>
      <c r="C14" s="48"/>
      <c r="D14" s="48"/>
    </row>
    <row r="15" spans="1:4" s="42" customFormat="1" ht="12" customHeight="1" thickBot="1">
      <c r="A15" s="50" t="s">
        <v>97</v>
      </c>
      <c r="B15" s="51" t="s">
        <v>427</v>
      </c>
      <c r="C15" s="48"/>
      <c r="D15" s="48"/>
    </row>
    <row r="16" spans="1:4" s="42" customFormat="1" ht="12" customHeight="1" thickBot="1">
      <c r="A16" s="39" t="s">
        <v>15</v>
      </c>
      <c r="B16" s="52" t="s">
        <v>246</v>
      </c>
      <c r="C16" s="41">
        <f>+C17+C18+C19+C20+C21</f>
        <v>0</v>
      </c>
      <c r="D16" s="41">
        <f>+D17+D18+D19+D20+D21</f>
        <v>0</v>
      </c>
    </row>
    <row r="17" spans="1:4" s="42" customFormat="1" ht="12" customHeight="1">
      <c r="A17" s="43" t="s">
        <v>99</v>
      </c>
      <c r="B17" s="44" t="s">
        <v>247</v>
      </c>
      <c r="C17" s="45"/>
      <c r="D17" s="45"/>
    </row>
    <row r="18" spans="1:4" s="42" customFormat="1" ht="12" customHeight="1">
      <c r="A18" s="46" t="s">
        <v>100</v>
      </c>
      <c r="B18" s="47" t="s">
        <v>248</v>
      </c>
      <c r="C18" s="48"/>
      <c r="D18" s="48"/>
    </row>
    <row r="19" spans="1:4" s="42" customFormat="1" ht="12" customHeight="1">
      <c r="A19" s="46" t="s">
        <v>101</v>
      </c>
      <c r="B19" s="47" t="s">
        <v>416</v>
      </c>
      <c r="C19" s="48"/>
      <c r="D19" s="48"/>
    </row>
    <row r="20" spans="1:4" s="42" customFormat="1" ht="12" customHeight="1">
      <c r="A20" s="46" t="s">
        <v>102</v>
      </c>
      <c r="B20" s="47" t="s">
        <v>417</v>
      </c>
      <c r="C20" s="48"/>
      <c r="D20" s="48"/>
    </row>
    <row r="21" spans="1:4" s="42" customFormat="1" ht="12" customHeight="1">
      <c r="A21" s="46" t="s">
        <v>103</v>
      </c>
      <c r="B21" s="47" t="s">
        <v>249</v>
      </c>
      <c r="C21" s="48"/>
      <c r="D21" s="48"/>
    </row>
    <row r="22" spans="1:4" s="42" customFormat="1" ht="12" customHeight="1" thickBot="1">
      <c r="A22" s="50" t="s">
        <v>112</v>
      </c>
      <c r="B22" s="51" t="s">
        <v>250</v>
      </c>
      <c r="C22" s="53"/>
      <c r="D22" s="53"/>
    </row>
    <row r="23" spans="1:4" s="42" customFormat="1" ht="12" customHeight="1" thickBot="1">
      <c r="A23" s="39" t="s">
        <v>16</v>
      </c>
      <c r="B23" s="40" t="s">
        <v>251</v>
      </c>
      <c r="C23" s="41">
        <f>+C24+C25+C26+C27+C28</f>
        <v>0</v>
      </c>
      <c r="D23" s="41">
        <f>+D24+D25+D26+D27+D28</f>
        <v>0</v>
      </c>
    </row>
    <row r="24" spans="1:4" s="42" customFormat="1" ht="12" customHeight="1">
      <c r="A24" s="43" t="s">
        <v>82</v>
      </c>
      <c r="B24" s="44" t="s">
        <v>252</v>
      </c>
      <c r="C24" s="45"/>
      <c r="D24" s="45"/>
    </row>
    <row r="25" spans="1:4" s="42" customFormat="1" ht="12" customHeight="1">
      <c r="A25" s="46" t="s">
        <v>83</v>
      </c>
      <c r="B25" s="47" t="s">
        <v>253</v>
      </c>
      <c r="C25" s="48"/>
      <c r="D25" s="48"/>
    </row>
    <row r="26" spans="1:4" s="42" customFormat="1" ht="12" customHeight="1">
      <c r="A26" s="46" t="s">
        <v>84</v>
      </c>
      <c r="B26" s="47" t="s">
        <v>418</v>
      </c>
      <c r="C26" s="48"/>
      <c r="D26" s="48"/>
    </row>
    <row r="27" spans="1:4" s="42" customFormat="1" ht="12" customHeight="1">
      <c r="A27" s="46" t="s">
        <v>85</v>
      </c>
      <c r="B27" s="47" t="s">
        <v>419</v>
      </c>
      <c r="C27" s="48"/>
      <c r="D27" s="48"/>
    </row>
    <row r="28" spans="1:4" s="42" customFormat="1" ht="12" customHeight="1">
      <c r="A28" s="46" t="s">
        <v>160</v>
      </c>
      <c r="B28" s="47" t="s">
        <v>254</v>
      </c>
      <c r="C28" s="48"/>
      <c r="D28" s="48"/>
    </row>
    <row r="29" spans="1:4" s="42" customFormat="1" ht="12" customHeight="1" thickBot="1">
      <c r="A29" s="50" t="s">
        <v>161</v>
      </c>
      <c r="B29" s="54" t="s">
        <v>255</v>
      </c>
      <c r="C29" s="53"/>
      <c r="D29" s="53"/>
    </row>
    <row r="30" spans="1:4" s="42" customFormat="1" ht="12" customHeight="1" thickBot="1">
      <c r="A30" s="39" t="s">
        <v>162</v>
      </c>
      <c r="B30" s="40" t="s">
        <v>256</v>
      </c>
      <c r="C30" s="55">
        <f>+C31+C35+C36+C37</f>
        <v>0</v>
      </c>
      <c r="D30" s="55">
        <f>+D31+D35+D36+D37</f>
        <v>0</v>
      </c>
    </row>
    <row r="31" spans="1:4" s="42" customFormat="1" ht="12" customHeight="1">
      <c r="A31" s="43" t="s">
        <v>257</v>
      </c>
      <c r="B31" s="44" t="s">
        <v>433</v>
      </c>
      <c r="C31" s="56">
        <f>+C32+C33+C34</f>
        <v>0</v>
      </c>
      <c r="D31" s="56">
        <f>+D32+D33+D34</f>
        <v>0</v>
      </c>
    </row>
    <row r="32" spans="1:4" s="42" customFormat="1" ht="12" customHeight="1">
      <c r="A32" s="46" t="s">
        <v>258</v>
      </c>
      <c r="B32" s="47" t="s">
        <v>263</v>
      </c>
      <c r="C32" s="48"/>
      <c r="D32" s="48"/>
    </row>
    <row r="33" spans="1:4" s="42" customFormat="1" ht="12" customHeight="1">
      <c r="A33" s="46" t="s">
        <v>259</v>
      </c>
      <c r="B33" s="47" t="s">
        <v>264</v>
      </c>
      <c r="C33" s="48"/>
      <c r="D33" s="48"/>
    </row>
    <row r="34" spans="1:4" s="42" customFormat="1" ht="12" customHeight="1">
      <c r="A34" s="46" t="s">
        <v>431</v>
      </c>
      <c r="B34" s="57" t="s">
        <v>432</v>
      </c>
      <c r="C34" s="48"/>
      <c r="D34" s="48"/>
    </row>
    <row r="35" spans="1:4" s="42" customFormat="1" ht="12" customHeight="1">
      <c r="A35" s="46" t="s">
        <v>260</v>
      </c>
      <c r="B35" s="47" t="s">
        <v>265</v>
      </c>
      <c r="C35" s="48"/>
      <c r="D35" s="48"/>
    </row>
    <row r="36" spans="1:4" s="42" customFormat="1" ht="12" customHeight="1">
      <c r="A36" s="46" t="s">
        <v>261</v>
      </c>
      <c r="B36" s="47" t="s">
        <v>266</v>
      </c>
      <c r="C36" s="48"/>
      <c r="D36" s="48"/>
    </row>
    <row r="37" spans="1:4" s="42" customFormat="1" ht="12" customHeight="1" thickBot="1">
      <c r="A37" s="50" t="s">
        <v>262</v>
      </c>
      <c r="B37" s="54" t="s">
        <v>267</v>
      </c>
      <c r="C37" s="53"/>
      <c r="D37" s="53"/>
    </row>
    <row r="38" spans="1:4" s="42" customFormat="1" ht="12" customHeight="1" thickBot="1">
      <c r="A38" s="39" t="s">
        <v>18</v>
      </c>
      <c r="B38" s="40" t="s">
        <v>428</v>
      </c>
      <c r="C38" s="41">
        <f>SUM(C39:C49)</f>
        <v>0</v>
      </c>
      <c r="D38" s="41">
        <f>SUM(D39:D49)</f>
        <v>0</v>
      </c>
    </row>
    <row r="39" spans="1:4" s="42" customFormat="1" ht="12" customHeight="1">
      <c r="A39" s="43" t="s">
        <v>86</v>
      </c>
      <c r="B39" s="44" t="s">
        <v>270</v>
      </c>
      <c r="C39" s="45"/>
      <c r="D39" s="45"/>
    </row>
    <row r="40" spans="1:4" s="42" customFormat="1" ht="12" customHeight="1">
      <c r="A40" s="46" t="s">
        <v>87</v>
      </c>
      <c r="B40" s="47" t="s">
        <v>271</v>
      </c>
      <c r="C40" s="48"/>
      <c r="D40" s="48"/>
    </row>
    <row r="41" spans="1:4" s="42" customFormat="1" ht="12" customHeight="1">
      <c r="A41" s="46" t="s">
        <v>88</v>
      </c>
      <c r="B41" s="47" t="s">
        <v>272</v>
      </c>
      <c r="C41" s="48"/>
      <c r="D41" s="48"/>
    </row>
    <row r="42" spans="1:4" s="42" customFormat="1" ht="12" customHeight="1">
      <c r="A42" s="46" t="s">
        <v>164</v>
      </c>
      <c r="B42" s="47" t="s">
        <v>273</v>
      </c>
      <c r="C42" s="48"/>
      <c r="D42" s="48"/>
    </row>
    <row r="43" spans="1:4" s="42" customFormat="1" ht="12" customHeight="1">
      <c r="A43" s="46" t="s">
        <v>165</v>
      </c>
      <c r="B43" s="47" t="s">
        <v>274</v>
      </c>
      <c r="C43" s="48"/>
      <c r="D43" s="48"/>
    </row>
    <row r="44" spans="1:4" s="42" customFormat="1" ht="12" customHeight="1">
      <c r="A44" s="46" t="s">
        <v>166</v>
      </c>
      <c r="B44" s="47" t="s">
        <v>275</v>
      </c>
      <c r="C44" s="48"/>
      <c r="D44" s="48"/>
    </row>
    <row r="45" spans="1:4" s="42" customFormat="1" ht="12" customHeight="1">
      <c r="A45" s="46" t="s">
        <v>167</v>
      </c>
      <c r="B45" s="47" t="s">
        <v>276</v>
      </c>
      <c r="C45" s="48"/>
      <c r="D45" s="48"/>
    </row>
    <row r="46" spans="1:4" s="42" customFormat="1" ht="12" customHeight="1">
      <c r="A46" s="46" t="s">
        <v>168</v>
      </c>
      <c r="B46" s="47" t="s">
        <v>277</v>
      </c>
      <c r="C46" s="48"/>
      <c r="D46" s="48"/>
    </row>
    <row r="47" spans="1:4" s="42" customFormat="1" ht="12" customHeight="1">
      <c r="A47" s="46" t="s">
        <v>268</v>
      </c>
      <c r="B47" s="47" t="s">
        <v>278</v>
      </c>
      <c r="C47" s="58"/>
      <c r="D47" s="58"/>
    </row>
    <row r="48" spans="1:4" s="42" customFormat="1" ht="12" customHeight="1">
      <c r="A48" s="50" t="s">
        <v>269</v>
      </c>
      <c r="B48" s="54" t="s">
        <v>430</v>
      </c>
      <c r="C48" s="59"/>
      <c r="D48" s="59"/>
    </row>
    <row r="49" spans="1:4" s="42" customFormat="1" ht="12" customHeight="1" thickBot="1">
      <c r="A49" s="50" t="s">
        <v>429</v>
      </c>
      <c r="B49" s="51" t="s">
        <v>279</v>
      </c>
      <c r="C49" s="59"/>
      <c r="D49" s="59"/>
    </row>
    <row r="50" spans="1:4" s="42" customFormat="1" ht="12" customHeight="1" thickBot="1">
      <c r="A50" s="39" t="s">
        <v>19</v>
      </c>
      <c r="B50" s="40" t="s">
        <v>280</v>
      </c>
      <c r="C50" s="41">
        <f>SUM(C51:C55)</f>
        <v>0</v>
      </c>
      <c r="D50" s="41">
        <f>SUM(D51:D55)</f>
        <v>0</v>
      </c>
    </row>
    <row r="51" spans="1:4" s="42" customFormat="1" ht="12" customHeight="1">
      <c r="A51" s="43" t="s">
        <v>89</v>
      </c>
      <c r="B51" s="44" t="s">
        <v>284</v>
      </c>
      <c r="C51" s="60"/>
      <c r="D51" s="60"/>
    </row>
    <row r="52" spans="1:4" s="42" customFormat="1" ht="12" customHeight="1">
      <c r="A52" s="46" t="s">
        <v>90</v>
      </c>
      <c r="B52" s="47" t="s">
        <v>285</v>
      </c>
      <c r="C52" s="58"/>
      <c r="D52" s="58"/>
    </row>
    <row r="53" spans="1:4" s="42" customFormat="1" ht="12" customHeight="1">
      <c r="A53" s="46" t="s">
        <v>281</v>
      </c>
      <c r="B53" s="47" t="s">
        <v>286</v>
      </c>
      <c r="C53" s="58"/>
      <c r="D53" s="58"/>
    </row>
    <row r="54" spans="1:4" s="42" customFormat="1" ht="12" customHeight="1">
      <c r="A54" s="46" t="s">
        <v>282</v>
      </c>
      <c r="B54" s="47" t="s">
        <v>287</v>
      </c>
      <c r="C54" s="58"/>
      <c r="D54" s="58"/>
    </row>
    <row r="55" spans="1:4" s="42" customFormat="1" ht="12" customHeight="1" thickBot="1">
      <c r="A55" s="50" t="s">
        <v>283</v>
      </c>
      <c r="B55" s="51" t="s">
        <v>288</v>
      </c>
      <c r="C55" s="59"/>
      <c r="D55" s="59"/>
    </row>
    <row r="56" spans="1:4" s="42" customFormat="1" ht="12" customHeight="1" thickBot="1">
      <c r="A56" s="39" t="s">
        <v>169</v>
      </c>
      <c r="B56" s="40" t="s">
        <v>289</v>
      </c>
      <c r="C56" s="41">
        <f>SUM(C57:C59)</f>
        <v>0</v>
      </c>
      <c r="D56" s="41">
        <f>SUM(D57:D59)</f>
        <v>0</v>
      </c>
    </row>
    <row r="57" spans="1:4" s="42" customFormat="1" ht="12" customHeight="1">
      <c r="A57" s="43" t="s">
        <v>91</v>
      </c>
      <c r="B57" s="44" t="s">
        <v>290</v>
      </c>
      <c r="C57" s="45"/>
      <c r="D57" s="45"/>
    </row>
    <row r="58" spans="1:4" s="42" customFormat="1" ht="12" customHeight="1">
      <c r="A58" s="46" t="s">
        <v>92</v>
      </c>
      <c r="B58" s="47" t="s">
        <v>420</v>
      </c>
      <c r="C58" s="48"/>
      <c r="D58" s="48"/>
    </row>
    <row r="59" spans="1:4" s="42" customFormat="1" ht="12" customHeight="1">
      <c r="A59" s="46" t="s">
        <v>293</v>
      </c>
      <c r="B59" s="47" t="s">
        <v>291</v>
      </c>
      <c r="C59" s="48"/>
      <c r="D59" s="48"/>
    </row>
    <row r="60" spans="1:4" s="42" customFormat="1" ht="12" customHeight="1" thickBot="1">
      <c r="A60" s="50" t="s">
        <v>294</v>
      </c>
      <c r="B60" s="51" t="s">
        <v>292</v>
      </c>
      <c r="C60" s="53"/>
      <c r="D60" s="53"/>
    </row>
    <row r="61" spans="1:4" s="42" customFormat="1" ht="12" customHeight="1" thickBot="1">
      <c r="A61" s="39" t="s">
        <v>21</v>
      </c>
      <c r="B61" s="52" t="s">
        <v>295</v>
      </c>
      <c r="C61" s="41">
        <f>SUM(C62:C64)</f>
        <v>0</v>
      </c>
      <c r="D61" s="41">
        <f>SUM(D62:D64)</f>
        <v>0</v>
      </c>
    </row>
    <row r="62" spans="1:4" s="42" customFormat="1" ht="12" customHeight="1">
      <c r="A62" s="43" t="s">
        <v>170</v>
      </c>
      <c r="B62" s="44" t="s">
        <v>297</v>
      </c>
      <c r="C62" s="58"/>
      <c r="D62" s="58"/>
    </row>
    <row r="63" spans="1:4" s="42" customFormat="1" ht="12" customHeight="1">
      <c r="A63" s="46" t="s">
        <v>171</v>
      </c>
      <c r="B63" s="47" t="s">
        <v>421</v>
      </c>
      <c r="C63" s="58"/>
      <c r="D63" s="58"/>
    </row>
    <row r="64" spans="1:4" s="42" customFormat="1" ht="12" customHeight="1">
      <c r="A64" s="46" t="s">
        <v>218</v>
      </c>
      <c r="B64" s="47" t="s">
        <v>298</v>
      </c>
      <c r="C64" s="58"/>
      <c r="D64" s="58"/>
    </row>
    <row r="65" spans="1:4" s="42" customFormat="1" ht="12" customHeight="1" thickBot="1">
      <c r="A65" s="50" t="s">
        <v>296</v>
      </c>
      <c r="B65" s="51" t="s">
        <v>299</v>
      </c>
      <c r="C65" s="58"/>
      <c r="D65" s="58"/>
    </row>
    <row r="66" spans="1:4" s="42" customFormat="1" ht="12" customHeight="1" thickBot="1">
      <c r="A66" s="61" t="s">
        <v>472</v>
      </c>
      <c r="B66" s="40" t="s">
        <v>300</v>
      </c>
      <c r="C66" s="55">
        <f>+C9+C16+C23+C30+C38+C50+C56+C61</f>
        <v>0</v>
      </c>
      <c r="D66" s="55">
        <f>+D9+D16+D23+D30+D38+D50+D56+D61</f>
        <v>0</v>
      </c>
    </row>
    <row r="67" spans="1:4" s="42" customFormat="1" ht="12" customHeight="1" thickBot="1">
      <c r="A67" s="62" t="s">
        <v>301</v>
      </c>
      <c r="B67" s="52" t="s">
        <v>302</v>
      </c>
      <c r="C67" s="41">
        <f>SUM(C68:C70)</f>
        <v>0</v>
      </c>
      <c r="D67" s="41">
        <f>SUM(D68:D70)</f>
        <v>0</v>
      </c>
    </row>
    <row r="68" spans="1:4" s="42" customFormat="1" ht="12" customHeight="1">
      <c r="A68" s="43" t="s">
        <v>333</v>
      </c>
      <c r="B68" s="44" t="s">
        <v>303</v>
      </c>
      <c r="C68" s="58"/>
      <c r="D68" s="58"/>
    </row>
    <row r="69" spans="1:4" s="42" customFormat="1" ht="12" customHeight="1">
      <c r="A69" s="46" t="s">
        <v>342</v>
      </c>
      <c r="B69" s="47" t="s">
        <v>304</v>
      </c>
      <c r="C69" s="58"/>
      <c r="D69" s="58"/>
    </row>
    <row r="70" spans="1:4" s="42" customFormat="1" ht="12" customHeight="1" thickBot="1">
      <c r="A70" s="50" t="s">
        <v>343</v>
      </c>
      <c r="B70" s="63" t="s">
        <v>457</v>
      </c>
      <c r="C70" s="58"/>
      <c r="D70" s="58"/>
    </row>
    <row r="71" spans="1:4" s="42" customFormat="1" ht="12" customHeight="1" thickBot="1">
      <c r="A71" s="62" t="s">
        <v>306</v>
      </c>
      <c r="B71" s="52" t="s">
        <v>307</v>
      </c>
      <c r="C71" s="41">
        <f>SUM(C72:C75)</f>
        <v>0</v>
      </c>
      <c r="D71" s="41">
        <f>SUM(D72:D75)</f>
        <v>0</v>
      </c>
    </row>
    <row r="72" spans="1:4" s="42" customFormat="1" ht="12" customHeight="1">
      <c r="A72" s="43" t="s">
        <v>140</v>
      </c>
      <c r="B72" s="44" t="s">
        <v>308</v>
      </c>
      <c r="C72" s="58"/>
      <c r="D72" s="58"/>
    </row>
    <row r="73" spans="1:4" s="42" customFormat="1" ht="12" customHeight="1">
      <c r="A73" s="46" t="s">
        <v>141</v>
      </c>
      <c r="B73" s="47" t="s">
        <v>309</v>
      </c>
      <c r="C73" s="58"/>
      <c r="D73" s="58"/>
    </row>
    <row r="74" spans="1:4" s="42" customFormat="1" ht="12" customHeight="1">
      <c r="A74" s="46" t="s">
        <v>334</v>
      </c>
      <c r="B74" s="47" t="s">
        <v>310</v>
      </c>
      <c r="C74" s="58"/>
      <c r="D74" s="58"/>
    </row>
    <row r="75" spans="1:4" s="42" customFormat="1" ht="12" customHeight="1" thickBot="1">
      <c r="A75" s="50" t="s">
        <v>335</v>
      </c>
      <c r="B75" s="51" t="s">
        <v>311</v>
      </c>
      <c r="C75" s="58"/>
      <c r="D75" s="58"/>
    </row>
    <row r="76" spans="1:4" s="42" customFormat="1" ht="12" customHeight="1" thickBot="1">
      <c r="A76" s="62" t="s">
        <v>312</v>
      </c>
      <c r="B76" s="52" t="s">
        <v>313</v>
      </c>
      <c r="C76" s="41">
        <f>SUM(C77:C78)</f>
        <v>0</v>
      </c>
      <c r="D76" s="41">
        <f>SUM(D77:D78)</f>
        <v>0</v>
      </c>
    </row>
    <row r="77" spans="1:4" s="42" customFormat="1" ht="12" customHeight="1">
      <c r="A77" s="43" t="s">
        <v>336</v>
      </c>
      <c r="B77" s="44" t="s">
        <v>314</v>
      </c>
      <c r="C77" s="58"/>
      <c r="D77" s="58"/>
    </row>
    <row r="78" spans="1:4" s="42" customFormat="1" ht="12" customHeight="1" thickBot="1">
      <c r="A78" s="50" t="s">
        <v>337</v>
      </c>
      <c r="B78" s="51" t="s">
        <v>315</v>
      </c>
      <c r="C78" s="58"/>
      <c r="D78" s="58"/>
    </row>
    <row r="79" spans="1:4" s="42" customFormat="1" ht="12" customHeight="1" thickBot="1">
      <c r="A79" s="62" t="s">
        <v>316</v>
      </c>
      <c r="B79" s="52" t="s">
        <v>317</v>
      </c>
      <c r="C79" s="41">
        <f>SUM(C80:C82)</f>
        <v>0</v>
      </c>
      <c r="D79" s="41">
        <f>SUM(D80:D82)</f>
        <v>0</v>
      </c>
    </row>
    <row r="80" spans="1:4" s="42" customFormat="1" ht="12" customHeight="1">
      <c r="A80" s="43" t="s">
        <v>338</v>
      </c>
      <c r="B80" s="44" t="s">
        <v>318</v>
      </c>
      <c r="C80" s="58"/>
      <c r="D80" s="58"/>
    </row>
    <row r="81" spans="1:4" s="42" customFormat="1" ht="12" customHeight="1">
      <c r="A81" s="46" t="s">
        <v>339</v>
      </c>
      <c r="B81" s="47" t="s">
        <v>319</v>
      </c>
      <c r="C81" s="58"/>
      <c r="D81" s="58"/>
    </row>
    <row r="82" spans="1:4" s="42" customFormat="1" ht="12" customHeight="1" thickBot="1">
      <c r="A82" s="50" t="s">
        <v>340</v>
      </c>
      <c r="B82" s="51" t="s">
        <v>320</v>
      </c>
      <c r="C82" s="58"/>
      <c r="D82" s="58"/>
    </row>
    <row r="83" spans="1:4" s="42" customFormat="1" ht="12" customHeight="1" thickBot="1">
      <c r="A83" s="62" t="s">
        <v>321</v>
      </c>
      <c r="B83" s="52" t="s">
        <v>341</v>
      </c>
      <c r="C83" s="41">
        <f>SUM(C84:C87)</f>
        <v>0</v>
      </c>
      <c r="D83" s="41">
        <f>SUM(D84:D87)</f>
        <v>0</v>
      </c>
    </row>
    <row r="84" spans="1:4" s="42" customFormat="1" ht="12" customHeight="1">
      <c r="A84" s="64" t="s">
        <v>322</v>
      </c>
      <c r="B84" s="44" t="s">
        <v>323</v>
      </c>
      <c r="C84" s="58"/>
      <c r="D84" s="58"/>
    </row>
    <row r="85" spans="1:4" s="42" customFormat="1" ht="12" customHeight="1">
      <c r="A85" s="65" t="s">
        <v>324</v>
      </c>
      <c r="B85" s="47" t="s">
        <v>325</v>
      </c>
      <c r="C85" s="58"/>
      <c r="D85" s="58"/>
    </row>
    <row r="86" spans="1:4" s="42" customFormat="1" ht="12" customHeight="1">
      <c r="A86" s="65" t="s">
        <v>326</v>
      </c>
      <c r="B86" s="47" t="s">
        <v>327</v>
      </c>
      <c r="C86" s="58"/>
      <c r="D86" s="58"/>
    </row>
    <row r="87" spans="1:4" s="42" customFormat="1" ht="12" customHeight="1" thickBot="1">
      <c r="A87" s="66" t="s">
        <v>328</v>
      </c>
      <c r="B87" s="51" t="s">
        <v>329</v>
      </c>
      <c r="C87" s="58"/>
      <c r="D87" s="58"/>
    </row>
    <row r="88" spans="1:4" s="42" customFormat="1" ht="12" customHeight="1" thickBot="1">
      <c r="A88" s="62" t="s">
        <v>330</v>
      </c>
      <c r="B88" s="52" t="s">
        <v>471</v>
      </c>
      <c r="C88" s="67"/>
      <c r="D88" s="67"/>
    </row>
    <row r="89" spans="1:4" s="42" customFormat="1" ht="13.5" customHeight="1" thickBot="1">
      <c r="A89" s="62" t="s">
        <v>332</v>
      </c>
      <c r="B89" s="52" t="s">
        <v>331</v>
      </c>
      <c r="C89" s="67"/>
      <c r="D89" s="67"/>
    </row>
    <row r="90" spans="1:4" s="42" customFormat="1" ht="15.75" customHeight="1" thickBot="1">
      <c r="A90" s="62" t="s">
        <v>344</v>
      </c>
      <c r="B90" s="68" t="s">
        <v>474</v>
      </c>
      <c r="C90" s="55">
        <f>+C67+C71+C76+C79+C83+C89+C88</f>
        <v>0</v>
      </c>
      <c r="D90" s="55">
        <f>+D67+D71+D76+D79+D83+D89+D88</f>
        <v>0</v>
      </c>
    </row>
    <row r="91" spans="1:4" s="42" customFormat="1" ht="16.5" customHeight="1" thickBot="1">
      <c r="A91" s="69" t="s">
        <v>473</v>
      </c>
      <c r="B91" s="70" t="s">
        <v>475</v>
      </c>
      <c r="C91" s="55">
        <f>+C66+C90</f>
        <v>0</v>
      </c>
      <c r="D91" s="55">
        <f>+D66+D90</f>
        <v>0</v>
      </c>
    </row>
    <row r="92" spans="1:4" s="42" customFormat="1" ht="83.25" customHeight="1">
      <c r="A92" s="71"/>
      <c r="B92" s="72"/>
      <c r="C92" s="579"/>
      <c r="D92" s="579"/>
    </row>
    <row r="93" spans="1:4" ht="16.5" customHeight="1">
      <c r="A93" s="705" t="s">
        <v>42</v>
      </c>
      <c r="B93" s="705"/>
      <c r="C93" s="33"/>
      <c r="D93" s="33"/>
    </row>
    <row r="94" spans="1:4" ht="16.5" customHeight="1" thickBot="1">
      <c r="A94" s="707" t="s">
        <v>143</v>
      </c>
      <c r="B94" s="707"/>
      <c r="C94" s="574" t="s">
        <v>664</v>
      </c>
      <c r="D94" s="574" t="s">
        <v>664</v>
      </c>
    </row>
    <row r="95" spans="1:4" ht="38.1" customHeight="1" thickBot="1">
      <c r="A95" s="34" t="s">
        <v>64</v>
      </c>
      <c r="B95" s="35" t="s">
        <v>43</v>
      </c>
      <c r="C95" s="625" t="s">
        <v>692</v>
      </c>
      <c r="D95" s="625" t="s">
        <v>717</v>
      </c>
    </row>
    <row r="96" spans="1:4" s="38" customFormat="1" ht="12" customHeight="1" thickBot="1">
      <c r="A96" s="73" t="s">
        <v>483</v>
      </c>
      <c r="B96" s="74" t="s">
        <v>484</v>
      </c>
      <c r="C96" s="580" t="s">
        <v>485</v>
      </c>
      <c r="D96" s="580" t="s">
        <v>485</v>
      </c>
    </row>
    <row r="97" spans="1:4" ht="12" customHeight="1" thickBot="1">
      <c r="A97" s="75" t="s">
        <v>14</v>
      </c>
      <c r="B97" s="76" t="s">
        <v>625</v>
      </c>
      <c r="C97" s="77">
        <f>C98+C99+C100+C101+C102+C115</f>
        <v>0</v>
      </c>
      <c r="D97" s="77">
        <f>D98+D99+D100+D101+D102+D115</f>
        <v>0</v>
      </c>
    </row>
    <row r="98" spans="1:4" ht="12" customHeight="1">
      <c r="A98" s="78" t="s">
        <v>93</v>
      </c>
      <c r="B98" s="15" t="s">
        <v>44</v>
      </c>
      <c r="C98" s="79"/>
      <c r="D98" s="79"/>
    </row>
    <row r="99" spans="1:4" ht="12" customHeight="1">
      <c r="A99" s="46" t="s">
        <v>94</v>
      </c>
      <c r="B99" s="16" t="s">
        <v>172</v>
      </c>
      <c r="C99" s="48"/>
      <c r="D99" s="48"/>
    </row>
    <row r="100" spans="1:4" ht="12" customHeight="1">
      <c r="A100" s="46" t="s">
        <v>95</v>
      </c>
      <c r="B100" s="16" t="s">
        <v>131</v>
      </c>
      <c r="C100" s="53"/>
      <c r="D100" s="53"/>
    </row>
    <row r="101" spans="1:4" ht="12" customHeight="1">
      <c r="A101" s="46" t="s">
        <v>96</v>
      </c>
      <c r="B101" s="80" t="s">
        <v>173</v>
      </c>
      <c r="C101" s="53"/>
      <c r="D101" s="53"/>
    </row>
    <row r="102" spans="1:4" ht="12" customHeight="1">
      <c r="A102" s="46" t="s">
        <v>107</v>
      </c>
      <c r="B102" s="81" t="s">
        <v>174</v>
      </c>
      <c r="C102" s="53"/>
      <c r="D102" s="53"/>
    </row>
    <row r="103" spans="1:4" ht="12" customHeight="1">
      <c r="A103" s="46" t="s">
        <v>97</v>
      </c>
      <c r="B103" s="16" t="s">
        <v>438</v>
      </c>
      <c r="C103" s="53"/>
      <c r="D103" s="53"/>
    </row>
    <row r="104" spans="1:4" ht="12" customHeight="1">
      <c r="A104" s="46" t="s">
        <v>98</v>
      </c>
      <c r="B104" s="82" t="s">
        <v>437</v>
      </c>
      <c r="C104" s="53"/>
      <c r="D104" s="53"/>
    </row>
    <row r="105" spans="1:4" ht="12" customHeight="1">
      <c r="A105" s="46" t="s">
        <v>108</v>
      </c>
      <c r="B105" s="82" t="s">
        <v>436</v>
      </c>
      <c r="C105" s="53"/>
      <c r="D105" s="53"/>
    </row>
    <row r="106" spans="1:4" ht="12" customHeight="1">
      <c r="A106" s="46" t="s">
        <v>109</v>
      </c>
      <c r="B106" s="83" t="s">
        <v>347</v>
      </c>
      <c r="C106" s="53"/>
      <c r="D106" s="53"/>
    </row>
    <row r="107" spans="1:4" ht="12" customHeight="1">
      <c r="A107" s="46" t="s">
        <v>110</v>
      </c>
      <c r="B107" s="84" t="s">
        <v>348</v>
      </c>
      <c r="C107" s="53"/>
      <c r="D107" s="53"/>
    </row>
    <row r="108" spans="1:4" ht="12" customHeight="1">
      <c r="A108" s="46" t="s">
        <v>111</v>
      </c>
      <c r="B108" s="84" t="s">
        <v>349</v>
      </c>
      <c r="C108" s="53"/>
      <c r="D108" s="53"/>
    </row>
    <row r="109" spans="1:4" ht="12" customHeight="1">
      <c r="A109" s="46" t="s">
        <v>113</v>
      </c>
      <c r="B109" s="83" t="s">
        <v>350</v>
      </c>
      <c r="C109" s="53"/>
      <c r="D109" s="53"/>
    </row>
    <row r="110" spans="1:4" ht="12" customHeight="1">
      <c r="A110" s="46" t="s">
        <v>175</v>
      </c>
      <c r="B110" s="83" t="s">
        <v>351</v>
      </c>
      <c r="C110" s="53"/>
      <c r="D110" s="53"/>
    </row>
    <row r="111" spans="1:4" ht="12" customHeight="1">
      <c r="A111" s="46" t="s">
        <v>345</v>
      </c>
      <c r="B111" s="84" t="s">
        <v>352</v>
      </c>
      <c r="C111" s="53"/>
      <c r="D111" s="53"/>
    </row>
    <row r="112" spans="1:4" ht="12" customHeight="1">
      <c r="A112" s="85" t="s">
        <v>346</v>
      </c>
      <c r="B112" s="82" t="s">
        <v>353</v>
      </c>
      <c r="C112" s="53"/>
      <c r="D112" s="53"/>
    </row>
    <row r="113" spans="1:4" ht="12" customHeight="1">
      <c r="A113" s="46" t="s">
        <v>434</v>
      </c>
      <c r="B113" s="82" t="s">
        <v>354</v>
      </c>
      <c r="C113" s="53"/>
      <c r="D113" s="53"/>
    </row>
    <row r="114" spans="1:4" ht="12" customHeight="1">
      <c r="A114" s="50" t="s">
        <v>435</v>
      </c>
      <c r="B114" s="82" t="s">
        <v>355</v>
      </c>
      <c r="C114" s="53"/>
      <c r="D114" s="53"/>
    </row>
    <row r="115" spans="1:4" ht="12" customHeight="1">
      <c r="A115" s="46" t="s">
        <v>439</v>
      </c>
      <c r="B115" s="80" t="s">
        <v>45</v>
      </c>
      <c r="C115" s="48"/>
      <c r="D115" s="48"/>
    </row>
    <row r="116" spans="1:4" ht="12" customHeight="1">
      <c r="A116" s="46" t="s">
        <v>440</v>
      </c>
      <c r="B116" s="16" t="s">
        <v>442</v>
      </c>
      <c r="C116" s="48"/>
      <c r="D116" s="48"/>
    </row>
    <row r="117" spans="1:4" ht="12" customHeight="1" thickBot="1">
      <c r="A117" s="86" t="s">
        <v>441</v>
      </c>
      <c r="B117" s="87" t="s">
        <v>443</v>
      </c>
      <c r="C117" s="88"/>
      <c r="D117" s="88"/>
    </row>
    <row r="118" spans="1:4" ht="12" customHeight="1" thickBot="1">
      <c r="A118" s="89" t="s">
        <v>15</v>
      </c>
      <c r="B118" s="90" t="s">
        <v>626</v>
      </c>
      <c r="C118" s="581">
        <f>+C119+C121+C123</f>
        <v>0</v>
      </c>
      <c r="D118" s="581">
        <f>+D119+D121+D123</f>
        <v>0</v>
      </c>
    </row>
    <row r="119" spans="1:4" ht="12" customHeight="1">
      <c r="A119" s="43" t="s">
        <v>99</v>
      </c>
      <c r="B119" s="16" t="s">
        <v>217</v>
      </c>
      <c r="C119" s="45"/>
      <c r="D119" s="45"/>
    </row>
    <row r="120" spans="1:4" ht="12" customHeight="1">
      <c r="A120" s="43" t="s">
        <v>100</v>
      </c>
      <c r="B120" s="91" t="s">
        <v>359</v>
      </c>
      <c r="C120" s="45"/>
      <c r="D120" s="45"/>
    </row>
    <row r="121" spans="1:4" ht="12" customHeight="1">
      <c r="A121" s="43" t="s">
        <v>101</v>
      </c>
      <c r="B121" s="91" t="s">
        <v>176</v>
      </c>
      <c r="C121" s="48"/>
      <c r="D121" s="48"/>
    </row>
    <row r="122" spans="1:4" ht="12" customHeight="1">
      <c r="A122" s="43" t="s">
        <v>102</v>
      </c>
      <c r="B122" s="91" t="s">
        <v>360</v>
      </c>
      <c r="C122" s="92"/>
      <c r="D122" s="92"/>
    </row>
    <row r="123" spans="1:4" ht="12" customHeight="1">
      <c r="A123" s="43" t="s">
        <v>103</v>
      </c>
      <c r="B123" s="51" t="s">
        <v>219</v>
      </c>
      <c r="C123" s="92"/>
      <c r="D123" s="92"/>
    </row>
    <row r="124" spans="1:4" ht="12" customHeight="1">
      <c r="A124" s="43" t="s">
        <v>112</v>
      </c>
      <c r="B124" s="49" t="s">
        <v>422</v>
      </c>
      <c r="C124" s="92"/>
      <c r="D124" s="92"/>
    </row>
    <row r="125" spans="1:4" ht="12" customHeight="1">
      <c r="A125" s="43" t="s">
        <v>114</v>
      </c>
      <c r="B125" s="93" t="s">
        <v>365</v>
      </c>
      <c r="C125" s="92"/>
      <c r="D125" s="92"/>
    </row>
    <row r="126" spans="1:4">
      <c r="A126" s="43" t="s">
        <v>177</v>
      </c>
      <c r="B126" s="84" t="s">
        <v>349</v>
      </c>
      <c r="C126" s="92"/>
      <c r="D126" s="92"/>
    </row>
    <row r="127" spans="1:4" ht="12" customHeight="1">
      <c r="A127" s="43" t="s">
        <v>178</v>
      </c>
      <c r="B127" s="84" t="s">
        <v>364</v>
      </c>
      <c r="C127" s="92"/>
      <c r="D127" s="92"/>
    </row>
    <row r="128" spans="1:4" ht="12" customHeight="1">
      <c r="A128" s="43" t="s">
        <v>179</v>
      </c>
      <c r="B128" s="84" t="s">
        <v>363</v>
      </c>
      <c r="C128" s="92"/>
      <c r="D128" s="92"/>
    </row>
    <row r="129" spans="1:4" ht="12" customHeight="1">
      <c r="A129" s="43" t="s">
        <v>356</v>
      </c>
      <c r="B129" s="84" t="s">
        <v>352</v>
      </c>
      <c r="C129" s="92"/>
      <c r="D129" s="92"/>
    </row>
    <row r="130" spans="1:4" ht="12" customHeight="1">
      <c r="A130" s="43" t="s">
        <v>357</v>
      </c>
      <c r="B130" s="84" t="s">
        <v>362</v>
      </c>
      <c r="C130" s="92"/>
      <c r="D130" s="92"/>
    </row>
    <row r="131" spans="1:4" ht="16.5" thickBot="1">
      <c r="A131" s="85" t="s">
        <v>358</v>
      </c>
      <c r="B131" s="84" t="s">
        <v>361</v>
      </c>
      <c r="C131" s="94"/>
      <c r="D131" s="94"/>
    </row>
    <row r="132" spans="1:4" ht="12" customHeight="1" thickBot="1">
      <c r="A132" s="39" t="s">
        <v>16</v>
      </c>
      <c r="B132" s="19" t="s">
        <v>444</v>
      </c>
      <c r="C132" s="41">
        <f>+C97+C118</f>
        <v>0</v>
      </c>
      <c r="D132" s="41">
        <f>+D97+D118</f>
        <v>0</v>
      </c>
    </row>
    <row r="133" spans="1:4" ht="12" customHeight="1" thickBot="1">
      <c r="A133" s="39" t="s">
        <v>17</v>
      </c>
      <c r="B133" s="19" t="s">
        <v>445</v>
      </c>
      <c r="C133" s="41">
        <f>+C134+C135+C136</f>
        <v>0</v>
      </c>
      <c r="D133" s="41">
        <f>+D134+D135+D136</f>
        <v>0</v>
      </c>
    </row>
    <row r="134" spans="1:4" ht="12" customHeight="1">
      <c r="A134" s="43" t="s">
        <v>257</v>
      </c>
      <c r="B134" s="91" t="s">
        <v>452</v>
      </c>
      <c r="C134" s="92"/>
      <c r="D134" s="92"/>
    </row>
    <row r="135" spans="1:4" ht="12" customHeight="1">
      <c r="A135" s="43" t="s">
        <v>260</v>
      </c>
      <c r="B135" s="91" t="s">
        <v>453</v>
      </c>
      <c r="C135" s="92"/>
      <c r="D135" s="92"/>
    </row>
    <row r="136" spans="1:4" ht="12" customHeight="1" thickBot="1">
      <c r="A136" s="85" t="s">
        <v>261</v>
      </c>
      <c r="B136" s="91" t="s">
        <v>454</v>
      </c>
      <c r="C136" s="92"/>
      <c r="D136" s="92"/>
    </row>
    <row r="137" spans="1:4" ht="12" customHeight="1" thickBot="1">
      <c r="A137" s="39" t="s">
        <v>18</v>
      </c>
      <c r="B137" s="19" t="s">
        <v>446</v>
      </c>
      <c r="C137" s="41">
        <f>SUM(C138:C143)</f>
        <v>0</v>
      </c>
      <c r="D137" s="41">
        <f>SUM(D138:D143)</f>
        <v>0</v>
      </c>
    </row>
    <row r="138" spans="1:4" ht="12" customHeight="1">
      <c r="A138" s="43" t="s">
        <v>86</v>
      </c>
      <c r="B138" s="18" t="s">
        <v>455</v>
      </c>
      <c r="C138" s="92"/>
      <c r="D138" s="92"/>
    </row>
    <row r="139" spans="1:4" ht="12" customHeight="1">
      <c r="A139" s="43" t="s">
        <v>87</v>
      </c>
      <c r="B139" s="18" t="s">
        <v>447</v>
      </c>
      <c r="C139" s="92"/>
      <c r="D139" s="92"/>
    </row>
    <row r="140" spans="1:4" ht="12" customHeight="1">
      <c r="A140" s="43" t="s">
        <v>88</v>
      </c>
      <c r="B140" s="18" t="s">
        <v>448</v>
      </c>
      <c r="C140" s="92"/>
      <c r="D140" s="92"/>
    </row>
    <row r="141" spans="1:4" ht="12" customHeight="1">
      <c r="A141" s="43" t="s">
        <v>164</v>
      </c>
      <c r="B141" s="18" t="s">
        <v>449</v>
      </c>
      <c r="C141" s="92"/>
      <c r="D141" s="92"/>
    </row>
    <row r="142" spans="1:4" ht="12" customHeight="1">
      <c r="A142" s="43" t="s">
        <v>165</v>
      </c>
      <c r="B142" s="18" t="s">
        <v>450</v>
      </c>
      <c r="C142" s="92"/>
      <c r="D142" s="92"/>
    </row>
    <row r="143" spans="1:4" ht="12" customHeight="1" thickBot="1">
      <c r="A143" s="85" t="s">
        <v>166</v>
      </c>
      <c r="B143" s="18" t="s">
        <v>451</v>
      </c>
      <c r="C143" s="92"/>
      <c r="D143" s="92"/>
    </row>
    <row r="144" spans="1:4" ht="12" customHeight="1" thickBot="1">
      <c r="A144" s="39" t="s">
        <v>19</v>
      </c>
      <c r="B144" s="19" t="s">
        <v>459</v>
      </c>
      <c r="C144" s="55">
        <f>+C145+C146+C147+C148</f>
        <v>0</v>
      </c>
      <c r="D144" s="55">
        <f>+D145+D146+D147+D148</f>
        <v>0</v>
      </c>
    </row>
    <row r="145" spans="1:4" ht="12" customHeight="1">
      <c r="A145" s="43" t="s">
        <v>89</v>
      </c>
      <c r="B145" s="18" t="s">
        <v>366</v>
      </c>
      <c r="C145" s="92"/>
      <c r="D145" s="92"/>
    </row>
    <row r="146" spans="1:4" ht="12" customHeight="1">
      <c r="A146" s="43" t="s">
        <v>90</v>
      </c>
      <c r="B146" s="18" t="s">
        <v>367</v>
      </c>
      <c r="C146" s="92"/>
      <c r="D146" s="92"/>
    </row>
    <row r="147" spans="1:4" ht="12" customHeight="1">
      <c r="A147" s="43" t="s">
        <v>281</v>
      </c>
      <c r="B147" s="18" t="s">
        <v>460</v>
      </c>
      <c r="C147" s="92"/>
      <c r="D147" s="92"/>
    </row>
    <row r="148" spans="1:4" ht="12" customHeight="1" thickBot="1">
      <c r="A148" s="85" t="s">
        <v>282</v>
      </c>
      <c r="B148" s="17" t="s">
        <v>386</v>
      </c>
      <c r="C148" s="92"/>
      <c r="D148" s="92"/>
    </row>
    <row r="149" spans="1:4" ht="12" customHeight="1" thickBot="1">
      <c r="A149" s="39" t="s">
        <v>20</v>
      </c>
      <c r="B149" s="19" t="s">
        <v>461</v>
      </c>
      <c r="C149" s="95">
        <f>SUM(C150:C154)</f>
        <v>0</v>
      </c>
      <c r="D149" s="95">
        <f>SUM(D150:D154)</f>
        <v>0</v>
      </c>
    </row>
    <row r="150" spans="1:4" ht="12" customHeight="1">
      <c r="A150" s="43" t="s">
        <v>91</v>
      </c>
      <c r="B150" s="18" t="s">
        <v>456</v>
      </c>
      <c r="C150" s="92"/>
      <c r="D150" s="92"/>
    </row>
    <row r="151" spans="1:4" ht="12" customHeight="1">
      <c r="A151" s="43" t="s">
        <v>92</v>
      </c>
      <c r="B151" s="18" t="s">
        <v>463</v>
      </c>
      <c r="C151" s="92"/>
      <c r="D151" s="92"/>
    </row>
    <row r="152" spans="1:4" ht="12" customHeight="1">
      <c r="A152" s="43" t="s">
        <v>293</v>
      </c>
      <c r="B152" s="18" t="s">
        <v>458</v>
      </c>
      <c r="C152" s="92"/>
      <c r="D152" s="92"/>
    </row>
    <row r="153" spans="1:4" ht="12" customHeight="1">
      <c r="A153" s="43" t="s">
        <v>294</v>
      </c>
      <c r="B153" s="18" t="s">
        <v>464</v>
      </c>
      <c r="C153" s="92"/>
      <c r="D153" s="92"/>
    </row>
    <row r="154" spans="1:4" ht="12" customHeight="1" thickBot="1">
      <c r="A154" s="43" t="s">
        <v>462</v>
      </c>
      <c r="B154" s="18" t="s">
        <v>465</v>
      </c>
      <c r="C154" s="92"/>
      <c r="D154" s="92"/>
    </row>
    <row r="155" spans="1:4" ht="12" customHeight="1" thickBot="1">
      <c r="A155" s="39" t="s">
        <v>21</v>
      </c>
      <c r="B155" s="19" t="s">
        <v>466</v>
      </c>
      <c r="C155" s="582"/>
      <c r="D155" s="582"/>
    </row>
    <row r="156" spans="1:4" ht="12" customHeight="1" thickBot="1">
      <c r="A156" s="39" t="s">
        <v>22</v>
      </c>
      <c r="B156" s="19" t="s">
        <v>467</v>
      </c>
      <c r="C156" s="582"/>
      <c r="D156" s="582"/>
    </row>
    <row r="157" spans="1:4" ht="15" customHeight="1" thickBot="1">
      <c r="A157" s="39" t="s">
        <v>23</v>
      </c>
      <c r="B157" s="19" t="s">
        <v>469</v>
      </c>
      <c r="C157" s="96">
        <f>+C133+C137+C144+C149+C155+C156</f>
        <v>0</v>
      </c>
      <c r="D157" s="96">
        <f>+D133+D137+D144+D149+D155+D156</f>
        <v>0</v>
      </c>
    </row>
    <row r="158" spans="1:4" s="42" customFormat="1" ht="12.95" customHeight="1" thickBot="1">
      <c r="A158" s="98" t="s">
        <v>24</v>
      </c>
      <c r="B158" s="99" t="s">
        <v>468</v>
      </c>
      <c r="C158" s="96">
        <f>+C132+C157</f>
        <v>0</v>
      </c>
      <c r="D158" s="96">
        <f>+D132+D157</f>
        <v>0</v>
      </c>
    </row>
    <row r="159" spans="1:4" ht="7.5" customHeight="1"/>
  </sheetData>
  <mergeCells count="4">
    <mergeCell ref="A5:B5"/>
    <mergeCell ref="A6:B6"/>
    <mergeCell ref="A93:B93"/>
    <mergeCell ref="A94:B94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1.1. melléklet a 5/2019. (III.28.) önkormányzati rendelethez</oddHeader>
    <oddFooter>&amp;P. oldal, összesen: &amp;N</oddFooter>
  </headerFooter>
  <rowBreaks count="3" manualBreakCount="3">
    <brk id="66" max="3" man="1"/>
    <brk id="91" max="3" man="1"/>
    <brk id="13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G34"/>
  <sheetViews>
    <sheetView topLeftCell="C1" zoomScale="115" zoomScaleNormal="115" zoomScaleSheetLayoutView="100" workbookViewId="0">
      <selection activeCell="E1" sqref="E1"/>
    </sheetView>
  </sheetViews>
  <sheetFormatPr defaultRowHeight="12.75"/>
  <cols>
    <col min="1" max="1" width="4.83203125" style="216" bestFit="1" customWidth="1"/>
    <col min="2" max="2" width="47.6640625" style="215" bestFit="1" customWidth="1"/>
    <col min="3" max="4" width="21.33203125" style="216" bestFit="1" customWidth="1"/>
    <col min="5" max="5" width="43.33203125" style="216" bestFit="1" customWidth="1"/>
    <col min="6" max="7" width="18.83203125" style="216" customWidth="1"/>
    <col min="8" max="16384" width="9.33203125" style="216"/>
  </cols>
  <sheetData>
    <row r="1" spans="1:7">
      <c r="B1" s="216"/>
      <c r="E1" s="377" t="s">
        <v>721</v>
      </c>
    </row>
    <row r="2" spans="1:7" ht="31.5">
      <c r="B2" s="162" t="s">
        <v>147</v>
      </c>
      <c r="C2" s="440"/>
      <c r="D2" s="440"/>
      <c r="E2" s="440"/>
      <c r="F2" s="440"/>
      <c r="G2" s="440"/>
    </row>
    <row r="3" spans="1:7" ht="14.25" thickBot="1">
      <c r="F3" s="656" t="s">
        <v>581</v>
      </c>
      <c r="G3" s="656" t="s">
        <v>581</v>
      </c>
    </row>
    <row r="4" spans="1:7" ht="13.5" thickBot="1">
      <c r="A4" s="708" t="s">
        <v>64</v>
      </c>
      <c r="B4" s="163" t="s">
        <v>51</v>
      </c>
      <c r="C4" s="657"/>
      <c r="D4" s="657"/>
      <c r="E4" s="163" t="s">
        <v>52</v>
      </c>
      <c r="F4" s="658"/>
      <c r="G4" s="658"/>
    </row>
    <row r="5" spans="1:7" s="165" customFormat="1" ht="36.75" thickBot="1">
      <c r="A5" s="709"/>
      <c r="B5" s="164" t="s">
        <v>56</v>
      </c>
      <c r="C5" s="659" t="s">
        <v>692</v>
      </c>
      <c r="D5" s="659" t="s">
        <v>717</v>
      </c>
      <c r="E5" s="164" t="s">
        <v>56</v>
      </c>
      <c r="F5" s="659" t="s">
        <v>692</v>
      </c>
      <c r="G5" s="659" t="s">
        <v>717</v>
      </c>
    </row>
    <row r="6" spans="1:7" s="187" customFormat="1" ht="11.25" thickBot="1">
      <c r="A6" s="166" t="s">
        <v>483</v>
      </c>
      <c r="B6" s="167" t="s">
        <v>484</v>
      </c>
      <c r="C6" s="660" t="s">
        <v>485</v>
      </c>
      <c r="D6" s="660" t="s">
        <v>485</v>
      </c>
      <c r="E6" s="167" t="s">
        <v>487</v>
      </c>
      <c r="F6" s="168" t="s">
        <v>486</v>
      </c>
      <c r="G6" s="168" t="s">
        <v>486</v>
      </c>
    </row>
    <row r="7" spans="1:7">
      <c r="A7" s="441" t="s">
        <v>14</v>
      </c>
      <c r="B7" s="169" t="s">
        <v>369</v>
      </c>
      <c r="C7" s="661">
        <f>223966276</f>
        <v>223966276</v>
      </c>
      <c r="D7" s="661">
        <f>223966276+267920+344876+8520000</f>
        <v>233099072</v>
      </c>
      <c r="E7" s="169" t="s">
        <v>57</v>
      </c>
      <c r="F7" s="20">
        <v>81039317</v>
      </c>
      <c r="G7" s="20">
        <f>81039317+775698+4647201-1006323</f>
        <v>85455893</v>
      </c>
    </row>
    <row r="8" spans="1:7" ht="22.5">
      <c r="A8" s="442" t="s">
        <v>15</v>
      </c>
      <c r="B8" s="170" t="s">
        <v>370</v>
      </c>
      <c r="C8" s="171">
        <f>75066371</f>
        <v>75066371</v>
      </c>
      <c r="D8" s="171">
        <f>75066371+695378+4151815</f>
        <v>79913564</v>
      </c>
      <c r="E8" s="170" t="s">
        <v>172</v>
      </c>
      <c r="F8" s="27">
        <v>17133121</v>
      </c>
      <c r="G8" s="27">
        <f>17133121+75631+453102-98116</f>
        <v>17563738</v>
      </c>
    </row>
    <row r="9" spans="1:7">
      <c r="A9" s="442" t="s">
        <v>16</v>
      </c>
      <c r="B9" s="170" t="s">
        <v>391</v>
      </c>
      <c r="C9" s="171"/>
      <c r="D9" s="171"/>
      <c r="E9" s="170" t="s">
        <v>222</v>
      </c>
      <c r="F9" s="27">
        <v>263854593</v>
      </c>
      <c r="G9" s="27">
        <f>263854593+215957-127000</f>
        <v>263943550</v>
      </c>
    </row>
    <row r="10" spans="1:7">
      <c r="A10" s="442" t="s">
        <v>17</v>
      </c>
      <c r="B10" s="170" t="s">
        <v>163</v>
      </c>
      <c r="C10" s="171">
        <f>136700000</f>
        <v>136700000</v>
      </c>
      <c r="D10" s="171">
        <f>136700000</f>
        <v>136700000</v>
      </c>
      <c r="E10" s="170" t="s">
        <v>173</v>
      </c>
      <c r="F10" s="27">
        <v>7330000</v>
      </c>
      <c r="G10" s="27">
        <v>7330000</v>
      </c>
    </row>
    <row r="11" spans="1:7">
      <c r="A11" s="442" t="s">
        <v>18</v>
      </c>
      <c r="B11" s="188" t="s">
        <v>415</v>
      </c>
      <c r="C11" s="171">
        <f>130660612</f>
        <v>130660612</v>
      </c>
      <c r="D11" s="171">
        <f>130660612+215957</f>
        <v>130876569</v>
      </c>
      <c r="E11" s="170" t="s">
        <v>174</v>
      </c>
      <c r="F11" s="27">
        <v>173511355</v>
      </c>
      <c r="G11" s="27">
        <f>173511355+2886754+64975</f>
        <v>176463084</v>
      </c>
    </row>
    <row r="12" spans="1:7">
      <c r="A12" s="442" t="s">
        <v>19</v>
      </c>
      <c r="B12" s="170" t="s">
        <v>371</v>
      </c>
      <c r="C12" s="662">
        <v>505503</v>
      </c>
      <c r="D12" s="662">
        <v>505503</v>
      </c>
      <c r="E12" s="170" t="s">
        <v>45</v>
      </c>
      <c r="F12" s="27">
        <v>33170228</v>
      </c>
      <c r="G12" s="27">
        <f>33170228+267920+344876+8520000+7313613+475499-2886754-64975</f>
        <v>47140407</v>
      </c>
    </row>
    <row r="13" spans="1:7">
      <c r="A13" s="442" t="s">
        <v>20</v>
      </c>
      <c r="B13" s="170" t="s">
        <v>477</v>
      </c>
      <c r="C13" s="171"/>
      <c r="D13" s="171"/>
      <c r="E13" s="173"/>
      <c r="F13" s="27"/>
      <c r="G13" s="27"/>
    </row>
    <row r="14" spans="1:7">
      <c r="A14" s="442" t="s">
        <v>21</v>
      </c>
      <c r="B14" s="170"/>
      <c r="C14" s="662"/>
      <c r="D14" s="662"/>
      <c r="E14" s="170"/>
      <c r="F14" s="27"/>
      <c r="G14" s="27"/>
    </row>
    <row r="15" spans="1:7">
      <c r="A15" s="442" t="s">
        <v>22</v>
      </c>
      <c r="B15" s="170"/>
      <c r="C15" s="662"/>
      <c r="D15" s="662"/>
      <c r="E15" s="170"/>
      <c r="F15" s="27"/>
      <c r="G15" s="27"/>
    </row>
    <row r="16" spans="1:7" ht="17.25" customHeight="1">
      <c r="A16" s="442" t="s">
        <v>23</v>
      </c>
      <c r="B16" s="170"/>
      <c r="C16" s="662"/>
      <c r="D16" s="662"/>
      <c r="E16" s="170"/>
      <c r="F16" s="27"/>
      <c r="G16" s="27"/>
    </row>
    <row r="17" spans="1:7" ht="15" customHeight="1">
      <c r="A17" s="442" t="s">
        <v>24</v>
      </c>
      <c r="B17" s="170"/>
      <c r="C17" s="662"/>
      <c r="D17" s="662"/>
      <c r="E17" s="170"/>
      <c r="F17" s="27"/>
      <c r="G17" s="27"/>
    </row>
    <row r="18" spans="1:7" ht="15" customHeight="1" thickBot="1">
      <c r="A18" s="442" t="s">
        <v>25</v>
      </c>
      <c r="B18" s="170"/>
      <c r="C18" s="662"/>
      <c r="D18" s="662"/>
      <c r="E18" s="170"/>
      <c r="F18" s="27"/>
      <c r="G18" s="27"/>
    </row>
    <row r="19" spans="1:7" ht="26.25" thickBot="1">
      <c r="A19" s="177" t="s">
        <v>26</v>
      </c>
      <c r="B19" s="178" t="s">
        <v>478</v>
      </c>
      <c r="C19" s="664">
        <f>SUM(C7:C18)</f>
        <v>566898762</v>
      </c>
      <c r="D19" s="664">
        <f>SUM(D7:D18)</f>
        <v>581094708</v>
      </c>
      <c r="E19" s="178" t="s">
        <v>377</v>
      </c>
      <c r="F19" s="536">
        <f>SUM(F7:F18)</f>
        <v>576038614</v>
      </c>
      <c r="G19" s="536">
        <f>SUM(G7:G18)</f>
        <v>597896672</v>
      </c>
    </row>
    <row r="20" spans="1:7" ht="25.5">
      <c r="A20" s="443" t="s">
        <v>27</v>
      </c>
      <c r="B20" s="176" t="s">
        <v>374</v>
      </c>
      <c r="C20" s="668">
        <f>+C21+C22+C23+C24</f>
        <v>193508260</v>
      </c>
      <c r="D20" s="668">
        <f>+D21+D22+D23+D24</f>
        <v>201170372</v>
      </c>
      <c r="E20" s="170" t="s">
        <v>180</v>
      </c>
      <c r="F20" s="542"/>
      <c r="G20" s="542"/>
    </row>
    <row r="21" spans="1:7" ht="25.5">
      <c r="A21" s="442" t="s">
        <v>28</v>
      </c>
      <c r="B21" s="170" t="s">
        <v>215</v>
      </c>
      <c r="C21" s="171">
        <f>F31-C19-C25-C29</f>
        <v>193508260</v>
      </c>
      <c r="D21" s="171">
        <f>G31-D19-D25-D29</f>
        <v>201170372</v>
      </c>
      <c r="E21" s="170" t="s">
        <v>376</v>
      </c>
      <c r="F21" s="27"/>
      <c r="G21" s="27"/>
    </row>
    <row r="22" spans="1:7" ht="25.5">
      <c r="A22" s="442" t="s">
        <v>29</v>
      </c>
      <c r="B22" s="170" t="s">
        <v>216</v>
      </c>
      <c r="C22" s="171"/>
      <c r="D22" s="171"/>
      <c r="E22" s="170" t="s">
        <v>145</v>
      </c>
      <c r="F22" s="27"/>
      <c r="G22" s="27"/>
    </row>
    <row r="23" spans="1:7" ht="25.5">
      <c r="A23" s="442" t="s">
        <v>30</v>
      </c>
      <c r="B23" s="170" t="s">
        <v>220</v>
      </c>
      <c r="C23" s="171"/>
      <c r="D23" s="171"/>
      <c r="E23" s="170" t="s">
        <v>146</v>
      </c>
      <c r="F23" s="27"/>
      <c r="G23" s="27"/>
    </row>
    <row r="24" spans="1:7" ht="25.5">
      <c r="A24" s="442" t="s">
        <v>31</v>
      </c>
      <c r="B24" s="170" t="s">
        <v>221</v>
      </c>
      <c r="C24" s="171"/>
      <c r="D24" s="171"/>
      <c r="E24" s="176" t="s">
        <v>223</v>
      </c>
      <c r="F24" s="27"/>
      <c r="G24" s="27"/>
    </row>
    <row r="25" spans="1:7" ht="25.5">
      <c r="A25" s="442" t="s">
        <v>32</v>
      </c>
      <c r="B25" s="170" t="s">
        <v>375</v>
      </c>
      <c r="C25" s="666">
        <f>C26+C27</f>
        <v>0</v>
      </c>
      <c r="D25" s="666">
        <f>D26+D27</f>
        <v>0</v>
      </c>
      <c r="E25" s="170" t="s">
        <v>181</v>
      </c>
      <c r="F25" s="27"/>
      <c r="G25" s="27"/>
    </row>
    <row r="26" spans="1:7" ht="25.5">
      <c r="A26" s="443" t="s">
        <v>33</v>
      </c>
      <c r="B26" s="176" t="s">
        <v>372</v>
      </c>
      <c r="C26" s="669"/>
      <c r="D26" s="669"/>
      <c r="E26" s="169" t="s">
        <v>460</v>
      </c>
      <c r="F26" s="542"/>
      <c r="G26" s="542"/>
    </row>
    <row r="27" spans="1:7" ht="25.5">
      <c r="A27" s="442" t="s">
        <v>34</v>
      </c>
      <c r="B27" s="170" t="s">
        <v>373</v>
      </c>
      <c r="C27" s="171"/>
      <c r="D27" s="171"/>
      <c r="E27" s="170" t="s">
        <v>466</v>
      </c>
      <c r="F27" s="27"/>
      <c r="G27" s="27"/>
    </row>
    <row r="28" spans="1:7" ht="25.5">
      <c r="A28" s="442" t="s">
        <v>35</v>
      </c>
      <c r="B28" s="170" t="s">
        <v>471</v>
      </c>
      <c r="C28" s="171"/>
      <c r="D28" s="171"/>
      <c r="E28" s="170" t="s">
        <v>576</v>
      </c>
      <c r="F28" s="27">
        <f>8107720</f>
        <v>8107720</v>
      </c>
      <c r="G28" s="27">
        <f>8107720</f>
        <v>8107720</v>
      </c>
    </row>
    <row r="29" spans="1:7" ht="26.25" thickBot="1">
      <c r="A29" s="443" t="s">
        <v>36</v>
      </c>
      <c r="B29" s="176" t="s">
        <v>318</v>
      </c>
      <c r="C29" s="669"/>
      <c r="D29" s="669"/>
      <c r="E29" s="175" t="s">
        <v>541</v>
      </c>
      <c r="F29" s="542">
        <f>176260688</f>
        <v>176260688</v>
      </c>
      <c r="G29" s="542">
        <f>176260688</f>
        <v>176260688</v>
      </c>
    </row>
    <row r="30" spans="1:7" ht="26.25" thickBot="1">
      <c r="A30" s="177" t="s">
        <v>37</v>
      </c>
      <c r="B30" s="178" t="s">
        <v>479</v>
      </c>
      <c r="C30" s="664">
        <f>+C20+C25+C28+C29</f>
        <v>193508260</v>
      </c>
      <c r="D30" s="664">
        <f>+D20+D25+D28+D29</f>
        <v>201170372</v>
      </c>
      <c r="E30" s="178" t="s">
        <v>481</v>
      </c>
      <c r="F30" s="536">
        <f>SUM(F20:F29)</f>
        <v>184368408</v>
      </c>
      <c r="G30" s="536">
        <f>SUM(G20:G29)</f>
        <v>184368408</v>
      </c>
    </row>
    <row r="31" spans="1:7" ht="26.25" thickBot="1">
      <c r="A31" s="177" t="s">
        <v>38</v>
      </c>
      <c r="B31" s="186" t="s">
        <v>480</v>
      </c>
      <c r="C31" s="667">
        <f>+C19+C30</f>
        <v>760407022</v>
      </c>
      <c r="D31" s="667">
        <f>+D19+D30</f>
        <v>782265080</v>
      </c>
      <c r="E31" s="186" t="s">
        <v>482</v>
      </c>
      <c r="F31" s="667">
        <f>+F19+F30</f>
        <v>760407022</v>
      </c>
      <c r="G31" s="667">
        <f>+G19+G30</f>
        <v>782265080</v>
      </c>
    </row>
    <row r="32" spans="1:7" ht="26.25" thickBot="1">
      <c r="A32" s="177" t="s">
        <v>39</v>
      </c>
      <c r="B32" s="186" t="s">
        <v>158</v>
      </c>
      <c r="C32" s="667"/>
      <c r="D32" s="667"/>
      <c r="E32" s="186" t="s">
        <v>159</v>
      </c>
      <c r="F32" s="667"/>
      <c r="G32" s="667"/>
    </row>
    <row r="33" spans="1:7" ht="26.25" thickBot="1">
      <c r="A33" s="177" t="s">
        <v>40</v>
      </c>
      <c r="B33" s="186" t="s">
        <v>224</v>
      </c>
      <c r="C33" s="667"/>
      <c r="D33" s="667"/>
      <c r="E33" s="186" t="s">
        <v>225</v>
      </c>
      <c r="F33" s="667"/>
      <c r="G33" s="667"/>
    </row>
    <row r="34" spans="1:7" ht="18.75">
      <c r="B34" s="710"/>
      <c r="C34" s="710"/>
      <c r="D34" s="710"/>
      <c r="E34" s="710"/>
    </row>
  </sheetData>
  <mergeCells count="2">
    <mergeCell ref="A4:A5"/>
    <mergeCell ref="B34:E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G34"/>
  <sheetViews>
    <sheetView zoomScaleNormal="100" zoomScaleSheetLayoutView="115" workbookViewId="0">
      <selection activeCell="E1" sqref="E1"/>
    </sheetView>
  </sheetViews>
  <sheetFormatPr defaultRowHeight="12.75"/>
  <cols>
    <col min="1" max="1" width="5.6640625" style="216" bestFit="1" customWidth="1"/>
    <col min="2" max="2" width="50.5" style="215" bestFit="1" customWidth="1"/>
    <col min="3" max="3" width="12.33203125" style="216" bestFit="1" customWidth="1"/>
    <col min="4" max="4" width="14.33203125" style="216" bestFit="1" customWidth="1"/>
    <col min="5" max="5" width="53" style="216" bestFit="1" customWidth="1"/>
    <col min="6" max="7" width="14.33203125" style="216" bestFit="1" customWidth="1"/>
    <col min="8" max="16384" width="9.33203125" style="216"/>
  </cols>
  <sheetData>
    <row r="1" spans="1:7">
      <c r="B1" s="216" t="s">
        <v>536</v>
      </c>
      <c r="E1" s="161" t="s">
        <v>722</v>
      </c>
      <c r="F1" s="161"/>
      <c r="G1" s="161"/>
    </row>
    <row r="2" spans="1:7" ht="31.5">
      <c r="B2" s="162" t="s">
        <v>148</v>
      </c>
      <c r="C2" s="440"/>
      <c r="D2" s="440"/>
      <c r="E2" s="440"/>
      <c r="F2" s="440"/>
      <c r="G2" s="440"/>
    </row>
    <row r="3" spans="1:7" ht="14.25" thickBot="1">
      <c r="F3" s="656" t="s">
        <v>581</v>
      </c>
      <c r="G3" s="656" t="s">
        <v>581</v>
      </c>
    </row>
    <row r="4" spans="1:7" ht="13.5" thickBot="1">
      <c r="A4" s="711" t="s">
        <v>64</v>
      </c>
      <c r="B4" s="163" t="s">
        <v>51</v>
      </c>
      <c r="C4" s="657"/>
      <c r="D4" s="657"/>
      <c r="E4" s="163" t="s">
        <v>52</v>
      </c>
      <c r="F4" s="658"/>
      <c r="G4" s="658"/>
    </row>
    <row r="5" spans="1:7" s="165" customFormat="1" ht="36.75" thickBot="1">
      <c r="A5" s="712"/>
      <c r="B5" s="164" t="s">
        <v>56</v>
      </c>
      <c r="C5" s="659" t="s">
        <v>692</v>
      </c>
      <c r="D5" s="659" t="s">
        <v>717</v>
      </c>
      <c r="E5" s="164" t="s">
        <v>56</v>
      </c>
      <c r="F5" s="659" t="s">
        <v>692</v>
      </c>
      <c r="G5" s="659" t="s">
        <v>717</v>
      </c>
    </row>
    <row r="6" spans="1:7" s="165" customFormat="1" ht="13.5" thickBot="1">
      <c r="A6" s="166" t="s">
        <v>483</v>
      </c>
      <c r="B6" s="167" t="s">
        <v>484</v>
      </c>
      <c r="C6" s="660" t="s">
        <v>485</v>
      </c>
      <c r="D6" s="660" t="s">
        <v>485</v>
      </c>
      <c r="E6" s="167" t="s">
        <v>487</v>
      </c>
      <c r="F6" s="168" t="s">
        <v>486</v>
      </c>
      <c r="G6" s="168" t="s">
        <v>486</v>
      </c>
    </row>
    <row r="7" spans="1:7">
      <c r="A7" s="441" t="s">
        <v>14</v>
      </c>
      <c r="B7" s="169" t="s">
        <v>378</v>
      </c>
      <c r="C7" s="661">
        <v>39844721</v>
      </c>
      <c r="D7" s="661">
        <f>39844721-7313612</f>
        <v>32531109</v>
      </c>
      <c r="E7" s="169" t="s">
        <v>217</v>
      </c>
      <c r="F7" s="20">
        <v>304198564</v>
      </c>
      <c r="G7" s="20">
        <f>304198564-14627225+127000</f>
        <v>289698339</v>
      </c>
    </row>
    <row r="8" spans="1:7">
      <c r="A8" s="442" t="s">
        <v>15</v>
      </c>
      <c r="B8" s="170" t="s">
        <v>379</v>
      </c>
      <c r="C8" s="171"/>
      <c r="D8" s="171"/>
      <c r="E8" s="170" t="s">
        <v>384</v>
      </c>
      <c r="F8" s="27"/>
      <c r="G8" s="27"/>
    </row>
    <row r="9" spans="1:7">
      <c r="A9" s="442" t="s">
        <v>16</v>
      </c>
      <c r="B9" s="170" t="s">
        <v>8</v>
      </c>
      <c r="C9" s="171"/>
      <c r="D9" s="171"/>
      <c r="E9" s="170" t="s">
        <v>176</v>
      </c>
      <c r="F9" s="27">
        <v>89587897</v>
      </c>
      <c r="G9" s="27">
        <v>89587897</v>
      </c>
    </row>
    <row r="10" spans="1:7">
      <c r="A10" s="442" t="s">
        <v>17</v>
      </c>
      <c r="B10" s="170" t="s">
        <v>380</v>
      </c>
      <c r="C10" s="171"/>
      <c r="D10" s="171"/>
      <c r="E10" s="170" t="s">
        <v>385</v>
      </c>
      <c r="F10" s="27"/>
      <c r="G10" s="27"/>
    </row>
    <row r="11" spans="1:7">
      <c r="A11" s="442" t="s">
        <v>18</v>
      </c>
      <c r="B11" s="170" t="s">
        <v>381</v>
      </c>
      <c r="C11" s="171"/>
      <c r="D11" s="171"/>
      <c r="E11" s="170" t="s">
        <v>219</v>
      </c>
      <c r="F11" s="27">
        <v>650000</v>
      </c>
      <c r="G11" s="27">
        <v>650000</v>
      </c>
    </row>
    <row r="12" spans="1:7">
      <c r="A12" s="442" t="s">
        <v>19</v>
      </c>
      <c r="B12" s="170" t="s">
        <v>382</v>
      </c>
      <c r="C12" s="662">
        <f>7100000</f>
        <v>7100000</v>
      </c>
      <c r="D12" s="662">
        <f>7100000</f>
        <v>7100000</v>
      </c>
      <c r="E12" s="172"/>
      <c r="F12" s="27"/>
      <c r="G12" s="27"/>
    </row>
    <row r="13" spans="1:7">
      <c r="A13" s="442" t="s">
        <v>20</v>
      </c>
      <c r="B13" s="173"/>
      <c r="C13" s="171"/>
      <c r="D13" s="171"/>
      <c r="E13" s="172"/>
      <c r="F13" s="27"/>
      <c r="G13" s="27"/>
    </row>
    <row r="14" spans="1:7">
      <c r="A14" s="442" t="s">
        <v>21</v>
      </c>
      <c r="B14" s="173"/>
      <c r="C14" s="171"/>
      <c r="D14" s="171"/>
      <c r="E14" s="172"/>
      <c r="F14" s="27"/>
      <c r="G14" s="27"/>
    </row>
    <row r="15" spans="1:7">
      <c r="A15" s="442" t="s">
        <v>22</v>
      </c>
      <c r="B15" s="174"/>
      <c r="C15" s="662"/>
      <c r="D15" s="662"/>
      <c r="E15" s="172"/>
      <c r="F15" s="27"/>
      <c r="G15" s="27"/>
    </row>
    <row r="16" spans="1:7">
      <c r="A16" s="442" t="s">
        <v>23</v>
      </c>
      <c r="B16" s="173"/>
      <c r="C16" s="662"/>
      <c r="D16" s="662"/>
      <c r="E16" s="172"/>
      <c r="F16" s="27"/>
      <c r="G16" s="27"/>
    </row>
    <row r="17" spans="1:7" ht="13.5" thickBot="1">
      <c r="A17" s="443" t="s">
        <v>24</v>
      </c>
      <c r="B17" s="175"/>
      <c r="C17" s="663"/>
      <c r="D17" s="663"/>
      <c r="E17" s="176" t="s">
        <v>45</v>
      </c>
      <c r="F17" s="542"/>
      <c r="G17" s="542"/>
    </row>
    <row r="18" spans="1:7" ht="13.5" thickBot="1">
      <c r="A18" s="177" t="s">
        <v>25</v>
      </c>
      <c r="B18" s="178" t="s">
        <v>392</v>
      </c>
      <c r="C18" s="664">
        <f>+C7+C9+C10+C12+C13+C14+C15+C16+C17</f>
        <v>46944721</v>
      </c>
      <c r="D18" s="664">
        <f>+D7+D9+D10+D12+D13+D14+D15+D16+D17</f>
        <v>39631109</v>
      </c>
      <c r="E18" s="178" t="s">
        <v>393</v>
      </c>
      <c r="F18" s="536">
        <f>+F7+F9+F11+F12+F13+F14+F15+F16+F17</f>
        <v>394436461</v>
      </c>
      <c r="G18" s="536">
        <f>+G7+G9+G11+G12+G13+G14+G15+G16+G17</f>
        <v>379936236</v>
      </c>
    </row>
    <row r="19" spans="1:7">
      <c r="A19" s="441" t="s">
        <v>26</v>
      </c>
      <c r="B19" s="179" t="s">
        <v>237</v>
      </c>
      <c r="C19" s="665">
        <f>+C20+C21+C22+C23+C24</f>
        <v>347491740</v>
      </c>
      <c r="D19" s="665">
        <f>+D20+D21+D22+D23+D24</f>
        <v>340305127</v>
      </c>
      <c r="E19" s="170" t="s">
        <v>180</v>
      </c>
      <c r="F19" s="20"/>
      <c r="G19" s="20"/>
    </row>
    <row r="20" spans="1:7">
      <c r="A20" s="442" t="s">
        <v>27</v>
      </c>
      <c r="B20" s="180" t="s">
        <v>226</v>
      </c>
      <c r="C20" s="171">
        <f>F32-C18</f>
        <v>347491740</v>
      </c>
      <c r="D20" s="171">
        <f>G32-D18</f>
        <v>340305127</v>
      </c>
      <c r="E20" s="170" t="s">
        <v>183</v>
      </c>
      <c r="F20" s="27"/>
      <c r="G20" s="27"/>
    </row>
    <row r="21" spans="1:7">
      <c r="A21" s="441" t="s">
        <v>28</v>
      </c>
      <c r="B21" s="180" t="s">
        <v>227</v>
      </c>
      <c r="C21" s="171"/>
      <c r="D21" s="171"/>
      <c r="E21" s="170" t="s">
        <v>145</v>
      </c>
      <c r="F21" s="27"/>
      <c r="G21" s="27"/>
    </row>
    <row r="22" spans="1:7">
      <c r="A22" s="442" t="s">
        <v>29</v>
      </c>
      <c r="B22" s="180" t="s">
        <v>228</v>
      </c>
      <c r="C22" s="171"/>
      <c r="D22" s="171"/>
      <c r="E22" s="170" t="s">
        <v>146</v>
      </c>
      <c r="F22" s="27"/>
      <c r="G22" s="27"/>
    </row>
    <row r="23" spans="1:7">
      <c r="A23" s="441" t="s">
        <v>30</v>
      </c>
      <c r="B23" s="180" t="s">
        <v>229</v>
      </c>
      <c r="C23" s="171"/>
      <c r="D23" s="171"/>
      <c r="E23" s="176" t="s">
        <v>223</v>
      </c>
      <c r="F23" s="27"/>
      <c r="G23" s="27"/>
    </row>
    <row r="24" spans="1:7">
      <c r="A24" s="442" t="s">
        <v>31</v>
      </c>
      <c r="B24" s="181" t="s">
        <v>230</v>
      </c>
      <c r="C24" s="171"/>
      <c r="D24" s="171"/>
      <c r="E24" s="170" t="s">
        <v>184</v>
      </c>
      <c r="F24" s="27"/>
      <c r="G24" s="27"/>
    </row>
    <row r="25" spans="1:7">
      <c r="A25" s="441" t="s">
        <v>32</v>
      </c>
      <c r="B25" s="182" t="s">
        <v>231</v>
      </c>
      <c r="C25" s="666">
        <f>+C26+C27+C28+C29+C30</f>
        <v>0</v>
      </c>
      <c r="D25" s="666">
        <f>+D26+D27+D28+D29+D30</f>
        <v>0</v>
      </c>
      <c r="E25" s="169" t="s">
        <v>182</v>
      </c>
      <c r="F25" s="27"/>
      <c r="G25" s="27"/>
    </row>
    <row r="26" spans="1:7">
      <c r="A26" s="442" t="s">
        <v>33</v>
      </c>
      <c r="B26" s="181" t="s">
        <v>232</v>
      </c>
      <c r="C26" s="171"/>
      <c r="D26" s="171"/>
      <c r="E26" s="169" t="s">
        <v>386</v>
      </c>
      <c r="F26" s="27"/>
      <c r="G26" s="27"/>
    </row>
    <row r="27" spans="1:7">
      <c r="A27" s="441" t="s">
        <v>34</v>
      </c>
      <c r="B27" s="181" t="s">
        <v>233</v>
      </c>
      <c r="C27" s="171"/>
      <c r="D27" s="171"/>
      <c r="E27" s="183"/>
      <c r="F27" s="27"/>
      <c r="G27" s="27"/>
    </row>
    <row r="28" spans="1:7">
      <c r="A28" s="442" t="s">
        <v>35</v>
      </c>
      <c r="B28" s="180" t="s">
        <v>234</v>
      </c>
      <c r="C28" s="171"/>
      <c r="D28" s="171"/>
      <c r="E28" s="183"/>
      <c r="F28" s="27"/>
      <c r="G28" s="27"/>
    </row>
    <row r="29" spans="1:7">
      <c r="A29" s="441" t="s">
        <v>36</v>
      </c>
      <c r="B29" s="184" t="s">
        <v>235</v>
      </c>
      <c r="C29" s="171"/>
      <c r="D29" s="171"/>
      <c r="E29" s="173"/>
      <c r="F29" s="27"/>
      <c r="G29" s="27"/>
    </row>
    <row r="30" spans="1:7" ht="13.5" thickBot="1">
      <c r="A30" s="442" t="s">
        <v>37</v>
      </c>
      <c r="B30" s="185" t="s">
        <v>236</v>
      </c>
      <c r="C30" s="171"/>
      <c r="D30" s="171"/>
      <c r="E30" s="183"/>
      <c r="F30" s="27"/>
      <c r="G30" s="27"/>
    </row>
    <row r="31" spans="1:7" ht="21.75" thickBot="1">
      <c r="A31" s="177" t="s">
        <v>38</v>
      </c>
      <c r="B31" s="178" t="s">
        <v>383</v>
      </c>
      <c r="C31" s="664">
        <f>+C19+C25</f>
        <v>347491740</v>
      </c>
      <c r="D31" s="664">
        <f>+D19+D25</f>
        <v>340305127</v>
      </c>
      <c r="E31" s="178" t="s">
        <v>387</v>
      </c>
      <c r="F31" s="536">
        <f>SUM(F19:F30)</f>
        <v>0</v>
      </c>
      <c r="G31" s="536">
        <f>SUM(G19:G30)</f>
        <v>0</v>
      </c>
    </row>
    <row r="32" spans="1:7" ht="13.5" thickBot="1">
      <c r="A32" s="177" t="s">
        <v>39</v>
      </c>
      <c r="B32" s="186" t="s">
        <v>388</v>
      </c>
      <c r="C32" s="667">
        <f>C18+C31</f>
        <v>394436461</v>
      </c>
      <c r="D32" s="667">
        <f>D18+D31</f>
        <v>379936236</v>
      </c>
      <c r="E32" s="186" t="s">
        <v>389</v>
      </c>
      <c r="F32" s="667">
        <f>F18+F31</f>
        <v>394436461</v>
      </c>
      <c r="G32" s="667">
        <f>G18+G31</f>
        <v>379936236</v>
      </c>
    </row>
    <row r="33" spans="1:7" ht="13.5" thickBot="1">
      <c r="A33" s="177" t="s">
        <v>40</v>
      </c>
      <c r="B33" s="186" t="s">
        <v>158</v>
      </c>
      <c r="C33" s="667"/>
      <c r="D33" s="667"/>
      <c r="E33" s="186" t="s">
        <v>159</v>
      </c>
      <c r="F33" s="667"/>
      <c r="G33" s="667"/>
    </row>
    <row r="34" spans="1:7" ht="13.5" thickBot="1">
      <c r="A34" s="177" t="s">
        <v>41</v>
      </c>
      <c r="B34" s="186" t="s">
        <v>224</v>
      </c>
      <c r="C34" s="667"/>
      <c r="D34" s="667"/>
      <c r="E34" s="186" t="s">
        <v>225</v>
      </c>
      <c r="F34" s="667"/>
      <c r="G34" s="667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3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zoomScaleNormal="120" workbookViewId="0">
      <selection activeCell="B14" sqref="B14"/>
    </sheetView>
  </sheetViews>
  <sheetFormatPr defaultRowHeight="15"/>
  <cols>
    <col min="1" max="1" width="5.1640625" style="117" bestFit="1" customWidth="1"/>
    <col min="2" max="2" width="28.83203125" style="117" bestFit="1" customWidth="1"/>
    <col min="3" max="6" width="16.33203125" style="117" bestFit="1" customWidth="1"/>
    <col min="7" max="16384" width="9.33203125" style="117"/>
  </cols>
  <sheetData>
    <row r="1" spans="1:7" ht="33" customHeight="1">
      <c r="A1" s="713" t="s">
        <v>539</v>
      </c>
      <c r="B1" s="713"/>
      <c r="C1" s="713"/>
      <c r="D1" s="713"/>
      <c r="E1" s="713"/>
      <c r="F1" s="713"/>
    </row>
    <row r="2" spans="1:7" ht="15.95" customHeight="1" thickBot="1">
      <c r="A2" s="118"/>
      <c r="B2" s="118"/>
      <c r="C2" s="714"/>
      <c r="D2" s="714"/>
      <c r="E2" s="721" t="s">
        <v>581</v>
      </c>
      <c r="F2" s="721"/>
      <c r="G2" s="120"/>
    </row>
    <row r="3" spans="1:7" ht="63" customHeight="1">
      <c r="A3" s="717" t="s">
        <v>12</v>
      </c>
      <c r="B3" s="719" t="s">
        <v>186</v>
      </c>
      <c r="C3" s="719" t="s">
        <v>240</v>
      </c>
      <c r="D3" s="719"/>
      <c r="E3" s="719"/>
      <c r="F3" s="715" t="s">
        <v>493</v>
      </c>
    </row>
    <row r="4" spans="1:7" ht="15.75" thickBot="1">
      <c r="A4" s="718"/>
      <c r="B4" s="720"/>
      <c r="C4" s="614" t="s">
        <v>595</v>
      </c>
      <c r="D4" s="614" t="s">
        <v>596</v>
      </c>
      <c r="E4" s="614" t="s">
        <v>649</v>
      </c>
      <c r="F4" s="716"/>
    </row>
    <row r="5" spans="1:7" ht="15.75" thickBot="1">
      <c r="A5" s="151" t="s">
        <v>483</v>
      </c>
      <c r="B5" s="152" t="s">
        <v>484</v>
      </c>
      <c r="C5" s="152" t="s">
        <v>485</v>
      </c>
      <c r="D5" s="152" t="s">
        <v>487</v>
      </c>
      <c r="E5" s="152" t="s">
        <v>486</v>
      </c>
      <c r="F5" s="615" t="s">
        <v>488</v>
      </c>
    </row>
    <row r="6" spans="1:7">
      <c r="A6" s="153" t="s">
        <v>14</v>
      </c>
      <c r="B6" s="154" t="s">
        <v>557</v>
      </c>
      <c r="C6" s="616">
        <v>127500000</v>
      </c>
      <c r="D6" s="616">
        <v>127500000</v>
      </c>
      <c r="E6" s="616">
        <v>127500000</v>
      </c>
      <c r="F6" s="617">
        <f>SUM(C6:E6)</f>
        <v>382500000</v>
      </c>
    </row>
    <row r="7" spans="1:7" ht="26.25">
      <c r="A7" s="155" t="s">
        <v>15</v>
      </c>
      <c r="B7" s="380" t="s">
        <v>650</v>
      </c>
      <c r="C7" s="618">
        <v>200000</v>
      </c>
      <c r="D7" s="618">
        <v>200000</v>
      </c>
      <c r="E7" s="618">
        <v>200000</v>
      </c>
      <c r="F7" s="619">
        <f>SUM(C7:E7)</f>
        <v>600000</v>
      </c>
    </row>
    <row r="8" spans="1:7">
      <c r="A8" s="155" t="s">
        <v>16</v>
      </c>
      <c r="B8" s="156"/>
      <c r="C8" s="618"/>
      <c r="D8" s="618"/>
      <c r="E8" s="618"/>
      <c r="F8" s="619">
        <f>SUM(C8:E8)</f>
        <v>0</v>
      </c>
    </row>
    <row r="9" spans="1:7">
      <c r="A9" s="155" t="s">
        <v>17</v>
      </c>
      <c r="B9" s="156"/>
      <c r="C9" s="618"/>
      <c r="D9" s="618"/>
      <c r="E9" s="618"/>
      <c r="F9" s="619">
        <f>SUM(C9:E9)</f>
        <v>0</v>
      </c>
    </row>
    <row r="10" spans="1:7" ht="15.75" thickBot="1">
      <c r="A10" s="157" t="s">
        <v>18</v>
      </c>
      <c r="B10" s="158"/>
      <c r="C10" s="620"/>
      <c r="D10" s="620"/>
      <c r="E10" s="620"/>
      <c r="F10" s="619">
        <f>SUM(C10:E10)</f>
        <v>0</v>
      </c>
    </row>
    <row r="11" spans="1:7" s="139" customFormat="1" thickBot="1">
      <c r="A11" s="159" t="s">
        <v>19</v>
      </c>
      <c r="B11" s="160" t="s">
        <v>187</v>
      </c>
      <c r="C11" s="621">
        <f>SUM(C6:C10)</f>
        <v>127700000</v>
      </c>
      <c r="D11" s="621">
        <f>SUM(D6:D10)</f>
        <v>127700000</v>
      </c>
      <c r="E11" s="621">
        <f>SUM(E6:E10)</f>
        <v>127700000</v>
      </c>
      <c r="F11" s="622">
        <f>SUM(F6:F10)</f>
        <v>383100000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D12"/>
  <sheetViews>
    <sheetView view="pageLayout" zoomScaleNormal="120" workbookViewId="0">
      <selection activeCell="D4" sqref="D4"/>
    </sheetView>
  </sheetViews>
  <sheetFormatPr defaultRowHeight="15"/>
  <cols>
    <col min="1" max="1" width="4.1640625" style="117" bestFit="1" customWidth="1"/>
    <col min="2" max="2" width="65.33203125" style="117" bestFit="1" customWidth="1"/>
    <col min="3" max="4" width="14.6640625" style="623" bestFit="1" customWidth="1"/>
    <col min="5" max="16384" width="9.33203125" style="117"/>
  </cols>
  <sheetData>
    <row r="1" spans="1:4" ht="43.5" customHeight="1">
      <c r="A1" s="713" t="s">
        <v>540</v>
      </c>
      <c r="B1" s="713"/>
    </row>
    <row r="2" spans="1:4" ht="15.95" customHeight="1" thickBot="1">
      <c r="A2" s="118"/>
      <c r="B2" s="118"/>
      <c r="C2" s="624" t="s">
        <v>581</v>
      </c>
      <c r="D2" s="624" t="s">
        <v>581</v>
      </c>
    </row>
    <row r="3" spans="1:4" ht="36.75" thickBot="1">
      <c r="A3" s="140" t="s">
        <v>12</v>
      </c>
      <c r="B3" s="141" t="s">
        <v>185</v>
      </c>
      <c r="C3" s="625" t="s">
        <v>692</v>
      </c>
      <c r="D3" s="625" t="s">
        <v>717</v>
      </c>
    </row>
    <row r="4" spans="1:4" ht="15.75" thickBot="1">
      <c r="A4" s="142" t="s">
        <v>483</v>
      </c>
      <c r="B4" s="143" t="s">
        <v>484</v>
      </c>
      <c r="C4" s="626" t="s">
        <v>485</v>
      </c>
      <c r="D4" s="626" t="s">
        <v>485</v>
      </c>
    </row>
    <row r="5" spans="1:4">
      <c r="A5" s="144" t="s">
        <v>14</v>
      </c>
      <c r="B5" s="145" t="s">
        <v>494</v>
      </c>
      <c r="C5" s="627">
        <v>127500000</v>
      </c>
      <c r="D5" s="627">
        <v>127500000</v>
      </c>
    </row>
    <row r="6" spans="1:4" ht="24.75">
      <c r="A6" s="146" t="s">
        <v>15</v>
      </c>
      <c r="B6" s="147" t="s">
        <v>238</v>
      </c>
      <c r="C6" s="628"/>
      <c r="D6" s="628"/>
    </row>
    <row r="7" spans="1:4">
      <c r="A7" s="146" t="s">
        <v>16</v>
      </c>
      <c r="B7" s="148" t="s">
        <v>495</v>
      </c>
      <c r="C7" s="628"/>
      <c r="D7" s="628"/>
    </row>
    <row r="8" spans="1:4" ht="24.75">
      <c r="A8" s="146" t="s">
        <v>17</v>
      </c>
      <c r="B8" s="148" t="s">
        <v>239</v>
      </c>
      <c r="C8" s="628"/>
      <c r="D8" s="628"/>
    </row>
    <row r="9" spans="1:4">
      <c r="A9" s="149" t="s">
        <v>18</v>
      </c>
      <c r="B9" s="148" t="s">
        <v>651</v>
      </c>
      <c r="C9" s="629">
        <v>200000</v>
      </c>
      <c r="D9" s="629">
        <v>200000</v>
      </c>
    </row>
    <row r="10" spans="1:4" ht="15.75" thickBot="1">
      <c r="A10" s="146" t="s">
        <v>19</v>
      </c>
      <c r="B10" s="150" t="s">
        <v>496</v>
      </c>
      <c r="C10" s="628"/>
      <c r="D10" s="628"/>
    </row>
    <row r="11" spans="1:4" ht="15.75" thickBot="1">
      <c r="A11" s="722" t="s">
        <v>188</v>
      </c>
      <c r="B11" s="723"/>
      <c r="C11" s="630">
        <f>SUM(C5:C10)</f>
        <v>127700000</v>
      </c>
      <c r="D11" s="630">
        <f>SUM(D5:D10)</f>
        <v>127700000</v>
      </c>
    </row>
    <row r="12" spans="1:4" ht="23.25" customHeight="1">
      <c r="A12" s="724" t="s">
        <v>214</v>
      </c>
      <c r="B12" s="724"/>
    </row>
  </sheetData>
  <mergeCells count="3">
    <mergeCell ref="A1:B1"/>
    <mergeCell ref="A11:B11"/>
    <mergeCell ref="A12:B12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B9" sqref="B9"/>
    </sheetView>
  </sheetViews>
  <sheetFormatPr defaultRowHeight="15"/>
  <cols>
    <col min="1" max="1" width="5.6640625" style="117" customWidth="1"/>
    <col min="2" max="2" width="66.83203125" style="117" customWidth="1"/>
    <col min="3" max="3" width="27" style="117" customWidth="1"/>
    <col min="4" max="16384" width="9.33203125" style="117"/>
  </cols>
  <sheetData>
    <row r="1" spans="1:4" ht="33" customHeight="1">
      <c r="A1" s="713" t="s">
        <v>675</v>
      </c>
      <c r="B1" s="713"/>
      <c r="C1" s="713"/>
    </row>
    <row r="2" spans="1:4" ht="15.95" customHeight="1" thickBot="1">
      <c r="A2" s="118"/>
      <c r="B2" s="118"/>
      <c r="C2" s="119" t="s">
        <v>581</v>
      </c>
      <c r="D2" s="120"/>
    </row>
    <row r="3" spans="1:4" ht="26.25" customHeight="1" thickBot="1">
      <c r="A3" s="121" t="s">
        <v>12</v>
      </c>
      <c r="B3" s="122" t="s">
        <v>189</v>
      </c>
      <c r="C3" s="123" t="s">
        <v>213</v>
      </c>
    </row>
    <row r="4" spans="1:4" ht="15.75" thickBot="1">
      <c r="A4" s="124" t="s">
        <v>483</v>
      </c>
      <c r="B4" s="125" t="s">
        <v>484</v>
      </c>
      <c r="C4" s="126" t="s">
        <v>485</v>
      </c>
    </row>
    <row r="5" spans="1:4">
      <c r="A5" s="127" t="s">
        <v>14</v>
      </c>
      <c r="B5" s="128"/>
      <c r="C5" s="129"/>
    </row>
    <row r="6" spans="1:4">
      <c r="A6" s="130" t="s">
        <v>15</v>
      </c>
      <c r="B6" s="131"/>
      <c r="C6" s="132"/>
    </row>
    <row r="7" spans="1:4" ht="15.75" thickBot="1">
      <c r="A7" s="133" t="s">
        <v>16</v>
      </c>
      <c r="B7" s="134"/>
      <c r="C7" s="135"/>
    </row>
    <row r="8" spans="1:4" s="139" customFormat="1" ht="17.25" customHeight="1" thickBot="1">
      <c r="A8" s="136" t="s">
        <v>17</v>
      </c>
      <c r="B8" s="137" t="s">
        <v>190</v>
      </c>
      <c r="C8" s="138">
        <f>SUM(C5:C7)</f>
        <v>0</v>
      </c>
    </row>
  </sheetData>
  <mergeCells count="1">
    <mergeCell ref="A1:C1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17</vt:i4>
      </vt:variant>
    </vt:vector>
  </HeadingPairs>
  <TitlesOfParts>
    <vt:vector size="51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9.2.sz.mell</vt:lpstr>
      <vt:lpstr>9.2.(2-1)sz.mell</vt:lpstr>
      <vt:lpstr>9.2.(2-2)sz.mell</vt:lpstr>
      <vt:lpstr>9.2.1.sz.mell</vt:lpstr>
      <vt:lpstr>9.2.2.sz.mell</vt:lpstr>
      <vt:lpstr>9.2.3.sz.mell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  <vt:lpstr>'8. sz. 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2019-03-14T15:07:45Z</cp:lastPrinted>
  <dcterms:created xsi:type="dcterms:W3CDTF">1999-10-30T10:30:45Z</dcterms:created>
  <dcterms:modified xsi:type="dcterms:W3CDTF">2019-04-02T07:27:47Z</dcterms:modified>
</cp:coreProperties>
</file>