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<sst xmlns="http://schemas.openxmlformats.org/spreadsheetml/2006/main" count="127" uniqueCount="104">
  <si>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</si>
  <si>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</si>
  <si>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</si>
  <si>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</si>
  <si>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</si>
  <si>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</si>
  <si>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</si>
  <si>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</si>
  <si>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</si>
  <si>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</si>
  <si>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</si>
  <si>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</si>
  <si>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</si>
  <si>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</si>
  <si>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</si>
  <si>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</si>
  <si>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</si>
  <si>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</si>
  <si>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</si>
  <si>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</si>
  <si>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</si>
  <si>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</si>
  <si>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</si>
  <si>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</si>
  <si>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</si>
  <si>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</si>
  <si>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</si>
  <si>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</si>
  <si>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</si>
  <si>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</si>
  <si>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</si>
  <si>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</si>
  <si>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</si>
  <si>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</si>
  <si>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</si>
  <si>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</si>
  <si>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</si>
  <si>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</si>
  <si>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</si>
  <si>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</si>
  <si>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</si>
  <si>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</si>
  <si>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</si>
  <si>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</si>
  <si>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</si>
  <si>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</si>
  <si>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</si>
  <si>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</si>
  <si>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</si>
  <si>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</si>
  <si>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</si>
  <si>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</si>
  <si>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</si>
  <si>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</si>
  <si>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</si>
  <si>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</si>
  <si>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</si>
  <si>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</si>
  <si>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</si>
  <si>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</si>
  <si>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</si>
  <si>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</si>
  <si>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</si>
  <si>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</si>
  <si>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</si>
  <si>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</si>
  <si>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</si>
  <si>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</si>
  <si>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</si>
  <si>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</si>
  <si>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</si>
  <si>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</si>
  <si>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</si>
  <si>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</si>
  <si>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</si>
  <si>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</si>
  <si>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</si>
  <si>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</si>
  <si>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</si>
  <si>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</si>
  <si>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</si>
  <si>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</si>
  <si>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</si>
  <si>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</si>
  <si>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</si>
  <si>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</si>
  <si>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</si>
  <si>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</si>
  <si>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</si>
  <si>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</si>
  <si>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</si>
  <si>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</si>
  <si>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</si>
  <si>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</si>
  <si>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</si>
  <si>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</si>
  <si>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</si>
  <si>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</si>
  <si>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</si>
  <si>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</si>
  <si>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2019. évi ei</t>
  </si>
  <si>
    <t>2019.évi</t>
  </si>
  <si>
    <t>Belváros-Lipótváros Önkormányzata 2020.évi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</si>
  <si>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2020.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</si>
</sst>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R7" sqref="R1:X16384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0" width="10.75390625" style="21" customWidth="1"/>
    <col min="11" max="14" width="10.00390625" style="21" customWidth="1"/>
    <col min="15" max="15" width="11.25390625" style="21" customWidth="1"/>
    <col min="16" max="16" width="11.125" style="21" customWidth="1"/>
    <col min="17" max="17" width="11.375" style="130" customWidth="1"/>
    <col min="18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82" t="s">
        <v>40</v>
      </c>
      <c r="P2" s="182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3" t="s">
        <v>93</v>
      </c>
      <c r="P7" s="183"/>
    </row>
    <row r="8" spans="1:16" ht="21" customHeight="1">
      <c r="A8" s="184" t="s">
        <v>102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0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87" t="s">
        <v>1</v>
      </c>
      <c r="B14" s="187"/>
      <c r="C14" s="190" t="s">
        <v>100</v>
      </c>
      <c r="D14" s="180" t="s">
        <v>2</v>
      </c>
      <c r="E14" s="180" t="s">
        <v>3</v>
      </c>
      <c r="F14" s="180" t="s">
        <v>4</v>
      </c>
      <c r="G14" s="180" t="s">
        <v>5</v>
      </c>
      <c r="H14" s="180" t="s">
        <v>6</v>
      </c>
      <c r="I14" s="180" t="s">
        <v>7</v>
      </c>
      <c r="J14" s="180" t="s">
        <v>8</v>
      </c>
      <c r="K14" s="180" t="s">
        <v>9</v>
      </c>
      <c r="L14" s="180" t="s">
        <v>10</v>
      </c>
      <c r="M14" s="180" t="s">
        <v>11</v>
      </c>
      <c r="N14" s="180" t="s">
        <v>12</v>
      </c>
      <c r="O14" s="180" t="s">
        <v>13</v>
      </c>
      <c r="P14" s="180" t="s">
        <v>14</v>
      </c>
    </row>
    <row r="15" spans="1:16" ht="13.5" thickBot="1">
      <c r="A15" s="187"/>
      <c r="B15" s="187"/>
      <c r="C15" s="19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15" customHeight="1" thickBot="1">
      <c r="A16" s="188">
        <v>1</v>
      </c>
      <c r="B16" s="189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6" ht="15" customHeight="1">
      <c r="A17" s="24" t="s">
        <v>15</v>
      </c>
      <c r="B17" s="25" t="s">
        <v>78</v>
      </c>
      <c r="C17" s="26">
        <f>SUM(C18:C22)</f>
        <v>20319103</v>
      </c>
      <c r="D17" s="26">
        <f aca="true" t="shared" si="0" ref="D17:N17">SUM(D18:D22)</f>
        <v>1609490</v>
      </c>
      <c r="E17" s="26">
        <f t="shared" si="0"/>
        <v>1611475</v>
      </c>
      <c r="F17" s="26">
        <f t="shared" si="0"/>
        <v>1609991</v>
      </c>
      <c r="G17" s="26">
        <f t="shared" si="0"/>
        <v>1728268</v>
      </c>
      <c r="H17" s="26">
        <f t="shared" si="0"/>
        <v>1598487</v>
      </c>
      <c r="I17" s="26">
        <f t="shared" si="0"/>
        <v>1563694</v>
      </c>
      <c r="J17" s="26">
        <f t="shared" si="0"/>
        <v>1556475</v>
      </c>
      <c r="K17" s="26">
        <f t="shared" si="0"/>
        <v>1563475</v>
      </c>
      <c r="L17" s="26">
        <f t="shared" si="0"/>
        <v>1556475</v>
      </c>
      <c r="M17" s="26">
        <f t="shared" si="0"/>
        <v>1560951</v>
      </c>
      <c r="N17" s="26">
        <f t="shared" si="0"/>
        <v>1601845</v>
      </c>
      <c r="O17" s="26">
        <f>SUM(O18:O22)</f>
        <v>2758477</v>
      </c>
      <c r="P17" s="108">
        <f>SUM(D17:O17)</f>
        <v>20319103</v>
      </c>
    </row>
    <row r="18" spans="1:16" ht="15" customHeight="1">
      <c r="A18" s="28"/>
      <c r="B18" s="44" t="s">
        <v>16</v>
      </c>
      <c r="C18" s="128">
        <v>4358219</v>
      </c>
      <c r="D18" s="29">
        <v>335995</v>
      </c>
      <c r="E18" s="29">
        <v>335995</v>
      </c>
      <c r="F18" s="29">
        <v>335995</v>
      </c>
      <c r="G18" s="29">
        <f>300784+198204</f>
        <v>498988</v>
      </c>
      <c r="H18" s="29">
        <v>335995</v>
      </c>
      <c r="I18" s="29">
        <v>335995</v>
      </c>
      <c r="J18" s="29">
        <v>335995</v>
      </c>
      <c r="K18" s="29">
        <v>335995</v>
      </c>
      <c r="L18" s="29">
        <v>335995</v>
      </c>
      <c r="M18" s="29">
        <v>335995</v>
      </c>
      <c r="N18" s="29">
        <v>335995</v>
      </c>
      <c r="O18" s="29">
        <f>300784-3+198500</f>
        <v>499281</v>
      </c>
      <c r="P18" s="18">
        <f aca="true" t="shared" si="1" ref="P18:P49">SUM(D18:O18)</f>
        <v>4358219</v>
      </c>
    </row>
    <row r="19" spans="1:16" ht="15" customHeight="1">
      <c r="A19" s="28"/>
      <c r="B19" s="44" t="s">
        <v>68</v>
      </c>
      <c r="C19" s="128">
        <v>845626</v>
      </c>
      <c r="D19" s="29">
        <v>64684</v>
      </c>
      <c r="E19" s="29">
        <v>64684</v>
      </c>
      <c r="F19" s="29">
        <v>64684</v>
      </c>
      <c r="G19" s="29">
        <v>64684</v>
      </c>
      <c r="H19" s="29">
        <f>68326+31070</f>
        <v>99396</v>
      </c>
      <c r="I19" s="29">
        <v>64686</v>
      </c>
      <c r="J19" s="29">
        <v>64684</v>
      </c>
      <c r="K19" s="29">
        <v>64684</v>
      </c>
      <c r="L19" s="29">
        <v>64684</v>
      </c>
      <c r="M19" s="29">
        <v>64684</v>
      </c>
      <c r="N19" s="29">
        <v>64684</v>
      </c>
      <c r="O19" s="29">
        <f>68326-3+31069-4</f>
        <v>99388</v>
      </c>
      <c r="P19" s="18">
        <f t="shared" si="1"/>
        <v>845626</v>
      </c>
    </row>
    <row r="20" spans="1:16" ht="15" customHeight="1">
      <c r="A20" s="28"/>
      <c r="B20" s="44" t="s">
        <v>38</v>
      </c>
      <c r="C20" s="128">
        <v>12416234</v>
      </c>
      <c r="D20" s="29">
        <f>1036027+1-1466</f>
        <v>1034562</v>
      </c>
      <c r="E20" s="29">
        <f>1036027+1-1466+1500</f>
        <v>1036062</v>
      </c>
      <c r="F20" s="29">
        <f aca="true" t="shared" si="2" ref="F20:N20">1036027+1-1466</f>
        <v>1034562</v>
      </c>
      <c r="G20" s="29">
        <f t="shared" si="2"/>
        <v>1034562</v>
      </c>
      <c r="H20" s="29">
        <f t="shared" si="2"/>
        <v>1034562</v>
      </c>
      <c r="I20" s="29">
        <f t="shared" si="2"/>
        <v>1034562</v>
      </c>
      <c r="J20" s="29">
        <f t="shared" si="2"/>
        <v>1034562</v>
      </c>
      <c r="K20" s="29">
        <f t="shared" si="2"/>
        <v>1034562</v>
      </c>
      <c r="L20" s="29">
        <f t="shared" si="2"/>
        <v>1034562</v>
      </c>
      <c r="M20" s="29">
        <f t="shared" si="2"/>
        <v>1034562</v>
      </c>
      <c r="N20" s="29">
        <f t="shared" si="2"/>
        <v>1034562</v>
      </c>
      <c r="O20" s="29">
        <f>1036027+1-1466-10</f>
        <v>1034552</v>
      </c>
      <c r="P20" s="18">
        <f t="shared" si="1"/>
        <v>12416234</v>
      </c>
    </row>
    <row r="21" spans="1:16" ht="15" customHeight="1">
      <c r="A21" s="28"/>
      <c r="B21" s="44" t="s">
        <v>39</v>
      </c>
      <c r="C21" s="128">
        <v>626200</v>
      </c>
      <c r="D21" s="29">
        <f>50000+30515+3000-3920</f>
        <v>79595</v>
      </c>
      <c r="E21" s="29">
        <f>50000+30515+3500-3920</f>
        <v>80095</v>
      </c>
      <c r="F21" s="29">
        <f>50000+30515+3516-3920</f>
        <v>80111</v>
      </c>
      <c r="G21" s="29">
        <f>30515+2300+5000-3920</f>
        <v>33895</v>
      </c>
      <c r="H21" s="29">
        <f>30515+2300+5000-3920</f>
        <v>33895</v>
      </c>
      <c r="I21" s="29">
        <f>30515+2217+5000-3920</f>
        <v>33812</v>
      </c>
      <c r="J21" s="29">
        <f>30515-3920</f>
        <v>26595</v>
      </c>
      <c r="K21" s="29">
        <f>30515+7000-3920</f>
        <v>33595</v>
      </c>
      <c r="L21" s="29">
        <f>30515-3920</f>
        <v>26595</v>
      </c>
      <c r="M21" s="29">
        <f>30515+4476-3920</f>
        <v>31071</v>
      </c>
      <c r="N21" s="29">
        <f>50000+30515+1166+124-40000+34080-3920</f>
        <v>71965</v>
      </c>
      <c r="O21" s="29">
        <f>50000+30515+24205-15920-23996+34089-3920+3</f>
        <v>94976</v>
      </c>
      <c r="P21" s="18">
        <f t="shared" si="1"/>
        <v>626200</v>
      </c>
    </row>
    <row r="22" spans="1:16" ht="15" customHeight="1">
      <c r="A22" s="28"/>
      <c r="B22" s="44" t="s">
        <v>52</v>
      </c>
      <c r="C22" s="128">
        <f>SUM(C25:C29)</f>
        <v>2072824</v>
      </c>
      <c r="D22" s="128">
        <f aca="true" t="shared" si="3" ref="D22:O22">SUM(D25:D29)</f>
        <v>94654</v>
      </c>
      <c r="E22" s="128">
        <f t="shared" si="3"/>
        <v>94639</v>
      </c>
      <c r="F22" s="128">
        <f t="shared" si="3"/>
        <v>94639</v>
      </c>
      <c r="G22" s="128">
        <f>SUM(G24:G29)</f>
        <v>96139</v>
      </c>
      <c r="H22" s="128">
        <f t="shared" si="3"/>
        <v>94639</v>
      </c>
      <c r="I22" s="128">
        <f t="shared" si="3"/>
        <v>94639</v>
      </c>
      <c r="J22" s="128">
        <f t="shared" si="3"/>
        <v>94639</v>
      </c>
      <c r="K22" s="128">
        <f t="shared" si="3"/>
        <v>94639</v>
      </c>
      <c r="L22" s="128">
        <f t="shared" si="3"/>
        <v>94639</v>
      </c>
      <c r="M22" s="128">
        <f t="shared" si="3"/>
        <v>94639</v>
      </c>
      <c r="N22" s="128">
        <f t="shared" si="3"/>
        <v>94639</v>
      </c>
      <c r="O22" s="128">
        <f t="shared" si="3"/>
        <v>1030280</v>
      </c>
      <c r="P22" s="18">
        <f>SUM(D22:O22)</f>
        <v>2072824</v>
      </c>
    </row>
    <row r="23" spans="1:16" ht="12.75" customHeight="1" hidden="1">
      <c r="A23" s="119"/>
      <c r="B23" s="120"/>
      <c r="C23" s="16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</row>
    <row r="24" spans="1:16" ht="12.75" customHeight="1">
      <c r="A24" s="105"/>
      <c r="B24" s="120" t="s">
        <v>86</v>
      </c>
      <c r="C24" s="160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18">
        <f t="shared" si="1"/>
        <v>0</v>
      </c>
    </row>
    <row r="25" spans="1:16" ht="12.75" customHeight="1">
      <c r="A25" s="105"/>
      <c r="B25" s="120" t="s">
        <v>71</v>
      </c>
      <c r="C25" s="160">
        <v>419500</v>
      </c>
      <c r="D25" s="31">
        <v>34834</v>
      </c>
      <c r="E25" s="31">
        <v>34834</v>
      </c>
      <c r="F25" s="31">
        <v>34834</v>
      </c>
      <c r="G25" s="31">
        <f>34834+1500</f>
        <v>36334</v>
      </c>
      <c r="H25" s="31">
        <v>34834</v>
      </c>
      <c r="I25" s="31">
        <v>34834</v>
      </c>
      <c r="J25" s="31">
        <v>34834</v>
      </c>
      <c r="K25" s="31">
        <v>34834</v>
      </c>
      <c r="L25" s="31">
        <v>34834</v>
      </c>
      <c r="M25" s="31">
        <v>34834</v>
      </c>
      <c r="N25" s="31">
        <v>34834</v>
      </c>
      <c r="O25" s="31">
        <f>34834-8</f>
        <v>34826</v>
      </c>
      <c r="P25" s="18">
        <f t="shared" si="1"/>
        <v>419500</v>
      </c>
    </row>
    <row r="26" spans="1:16" ht="12.75" customHeight="1">
      <c r="A26" s="105"/>
      <c r="B26" s="120" t="s">
        <v>87</v>
      </c>
      <c r="C26" s="160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</row>
    <row r="27" spans="1:16" ht="12.75" customHeight="1">
      <c r="A27" s="105"/>
      <c r="B27" s="120" t="s">
        <v>72</v>
      </c>
      <c r="C27" s="160">
        <v>714275</v>
      </c>
      <c r="D27" s="31">
        <f>59805+15</f>
        <v>59820</v>
      </c>
      <c r="E27" s="31">
        <v>59805</v>
      </c>
      <c r="F27" s="31">
        <v>59805</v>
      </c>
      <c r="G27" s="31">
        <v>59805</v>
      </c>
      <c r="H27" s="31">
        <v>59805</v>
      </c>
      <c r="I27" s="31">
        <v>59805</v>
      </c>
      <c r="J27" s="31">
        <v>59805</v>
      </c>
      <c r="K27" s="31">
        <v>59805</v>
      </c>
      <c r="L27" s="31">
        <v>59805</v>
      </c>
      <c r="M27" s="31">
        <v>59805</v>
      </c>
      <c r="N27" s="31">
        <v>59805</v>
      </c>
      <c r="O27" s="31">
        <f>59805-3400</f>
        <v>56405</v>
      </c>
      <c r="P27" s="18">
        <f t="shared" si="1"/>
        <v>714275</v>
      </c>
    </row>
    <row r="28" spans="1:16" ht="12.75" customHeight="1">
      <c r="A28" s="105"/>
      <c r="B28" s="120" t="s">
        <v>73</v>
      </c>
      <c r="C28" s="160">
        <v>100000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100000</v>
      </c>
      <c r="P28" s="18">
        <f t="shared" si="1"/>
        <v>100000</v>
      </c>
    </row>
    <row r="29" spans="1:16" ht="12.75" customHeight="1">
      <c r="A29" s="105"/>
      <c r="B29" s="120" t="s">
        <v>74</v>
      </c>
      <c r="C29" s="160">
        <v>839049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839049</v>
      </c>
      <c r="P29" s="18">
        <f t="shared" si="1"/>
        <v>839049</v>
      </c>
    </row>
    <row r="30" spans="1:16" ht="15" customHeight="1">
      <c r="A30" s="32" t="s">
        <v>17</v>
      </c>
      <c r="B30" s="33" t="s">
        <v>79</v>
      </c>
      <c r="C30" s="18">
        <f aca="true" t="shared" si="4" ref="C30:O30">SUM(C31:C33)</f>
        <v>9152999</v>
      </c>
      <c r="D30" s="18">
        <f>SUM(D31:D33)</f>
        <v>323118</v>
      </c>
      <c r="E30" s="18">
        <f t="shared" si="4"/>
        <v>735912.25</v>
      </c>
      <c r="F30" s="18">
        <f t="shared" si="4"/>
        <v>821136.25</v>
      </c>
      <c r="G30" s="18">
        <f t="shared" si="4"/>
        <v>690927.25</v>
      </c>
      <c r="H30" s="18">
        <f t="shared" si="4"/>
        <v>538146</v>
      </c>
      <c r="I30" s="18">
        <f t="shared" si="4"/>
        <v>914444</v>
      </c>
      <c r="J30" s="18">
        <f t="shared" si="4"/>
        <v>830466</v>
      </c>
      <c r="K30" s="18">
        <f t="shared" si="4"/>
        <v>507707</v>
      </c>
      <c r="L30" s="18">
        <f t="shared" si="4"/>
        <v>326809</v>
      </c>
      <c r="M30" s="18">
        <f t="shared" si="4"/>
        <v>483388</v>
      </c>
      <c r="N30" s="18">
        <f t="shared" si="4"/>
        <v>215421</v>
      </c>
      <c r="O30" s="18">
        <f t="shared" si="4"/>
        <v>2765524</v>
      </c>
      <c r="P30" s="18">
        <f>SUM(D30:O30)</f>
        <v>9152998.75</v>
      </c>
    </row>
    <row r="31" spans="1:16" ht="15" customHeight="1">
      <c r="A31" s="28"/>
      <c r="B31" s="44" t="s">
        <v>69</v>
      </c>
      <c r="C31" s="128">
        <v>5130588</v>
      </c>
      <c r="D31" s="128">
        <f>612753+412355-712628-12623</f>
        <v>299857</v>
      </c>
      <c r="E31" s="128">
        <f>314961/4+1092+11276+1000-10000+875123+1235212-712628-712628-150000+10960</f>
        <v>628147.25</v>
      </c>
      <c r="F31" s="128">
        <f>314961/4+1092+11000+1000-10000+300000+875322+1253223-712628-712628-400000</f>
        <v>685121.25</v>
      </c>
      <c r="G31" s="128">
        <f>314961/4+1092+12000+1000-10000+521325+800323-712628-150000</f>
        <v>541852.25</v>
      </c>
      <c r="H31" s="128">
        <f>1092+12000+1000+503665+623123-712628</f>
        <v>428252</v>
      </c>
      <c r="I31" s="128">
        <f>1092+1000+3000+75121+300000+1123253-712628</f>
        <v>790838</v>
      </c>
      <c r="J31" s="128">
        <f>1092+1000+2000+25256+300000-80000-6641-123623+900000+400521-712628</f>
        <v>706977</v>
      </c>
      <c r="K31" s="128">
        <f>1092+1000+5000+15032+200000-112351+1200333+470108-712628-712628</f>
        <v>354958</v>
      </c>
      <c r="L31" s="128">
        <f>1092+1000+3000+124+214300+150000-80000-132421</f>
        <v>157095</v>
      </c>
      <c r="M31" s="128">
        <f>1092+1000+7000+147+50000+136500+125322</f>
        <v>321061</v>
      </c>
      <c r="N31" s="128">
        <f>1092+1000+1000+1896+37650+3520+120000-60000</f>
        <v>106158</v>
      </c>
      <c r="O31" s="128">
        <f>1092+1000+15092+50000+10015+103072-70000</f>
        <v>110271</v>
      </c>
      <c r="P31" s="18">
        <f t="shared" si="1"/>
        <v>5130587.75</v>
      </c>
    </row>
    <row r="32" spans="1:16" ht="15" customHeight="1">
      <c r="A32" s="28"/>
      <c r="B32" s="44" t="s">
        <v>70</v>
      </c>
      <c r="C32" s="128">
        <v>276928</v>
      </c>
      <c r="D32" s="128">
        <f>3782+1667+4415</f>
        <v>9864</v>
      </c>
      <c r="E32" s="128">
        <f>3497+8000+1667+4415</f>
        <v>17579</v>
      </c>
      <c r="F32" s="128">
        <f>3495+1667+4415</f>
        <v>9577</v>
      </c>
      <c r="G32" s="128">
        <f>3473+1667+4415</f>
        <v>9555</v>
      </c>
      <c r="H32" s="128">
        <f>3459+1667+40000-35641+4415</f>
        <v>13900</v>
      </c>
      <c r="I32" s="128">
        <f>3438+1667+40000-23561+4415</f>
        <v>25959</v>
      </c>
      <c r="J32" s="128">
        <f>3423+1667+40000-24915+4415</f>
        <v>24590</v>
      </c>
      <c r="K32" s="128">
        <f>3405+1667+40000-13702+4415</f>
        <v>35785</v>
      </c>
      <c r="L32" s="128">
        <f>3387+1667-1+40000+86000+90000-150000-23541-12345+4415</f>
        <v>39582</v>
      </c>
      <c r="M32" s="128">
        <f>3086+1667-1+43644+91235+23005-100000-26412+4415</f>
        <v>40639</v>
      </c>
      <c r="N32" s="128">
        <f>1666+62142+70090+23542-100000-21432+4415</f>
        <v>40423</v>
      </c>
      <c r="O32" s="128">
        <f>1666+56836+86000+22560-162000+4415-2</f>
        <v>9475</v>
      </c>
      <c r="P32" s="18">
        <f t="shared" si="1"/>
        <v>276928</v>
      </c>
    </row>
    <row r="33" spans="1:16" ht="15" customHeight="1">
      <c r="A33" s="28"/>
      <c r="B33" s="44" t="s">
        <v>53</v>
      </c>
      <c r="C33" s="128">
        <f>SUM(C34:C37)</f>
        <v>3745483</v>
      </c>
      <c r="D33" s="128">
        <f aca="true" t="shared" si="5" ref="D33:N33">SUM(D34:D37)</f>
        <v>13397</v>
      </c>
      <c r="E33" s="128">
        <f t="shared" si="5"/>
        <v>90186</v>
      </c>
      <c r="F33" s="128">
        <f t="shared" si="5"/>
        <v>126438</v>
      </c>
      <c r="G33" s="128">
        <f t="shared" si="5"/>
        <v>139520</v>
      </c>
      <c r="H33" s="128">
        <f t="shared" si="5"/>
        <v>95994</v>
      </c>
      <c r="I33" s="128">
        <f t="shared" si="5"/>
        <v>97647</v>
      </c>
      <c r="J33" s="128">
        <f t="shared" si="5"/>
        <v>98899</v>
      </c>
      <c r="K33" s="128">
        <f t="shared" si="5"/>
        <v>116964</v>
      </c>
      <c r="L33" s="128">
        <f t="shared" si="5"/>
        <v>130132</v>
      </c>
      <c r="M33" s="128">
        <f t="shared" si="5"/>
        <v>121688</v>
      </c>
      <c r="N33" s="128">
        <f t="shared" si="5"/>
        <v>68840</v>
      </c>
      <c r="O33" s="128">
        <f>SUM(O34:O37)</f>
        <v>2645778</v>
      </c>
      <c r="P33" s="18">
        <f t="shared" si="1"/>
        <v>3745483</v>
      </c>
    </row>
    <row r="34" spans="1:16" ht="15" customHeight="1">
      <c r="A34" s="32"/>
      <c r="B34" s="127" t="s">
        <v>75</v>
      </c>
      <c r="C34" s="128">
        <v>10000</v>
      </c>
      <c r="D34" s="128"/>
      <c r="E34" s="128">
        <v>1250</v>
      </c>
      <c r="F34" s="128">
        <v>4500</v>
      </c>
      <c r="G34" s="128"/>
      <c r="H34" s="128"/>
      <c r="I34" s="128">
        <v>4250</v>
      </c>
      <c r="J34" s="128"/>
      <c r="K34" s="128"/>
      <c r="L34" s="128"/>
      <c r="M34" s="128"/>
      <c r="N34" s="128"/>
      <c r="O34" s="128"/>
      <c r="P34" s="18">
        <f t="shared" si="1"/>
        <v>10000</v>
      </c>
    </row>
    <row r="35" spans="1:16" ht="15" customHeight="1">
      <c r="A35" s="28"/>
      <c r="B35" s="44" t="s">
        <v>76</v>
      </c>
      <c r="C35" s="128">
        <v>1160999</v>
      </c>
      <c r="D35" s="128">
        <v>13397</v>
      </c>
      <c r="E35" s="128">
        <f>15000+36975+23564+13397</f>
        <v>88936</v>
      </c>
      <c r="F35" s="128">
        <f>20000+29750-4750+40000+23541+13397</f>
        <v>121938</v>
      </c>
      <c r="G35" s="128">
        <f>30000+40000+56123+13397</f>
        <v>139520</v>
      </c>
      <c r="H35" s="128">
        <f>40000+40000+2597+13397</f>
        <v>95994</v>
      </c>
      <c r="I35" s="128">
        <f>40000+40000+13397</f>
        <v>93397</v>
      </c>
      <c r="J35" s="128">
        <f>40000+40000+5502+13397</f>
        <v>98899</v>
      </c>
      <c r="K35" s="128">
        <f>30000+40000+21234+12333+13397</f>
        <v>116964</v>
      </c>
      <c r="L35" s="128">
        <f>30000+40000+25312+21423+13397</f>
        <v>130132</v>
      </c>
      <c r="M35" s="128">
        <f>30000+40000+21325+16966+13397</f>
        <v>121688</v>
      </c>
      <c r="N35" s="128">
        <f>20000+40000+12356-10000+769-7682+13397</f>
        <v>68840</v>
      </c>
      <c r="O35" s="128">
        <f>24750-3000+40000+20181-10000-356+9652-23333+13397+3</f>
        <v>71294</v>
      </c>
      <c r="P35" s="18">
        <f t="shared" si="1"/>
        <v>1160999</v>
      </c>
    </row>
    <row r="36" spans="1:16" ht="15" customHeight="1">
      <c r="A36" s="28"/>
      <c r="B36" s="44" t="s">
        <v>88</v>
      </c>
      <c r="C36" s="128"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8">
        <f t="shared" si="1"/>
        <v>0</v>
      </c>
    </row>
    <row r="37" spans="1:16" ht="15" customHeight="1">
      <c r="A37" s="28"/>
      <c r="B37" s="44" t="s">
        <v>77</v>
      </c>
      <c r="C37" s="128">
        <v>2574484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v>2574484</v>
      </c>
      <c r="P37" s="18">
        <f>SUM(D37:O37)</f>
        <v>2574484</v>
      </c>
    </row>
    <row r="38" spans="1:16" ht="15" customHeight="1">
      <c r="A38" s="105"/>
      <c r="B38" s="106" t="s">
        <v>80</v>
      </c>
      <c r="C38" s="30">
        <f>SUM(C17,C30)</f>
        <v>29472102</v>
      </c>
      <c r="D38" s="30">
        <f>SUM(D17,D30)</f>
        <v>1932608</v>
      </c>
      <c r="E38" s="30">
        <f aca="true" t="shared" si="6" ref="E38:N38">SUM(E17,E30)</f>
        <v>2347387.25</v>
      </c>
      <c r="F38" s="30">
        <f t="shared" si="6"/>
        <v>2431127.25</v>
      </c>
      <c r="G38" s="30">
        <f t="shared" si="6"/>
        <v>2419195.25</v>
      </c>
      <c r="H38" s="30">
        <f t="shared" si="6"/>
        <v>2136633</v>
      </c>
      <c r="I38" s="30">
        <f t="shared" si="6"/>
        <v>2478138</v>
      </c>
      <c r="J38" s="30">
        <f t="shared" si="6"/>
        <v>2386941</v>
      </c>
      <c r="K38" s="30">
        <f t="shared" si="6"/>
        <v>2071182</v>
      </c>
      <c r="L38" s="30">
        <f t="shared" si="6"/>
        <v>1883284</v>
      </c>
      <c r="M38" s="30">
        <f t="shared" si="6"/>
        <v>2044339</v>
      </c>
      <c r="N38" s="30">
        <f t="shared" si="6"/>
        <v>1817266</v>
      </c>
      <c r="O38" s="30">
        <f>SUM(O17,O30)</f>
        <v>5524001</v>
      </c>
      <c r="P38" s="18">
        <f>SUM(D38:O38)</f>
        <v>29472101.75</v>
      </c>
    </row>
    <row r="39" spans="1:16" ht="15" customHeight="1">
      <c r="A39" s="32"/>
      <c r="B39" s="127" t="s">
        <v>81</v>
      </c>
      <c r="C39" s="128">
        <v>6176219</v>
      </c>
      <c r="D39" s="95">
        <v>514560</v>
      </c>
      <c r="E39" s="95">
        <v>514560</v>
      </c>
      <c r="F39" s="95">
        <v>514560</v>
      </c>
      <c r="G39" s="95">
        <v>514560</v>
      </c>
      <c r="H39" s="95">
        <v>514560</v>
      </c>
      <c r="I39" s="95">
        <v>514560</v>
      </c>
      <c r="J39" s="95">
        <v>514560</v>
      </c>
      <c r="K39" s="95">
        <v>514560</v>
      </c>
      <c r="L39" s="95">
        <v>514560</v>
      </c>
      <c r="M39" s="95">
        <v>514560</v>
      </c>
      <c r="N39" s="95">
        <v>514560</v>
      </c>
      <c r="O39" s="95">
        <f>514560-1+1500</f>
        <v>516059</v>
      </c>
      <c r="P39" s="18">
        <f t="shared" si="1"/>
        <v>6176219</v>
      </c>
    </row>
    <row r="40" spans="1:16" ht="15" customHeight="1">
      <c r="A40" s="32"/>
      <c r="B40" s="127" t="s">
        <v>95</v>
      </c>
      <c r="C40" s="128">
        <v>110323</v>
      </c>
      <c r="D40" s="101">
        <v>110323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110323</v>
      </c>
    </row>
    <row r="41" spans="1:16" ht="15" customHeight="1">
      <c r="A41" s="32" t="s">
        <v>18</v>
      </c>
      <c r="B41" s="33" t="s">
        <v>82</v>
      </c>
      <c r="C41" s="18">
        <f>SUM(C39)+C40</f>
        <v>6286542</v>
      </c>
      <c r="D41" s="18">
        <f>SUM(D39)+D40</f>
        <v>624883</v>
      </c>
      <c r="E41" s="18">
        <f aca="true" t="shared" si="7" ref="E41:O41">SUM(E39)+E40</f>
        <v>514560</v>
      </c>
      <c r="F41" s="18">
        <f t="shared" si="7"/>
        <v>514560</v>
      </c>
      <c r="G41" s="18">
        <f t="shared" si="7"/>
        <v>514560</v>
      </c>
      <c r="H41" s="18">
        <f t="shared" si="7"/>
        <v>514560</v>
      </c>
      <c r="I41" s="18">
        <f t="shared" si="7"/>
        <v>514560</v>
      </c>
      <c r="J41" s="18">
        <f t="shared" si="7"/>
        <v>514560</v>
      </c>
      <c r="K41" s="18">
        <f t="shared" si="7"/>
        <v>514560</v>
      </c>
      <c r="L41" s="18">
        <f t="shared" si="7"/>
        <v>514560</v>
      </c>
      <c r="M41" s="18">
        <f t="shared" si="7"/>
        <v>514560</v>
      </c>
      <c r="N41" s="18">
        <f t="shared" si="7"/>
        <v>514560</v>
      </c>
      <c r="O41" s="18">
        <f t="shared" si="7"/>
        <v>516059</v>
      </c>
      <c r="P41" s="18">
        <f>SUM(P39)+P40</f>
        <v>6286542</v>
      </c>
    </row>
    <row r="42" spans="1:16" ht="15" customHeight="1">
      <c r="A42" s="32"/>
      <c r="B42" s="127" t="s">
        <v>83</v>
      </c>
      <c r="C42" s="1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8">
        <f t="shared" si="1"/>
        <v>0</v>
      </c>
    </row>
    <row r="43" spans="1:16" ht="15" customHeight="1">
      <c r="A43" s="35"/>
      <c r="B43" s="132" t="s">
        <v>84</v>
      </c>
      <c r="C43" s="160">
        <v>241151</v>
      </c>
      <c r="D43" s="102">
        <v>20096</v>
      </c>
      <c r="E43" s="102">
        <v>20096</v>
      </c>
      <c r="F43" s="102">
        <v>20096</v>
      </c>
      <c r="G43" s="102">
        <v>20096</v>
      </c>
      <c r="H43" s="102">
        <v>20096</v>
      </c>
      <c r="I43" s="102">
        <v>20096</v>
      </c>
      <c r="J43" s="102">
        <v>20096</v>
      </c>
      <c r="K43" s="102">
        <v>20096</v>
      </c>
      <c r="L43" s="102">
        <v>20096</v>
      </c>
      <c r="M43" s="102">
        <v>20096</v>
      </c>
      <c r="N43" s="102">
        <v>20096</v>
      </c>
      <c r="O43" s="102">
        <v>20095</v>
      </c>
      <c r="P43" s="18">
        <f t="shared" si="1"/>
        <v>241151</v>
      </c>
    </row>
    <row r="44" spans="1:16" ht="15" customHeight="1">
      <c r="A44" s="35" t="s">
        <v>19</v>
      </c>
      <c r="B44" s="40" t="s">
        <v>85</v>
      </c>
      <c r="C44" s="30">
        <f>SUM(C42:C43)</f>
        <v>241151</v>
      </c>
      <c r="D44" s="30">
        <f>SUM(D42:D43)</f>
        <v>20096</v>
      </c>
      <c r="E44" s="30">
        <f aca="true" t="shared" si="8" ref="E44:O44">SUM(E42:E43)</f>
        <v>20096</v>
      </c>
      <c r="F44" s="30">
        <f t="shared" si="8"/>
        <v>20096</v>
      </c>
      <c r="G44" s="30">
        <f t="shared" si="8"/>
        <v>20096</v>
      </c>
      <c r="H44" s="30">
        <f t="shared" si="8"/>
        <v>20096</v>
      </c>
      <c r="I44" s="30">
        <f t="shared" si="8"/>
        <v>20096</v>
      </c>
      <c r="J44" s="30">
        <f t="shared" si="8"/>
        <v>20096</v>
      </c>
      <c r="K44" s="30">
        <f t="shared" si="8"/>
        <v>20096</v>
      </c>
      <c r="L44" s="30">
        <f t="shared" si="8"/>
        <v>20096</v>
      </c>
      <c r="M44" s="30">
        <f t="shared" si="8"/>
        <v>20096</v>
      </c>
      <c r="N44" s="30">
        <f t="shared" si="8"/>
        <v>20096</v>
      </c>
      <c r="O44" s="30">
        <f t="shared" si="8"/>
        <v>20095</v>
      </c>
      <c r="P44" s="18">
        <f>SUM(D44:O44)</f>
        <v>241151</v>
      </c>
    </row>
    <row r="45" spans="1:17" s="129" customFormat="1" ht="15" customHeight="1">
      <c r="A45" s="126"/>
      <c r="B45" s="127" t="s">
        <v>91</v>
      </c>
      <c r="C45" s="131"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8">
        <f>SUM(D45:O45)</f>
        <v>0</v>
      </c>
      <c r="Q45" s="130"/>
    </row>
    <row r="46" spans="1:16" ht="15" customHeight="1" thickBot="1">
      <c r="A46" s="45" t="s">
        <v>89</v>
      </c>
      <c r="B46" s="52" t="s">
        <v>90</v>
      </c>
      <c r="C46" s="46">
        <f>+C41+C44+C45</f>
        <v>6527693</v>
      </c>
      <c r="D46" s="46">
        <f>+D41+D43+D45</f>
        <v>644979</v>
      </c>
      <c r="E46" s="46">
        <f aca="true" t="shared" si="9" ref="E46:O46">+E41+E43+E45</f>
        <v>534656</v>
      </c>
      <c r="F46" s="46">
        <f t="shared" si="9"/>
        <v>534656</v>
      </c>
      <c r="G46" s="46">
        <f t="shared" si="9"/>
        <v>534656</v>
      </c>
      <c r="H46" s="46">
        <f t="shared" si="9"/>
        <v>534656</v>
      </c>
      <c r="I46" s="46">
        <f t="shared" si="9"/>
        <v>534656</v>
      </c>
      <c r="J46" s="46">
        <f t="shared" si="9"/>
        <v>534656</v>
      </c>
      <c r="K46" s="46">
        <f t="shared" si="9"/>
        <v>534656</v>
      </c>
      <c r="L46" s="46">
        <f t="shared" si="9"/>
        <v>534656</v>
      </c>
      <c r="M46" s="46">
        <f t="shared" si="9"/>
        <v>534656</v>
      </c>
      <c r="N46" s="46">
        <f t="shared" si="9"/>
        <v>534656</v>
      </c>
      <c r="O46" s="46">
        <f t="shared" si="9"/>
        <v>536154</v>
      </c>
      <c r="P46" s="46">
        <f>SUM(D46:O46)</f>
        <v>6527693</v>
      </c>
    </row>
    <row r="47" spans="1:16" ht="15" customHeight="1" thickBot="1">
      <c r="A47" s="192" t="s">
        <v>20</v>
      </c>
      <c r="B47" s="193"/>
      <c r="C47" s="34">
        <f>SUM(C38,C41,C44)+C45</f>
        <v>35999795</v>
      </c>
      <c r="D47" s="34">
        <f>SUM(D38,D41,D44)+1+D45</f>
        <v>2577588</v>
      </c>
      <c r="E47" s="34">
        <f aca="true" t="shared" si="10" ref="E47:N47">SUM(E38,E41,E44)+1+E45</f>
        <v>2882044.25</v>
      </c>
      <c r="F47" s="34">
        <f t="shared" si="10"/>
        <v>2965784.25</v>
      </c>
      <c r="G47" s="34">
        <f t="shared" si="10"/>
        <v>2953852.25</v>
      </c>
      <c r="H47" s="34">
        <f t="shared" si="10"/>
        <v>2671290</v>
      </c>
      <c r="I47" s="34">
        <f t="shared" si="10"/>
        <v>3012795</v>
      </c>
      <c r="J47" s="34">
        <f t="shared" si="10"/>
        <v>2921598</v>
      </c>
      <c r="K47" s="34">
        <f t="shared" si="10"/>
        <v>2605839</v>
      </c>
      <c r="L47" s="34">
        <f t="shared" si="10"/>
        <v>2417941</v>
      </c>
      <c r="M47" s="34">
        <f t="shared" si="10"/>
        <v>2578996</v>
      </c>
      <c r="N47" s="34">
        <f t="shared" si="10"/>
        <v>2351923</v>
      </c>
      <c r="O47" s="34">
        <f>SUM(O38,O41,O44)+O45</f>
        <v>6060155</v>
      </c>
      <c r="P47" s="34">
        <f>SUM(P38,P41,P44)+P45</f>
        <v>35999794.75</v>
      </c>
    </row>
    <row r="48" spans="1:17" s="16" customFormat="1" ht="15" customHeight="1">
      <c r="A48" s="75"/>
      <c r="B48" s="121" t="s">
        <v>50</v>
      </c>
      <c r="C48" s="54">
        <f>-C39</f>
        <v>-6176219</v>
      </c>
      <c r="D48" s="18">
        <f>-D39</f>
        <v>-514560</v>
      </c>
      <c r="E48" s="18">
        <f aca="true" t="shared" si="11" ref="E48:O48">-E39</f>
        <v>-514560</v>
      </c>
      <c r="F48" s="18">
        <f t="shared" si="11"/>
        <v>-514560</v>
      </c>
      <c r="G48" s="18">
        <f t="shared" si="11"/>
        <v>-514560</v>
      </c>
      <c r="H48" s="18">
        <f t="shared" si="11"/>
        <v>-514560</v>
      </c>
      <c r="I48" s="18">
        <f t="shared" si="11"/>
        <v>-514560</v>
      </c>
      <c r="J48" s="18">
        <f t="shared" si="11"/>
        <v>-514560</v>
      </c>
      <c r="K48" s="18">
        <f t="shared" si="11"/>
        <v>-514560</v>
      </c>
      <c r="L48" s="18">
        <f t="shared" si="11"/>
        <v>-514560</v>
      </c>
      <c r="M48" s="18">
        <f t="shared" si="11"/>
        <v>-514560</v>
      </c>
      <c r="N48" s="18">
        <f t="shared" si="11"/>
        <v>-514560</v>
      </c>
      <c r="O48" s="18">
        <f t="shared" si="11"/>
        <v>-516059</v>
      </c>
      <c r="P48" s="109">
        <f t="shared" si="1"/>
        <v>-6176219</v>
      </c>
      <c r="Q48" s="130"/>
    </row>
    <row r="49" spans="1:17" s="16" customFormat="1" ht="15" customHeight="1">
      <c r="A49" s="76"/>
      <c r="B49" s="122" t="s">
        <v>51</v>
      </c>
      <c r="C49" s="55">
        <f>-C43</f>
        <v>-241151</v>
      </c>
      <c r="D49" s="55">
        <f aca="true" t="shared" si="12" ref="D49:M49">-SUM(D43)</f>
        <v>-20096</v>
      </c>
      <c r="E49" s="55">
        <f t="shared" si="12"/>
        <v>-20096</v>
      </c>
      <c r="F49" s="55">
        <f t="shared" si="12"/>
        <v>-20096</v>
      </c>
      <c r="G49" s="55">
        <f t="shared" si="12"/>
        <v>-20096</v>
      </c>
      <c r="H49" s="55">
        <f t="shared" si="12"/>
        <v>-20096</v>
      </c>
      <c r="I49" s="55">
        <f t="shared" si="12"/>
        <v>-20096</v>
      </c>
      <c r="J49" s="55">
        <f t="shared" si="12"/>
        <v>-20096</v>
      </c>
      <c r="K49" s="55">
        <f t="shared" si="12"/>
        <v>-20096</v>
      </c>
      <c r="L49" s="55">
        <f t="shared" si="12"/>
        <v>-20096</v>
      </c>
      <c r="M49" s="55">
        <f t="shared" si="12"/>
        <v>-20096</v>
      </c>
      <c r="N49" s="55">
        <f>-SUM(N43)</f>
        <v>-20096</v>
      </c>
      <c r="O49" s="55">
        <f>-SUM(O43)</f>
        <v>-20095</v>
      </c>
      <c r="P49" s="111">
        <f t="shared" si="1"/>
        <v>-241151</v>
      </c>
      <c r="Q49" s="130"/>
    </row>
    <row r="50" spans="1:17" s="16" customFormat="1" ht="15" customHeight="1" thickBot="1">
      <c r="A50" s="53"/>
      <c r="B50" s="123" t="s">
        <v>54</v>
      </c>
      <c r="C50" s="56">
        <v>-740000</v>
      </c>
      <c r="D50" s="138">
        <f aca="true" t="shared" si="13" ref="D50:O50">$C$50/12</f>
        <v>-61666.666666666664</v>
      </c>
      <c r="E50" s="138">
        <f t="shared" si="13"/>
        <v>-61666.666666666664</v>
      </c>
      <c r="F50" s="138">
        <f t="shared" si="13"/>
        <v>-61666.666666666664</v>
      </c>
      <c r="G50" s="138">
        <f t="shared" si="13"/>
        <v>-61666.666666666664</v>
      </c>
      <c r="H50" s="138">
        <f t="shared" si="13"/>
        <v>-61666.666666666664</v>
      </c>
      <c r="I50" s="138">
        <f t="shared" si="13"/>
        <v>-61666.666666666664</v>
      </c>
      <c r="J50" s="138">
        <f t="shared" si="13"/>
        <v>-61666.666666666664</v>
      </c>
      <c r="K50" s="138">
        <f t="shared" si="13"/>
        <v>-61666.666666666664</v>
      </c>
      <c r="L50" s="138">
        <f t="shared" si="13"/>
        <v>-61666.666666666664</v>
      </c>
      <c r="M50" s="138">
        <f t="shared" si="13"/>
        <v>-61666.666666666664</v>
      </c>
      <c r="N50" s="138">
        <f t="shared" si="13"/>
        <v>-61666.666666666664</v>
      </c>
      <c r="O50" s="138">
        <f t="shared" si="13"/>
        <v>-61666.666666666664</v>
      </c>
      <c r="P50" s="110">
        <f>SUM(D50:O50)</f>
        <v>-739999.9999999999</v>
      </c>
      <c r="Q50" s="130"/>
    </row>
    <row r="51" spans="1:16" ht="15" customHeight="1" thickBot="1">
      <c r="A51" s="185" t="s">
        <v>21</v>
      </c>
      <c r="B51" s="186"/>
      <c r="C51" s="34">
        <f>SUM(C47:C50)</f>
        <v>28842425</v>
      </c>
      <c r="D51" s="34">
        <f aca="true" t="shared" si="14" ref="D51:N51">SUM(D47:D50)-1</f>
        <v>1981264.3333333333</v>
      </c>
      <c r="E51" s="34">
        <f t="shared" si="14"/>
        <v>2285720.5833333335</v>
      </c>
      <c r="F51" s="34">
        <f t="shared" si="14"/>
        <v>2369460.5833333335</v>
      </c>
      <c r="G51" s="34">
        <f t="shared" si="14"/>
        <v>2357528.5833333335</v>
      </c>
      <c r="H51" s="34">
        <f t="shared" si="14"/>
        <v>2074966.3333333333</v>
      </c>
      <c r="I51" s="34">
        <f t="shared" si="14"/>
        <v>2416471.3333333335</v>
      </c>
      <c r="J51" s="34">
        <f t="shared" si="14"/>
        <v>2325274.3333333335</v>
      </c>
      <c r="K51" s="34">
        <f t="shared" si="14"/>
        <v>2009515.3333333333</v>
      </c>
      <c r="L51" s="34">
        <f t="shared" si="14"/>
        <v>1821617.3333333333</v>
      </c>
      <c r="M51" s="34">
        <f t="shared" si="14"/>
        <v>1982672.3333333333</v>
      </c>
      <c r="N51" s="34">
        <f t="shared" si="14"/>
        <v>1755599.3333333333</v>
      </c>
      <c r="O51" s="34">
        <f>SUM(O47:O50)</f>
        <v>5462334.333333333</v>
      </c>
      <c r="P51" s="34">
        <f>SUM(D51:O51)</f>
        <v>28842424.749999996</v>
      </c>
    </row>
    <row r="52" spans="3:12" ht="15">
      <c r="C52" s="164"/>
      <c r="L52" s="27"/>
    </row>
    <row r="53" ht="12.75">
      <c r="C53" s="124"/>
    </row>
    <row r="54" ht="12.75">
      <c r="C54" s="125"/>
    </row>
  </sheetData>
  <sheetProtection/>
  <mergeCells count="21">
    <mergeCell ref="A47:B47"/>
    <mergeCell ref="A8:P8"/>
    <mergeCell ref="E14:E15"/>
    <mergeCell ref="K14:K15"/>
    <mergeCell ref="A51:B51"/>
    <mergeCell ref="L14:L15"/>
    <mergeCell ref="N14:N15"/>
    <mergeCell ref="A14:B15"/>
    <mergeCell ref="I14:I15"/>
    <mergeCell ref="A16:B16"/>
    <mergeCell ref="C14:C15"/>
    <mergeCell ref="G14:G15"/>
    <mergeCell ref="D14:D15"/>
    <mergeCell ref="J14:J15"/>
    <mergeCell ref="F14:F15"/>
    <mergeCell ref="O2:P2"/>
    <mergeCell ref="H14:H15"/>
    <mergeCell ref="M14:M15"/>
    <mergeCell ref="O14:O15"/>
    <mergeCell ref="P14:P15"/>
    <mergeCell ref="O7:P7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Q1" sqref="Q1:X1638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6384" width="9.125" style="2" customWidth="1"/>
  </cols>
  <sheetData>
    <row r="1" spans="1:16" ht="14.25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7" t="s">
        <v>94</v>
      </c>
      <c r="O2" s="197"/>
      <c r="P2" s="197"/>
    </row>
    <row r="3" spans="14:16" ht="12.75" customHeight="1" thickBot="1">
      <c r="N3" s="198" t="s">
        <v>22</v>
      </c>
      <c r="O3" s="198"/>
      <c r="P3" s="198"/>
    </row>
    <row r="4" spans="2:16" ht="10.5" customHeight="1" thickBot="1">
      <c r="B4" s="2"/>
      <c r="D4" s="199" t="s">
        <v>23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7"/>
    </row>
    <row r="5" spans="1:16" s="8" customFormat="1" ht="8.25" customHeight="1" thickBot="1">
      <c r="A5" s="202" t="s">
        <v>1</v>
      </c>
      <c r="B5" s="203"/>
      <c r="C5" s="91" t="s">
        <v>101</v>
      </c>
      <c r="D5" s="206" t="s">
        <v>24</v>
      </c>
      <c r="E5" s="200" t="s">
        <v>25</v>
      </c>
      <c r="F5" s="200" t="s">
        <v>26</v>
      </c>
      <c r="G5" s="200" t="s">
        <v>27</v>
      </c>
      <c r="H5" s="200" t="s">
        <v>28</v>
      </c>
      <c r="I5" s="200" t="s">
        <v>29</v>
      </c>
      <c r="J5" s="200" t="s">
        <v>30</v>
      </c>
      <c r="K5" s="200" t="s">
        <v>67</v>
      </c>
      <c r="L5" s="200" t="s">
        <v>31</v>
      </c>
      <c r="M5" s="200" t="s">
        <v>32</v>
      </c>
      <c r="N5" s="200" t="s">
        <v>33</v>
      </c>
      <c r="O5" s="208" t="s">
        <v>34</v>
      </c>
      <c r="P5" s="210" t="s">
        <v>35</v>
      </c>
    </row>
    <row r="6" spans="1:16" s="8" customFormat="1" ht="8.25" customHeight="1">
      <c r="A6" s="204"/>
      <c r="B6" s="205"/>
      <c r="C6" s="92" t="s">
        <v>97</v>
      </c>
      <c r="D6" s="207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9"/>
      <c r="P6" s="211"/>
    </row>
    <row r="7" spans="1:16" s="12" customFormat="1" ht="12" thickBot="1">
      <c r="A7" s="212">
        <v>1</v>
      </c>
      <c r="B7" s="213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8">
        <v>15</v>
      </c>
    </row>
    <row r="8" spans="1:16" s="14" customFormat="1" ht="12.75" customHeight="1">
      <c r="A8" s="62" t="s">
        <v>15</v>
      </c>
      <c r="B8" s="77" t="s">
        <v>43</v>
      </c>
      <c r="C8" s="95">
        <v>2758072</v>
      </c>
      <c r="D8" s="37">
        <v>229839</v>
      </c>
      <c r="E8" s="37">
        <v>229839</v>
      </c>
      <c r="F8" s="37">
        <v>229839</v>
      </c>
      <c r="G8" s="37">
        <v>229839</v>
      </c>
      <c r="H8" s="37">
        <v>229839</v>
      </c>
      <c r="I8" s="37">
        <v>229839</v>
      </c>
      <c r="J8" s="37">
        <v>229839</v>
      </c>
      <c r="K8" s="37">
        <v>229839</v>
      </c>
      <c r="L8" s="37">
        <v>229839</v>
      </c>
      <c r="M8" s="37">
        <v>229839</v>
      </c>
      <c r="N8" s="37">
        <v>229839</v>
      </c>
      <c r="O8" s="37">
        <f>229839+4</f>
        <v>229843</v>
      </c>
      <c r="P8" s="94">
        <f>SUM(D8:O8)</f>
        <v>2758072</v>
      </c>
    </row>
    <row r="9" spans="1:16" s="38" customFormat="1" ht="12.75" customHeight="1">
      <c r="A9" s="63" t="s">
        <v>17</v>
      </c>
      <c r="B9" s="78" t="s">
        <v>44</v>
      </c>
      <c r="C9" s="95">
        <v>1024891</v>
      </c>
      <c r="D9" s="37">
        <v>85414</v>
      </c>
      <c r="E9" s="37">
        <v>85407</v>
      </c>
      <c r="F9" s="37">
        <v>85407</v>
      </c>
      <c r="G9" s="37">
        <v>85407</v>
      </c>
      <c r="H9" s="37">
        <v>85407</v>
      </c>
      <c r="I9" s="37">
        <v>85407</v>
      </c>
      <c r="J9" s="37">
        <v>85407</v>
      </c>
      <c r="K9" s="37">
        <v>85407</v>
      </c>
      <c r="L9" s="37">
        <v>85407</v>
      </c>
      <c r="M9" s="37">
        <v>85407</v>
      </c>
      <c r="N9" s="37">
        <v>85407</v>
      </c>
      <c r="O9" s="37">
        <v>85407</v>
      </c>
      <c r="P9" s="95">
        <f>SUM(D9:O9)</f>
        <v>1024891</v>
      </c>
    </row>
    <row r="10" spans="1:16" s="38" customFormat="1" ht="12.75" customHeight="1">
      <c r="A10" s="64" t="s">
        <v>24</v>
      </c>
      <c r="B10" s="79" t="s">
        <v>55</v>
      </c>
      <c r="C10" s="96">
        <f>SUM(C8:C9)</f>
        <v>3782963</v>
      </c>
      <c r="D10" s="59">
        <f aca="true" t="shared" si="0" ref="D10:P10">SUM(D8:D9)</f>
        <v>315253</v>
      </c>
      <c r="E10" s="59">
        <f t="shared" si="0"/>
        <v>315246</v>
      </c>
      <c r="F10" s="59">
        <f t="shared" si="0"/>
        <v>315246</v>
      </c>
      <c r="G10" s="59">
        <f t="shared" si="0"/>
        <v>315246</v>
      </c>
      <c r="H10" s="59">
        <f t="shared" si="0"/>
        <v>315246</v>
      </c>
      <c r="I10" s="59">
        <f t="shared" si="0"/>
        <v>315246</v>
      </c>
      <c r="J10" s="59">
        <f t="shared" si="0"/>
        <v>315246</v>
      </c>
      <c r="K10" s="59">
        <f t="shared" si="0"/>
        <v>315246</v>
      </c>
      <c r="L10" s="59">
        <f t="shared" si="0"/>
        <v>315246</v>
      </c>
      <c r="M10" s="59">
        <f t="shared" si="0"/>
        <v>315246</v>
      </c>
      <c r="N10" s="59">
        <f t="shared" si="0"/>
        <v>315246</v>
      </c>
      <c r="O10" s="113">
        <f t="shared" si="0"/>
        <v>315250</v>
      </c>
      <c r="P10" s="96">
        <f t="shared" si="0"/>
        <v>3782963</v>
      </c>
    </row>
    <row r="11" spans="1:16" s="16" customFormat="1" ht="12.75" customHeight="1">
      <c r="A11" s="63" t="s">
        <v>15</v>
      </c>
      <c r="B11" s="78" t="s">
        <v>36</v>
      </c>
      <c r="C11" s="95">
        <v>6695870</v>
      </c>
      <c r="D11" s="90">
        <f>18676+150253+46489</f>
        <v>215418</v>
      </c>
      <c r="E11" s="15">
        <f>192134+70254+46489</f>
        <v>308877</v>
      </c>
      <c r="F11" s="15">
        <f>990100+70000+102333+46489</f>
        <v>1208922</v>
      </c>
      <c r="G11" s="15">
        <f>673500+46494</f>
        <v>719994</v>
      </c>
      <c r="H11" s="15">
        <f>222485+90823+46489</f>
        <v>359797</v>
      </c>
      <c r="I11" s="15">
        <f>221240+46489</f>
        <v>267729</v>
      </c>
      <c r="J11" s="15">
        <f>176884+46489</f>
        <v>223373</v>
      </c>
      <c r="K11" s="15">
        <f>210375+46489</f>
        <v>256864</v>
      </c>
      <c r="L11" s="15">
        <f>1025799+69873+114783+46489</f>
        <v>1256944</v>
      </c>
      <c r="M11" s="15">
        <f>788654+210332+46489</f>
        <v>1045475</v>
      </c>
      <c r="N11" s="15">
        <f>229399+221498+46489</f>
        <v>497386</v>
      </c>
      <c r="O11" s="114">
        <f>288602+46489</f>
        <v>335091</v>
      </c>
      <c r="P11" s="97">
        <f>SUM(D11:O11)</f>
        <v>6695870</v>
      </c>
    </row>
    <row r="12" spans="1:16" s="16" customFormat="1" ht="12.75" customHeight="1">
      <c r="A12" s="63" t="s">
        <v>17</v>
      </c>
      <c r="B12" s="78" t="s">
        <v>56</v>
      </c>
      <c r="C12" s="95">
        <v>173210</v>
      </c>
      <c r="D12" s="90">
        <v>14434</v>
      </c>
      <c r="E12" s="15">
        <v>14434</v>
      </c>
      <c r="F12" s="15">
        <v>14434</v>
      </c>
      <c r="G12" s="15">
        <v>14434</v>
      </c>
      <c r="H12" s="15">
        <v>14434</v>
      </c>
      <c r="I12" s="15">
        <v>14434</v>
      </c>
      <c r="J12" s="15">
        <v>14434</v>
      </c>
      <c r="K12" s="15">
        <v>14434</v>
      </c>
      <c r="L12" s="15">
        <v>14434</v>
      </c>
      <c r="M12" s="15">
        <v>14434</v>
      </c>
      <c r="N12" s="15">
        <v>14434</v>
      </c>
      <c r="O12" s="114">
        <v>14436</v>
      </c>
      <c r="P12" s="97">
        <f>SUM(D12:O12)</f>
        <v>173210</v>
      </c>
    </row>
    <row r="13" spans="1:16" s="16" customFormat="1" ht="12.75" customHeight="1">
      <c r="A13" s="65" t="s">
        <v>25</v>
      </c>
      <c r="B13" s="79" t="s">
        <v>42</v>
      </c>
      <c r="C13" s="97">
        <f>SUM(C11:C12)</f>
        <v>6869080</v>
      </c>
      <c r="D13" s="13">
        <f>SUM(D11:D12)</f>
        <v>229852</v>
      </c>
      <c r="E13" s="13">
        <f aca="true" t="shared" si="1" ref="E13:P13">SUM(E11:E12)</f>
        <v>323311</v>
      </c>
      <c r="F13" s="13">
        <f t="shared" si="1"/>
        <v>1223356</v>
      </c>
      <c r="G13" s="13">
        <f t="shared" si="1"/>
        <v>734428</v>
      </c>
      <c r="H13" s="13">
        <f t="shared" si="1"/>
        <v>374231</v>
      </c>
      <c r="I13" s="13">
        <f t="shared" si="1"/>
        <v>282163</v>
      </c>
      <c r="J13" s="13">
        <f t="shared" si="1"/>
        <v>237807</v>
      </c>
      <c r="K13" s="13">
        <f t="shared" si="1"/>
        <v>271298</v>
      </c>
      <c r="L13" s="13">
        <f t="shared" si="1"/>
        <v>1271378</v>
      </c>
      <c r="M13" s="13">
        <f t="shared" si="1"/>
        <v>1059909</v>
      </c>
      <c r="N13" s="13">
        <f t="shared" si="1"/>
        <v>511820</v>
      </c>
      <c r="O13" s="115">
        <f t="shared" si="1"/>
        <v>349527</v>
      </c>
      <c r="P13" s="97">
        <f t="shared" si="1"/>
        <v>6869080</v>
      </c>
    </row>
    <row r="14" spans="1:16" s="14" customFormat="1" ht="12.75" customHeight="1">
      <c r="A14" s="66" t="s">
        <v>26</v>
      </c>
      <c r="B14" s="80" t="s">
        <v>57</v>
      </c>
      <c r="C14" s="97">
        <v>8862013</v>
      </c>
      <c r="D14" s="37">
        <v>738501</v>
      </c>
      <c r="E14" s="37">
        <v>738501</v>
      </c>
      <c r="F14" s="37">
        <v>738501</v>
      </c>
      <c r="G14" s="37">
        <v>738501</v>
      </c>
      <c r="H14" s="37">
        <v>738501</v>
      </c>
      <c r="I14" s="37">
        <v>738501</v>
      </c>
      <c r="J14" s="37">
        <v>738501</v>
      </c>
      <c r="K14" s="37">
        <v>738501</v>
      </c>
      <c r="L14" s="37">
        <v>738501</v>
      </c>
      <c r="M14" s="37">
        <v>738501</v>
      </c>
      <c r="N14" s="37">
        <v>738501</v>
      </c>
      <c r="O14" s="37">
        <v>738502</v>
      </c>
      <c r="P14" s="97">
        <f>SUM(D14:O14)</f>
        <v>8862013</v>
      </c>
    </row>
    <row r="15" spans="1:16" s="16" customFormat="1" ht="12.75" customHeight="1" thickBot="1">
      <c r="A15" s="65" t="s">
        <v>27</v>
      </c>
      <c r="B15" s="79" t="s">
        <v>45</v>
      </c>
      <c r="C15" s="97">
        <v>482</v>
      </c>
      <c r="D15" s="90"/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4"/>
      <c r="P15" s="97">
        <f>SUM(D15:O15)</f>
        <v>482</v>
      </c>
    </row>
    <row r="16" spans="1:16" s="16" customFormat="1" ht="12.75" customHeight="1" thickBot="1">
      <c r="A16" s="67"/>
      <c r="B16" s="81" t="s">
        <v>48</v>
      </c>
      <c r="C16" s="98">
        <f>SUM(C10+C13+C14+C15)</f>
        <v>19514538</v>
      </c>
      <c r="D16" s="98">
        <f aca="true" t="shared" si="2" ref="D16:P16">SUM(D10+D13+D14+D15)</f>
        <v>1283606</v>
      </c>
      <c r="E16" s="98">
        <f t="shared" si="2"/>
        <v>1377058</v>
      </c>
      <c r="F16" s="98">
        <f t="shared" si="2"/>
        <v>2277103</v>
      </c>
      <c r="G16" s="98">
        <f t="shared" si="2"/>
        <v>1788175</v>
      </c>
      <c r="H16" s="98">
        <f t="shared" si="2"/>
        <v>1427978</v>
      </c>
      <c r="I16" s="98">
        <f t="shared" si="2"/>
        <v>1336392</v>
      </c>
      <c r="J16" s="98">
        <f t="shared" si="2"/>
        <v>1291554</v>
      </c>
      <c r="K16" s="98">
        <f t="shared" si="2"/>
        <v>1325045</v>
      </c>
      <c r="L16" s="98">
        <f t="shared" si="2"/>
        <v>2325125</v>
      </c>
      <c r="M16" s="98">
        <f t="shared" si="2"/>
        <v>2113656</v>
      </c>
      <c r="N16" s="98">
        <f t="shared" si="2"/>
        <v>1565567</v>
      </c>
      <c r="O16" s="98">
        <f t="shared" si="2"/>
        <v>1403279</v>
      </c>
      <c r="P16" s="98">
        <f t="shared" si="2"/>
        <v>19514538</v>
      </c>
    </row>
    <row r="17" spans="1:16" s="16" customFormat="1" ht="12.75" customHeight="1">
      <c r="A17" s="68" t="s">
        <v>28</v>
      </c>
      <c r="B17" s="82" t="s">
        <v>58</v>
      </c>
      <c r="C17" s="99">
        <v>300000</v>
      </c>
      <c r="D17" s="37">
        <v>300000</v>
      </c>
      <c r="E17" s="41"/>
      <c r="F17" s="41"/>
      <c r="G17" s="41"/>
      <c r="H17" s="41"/>
      <c r="I17" s="41"/>
      <c r="J17" s="41"/>
      <c r="K17" s="41"/>
      <c r="L17" s="41"/>
      <c r="M17" s="41"/>
      <c r="N17" s="158"/>
      <c r="O17" s="159"/>
      <c r="P17" s="97">
        <f>SUM(D17:O17)</f>
        <v>300000</v>
      </c>
    </row>
    <row r="18" spans="1:16" s="16" customFormat="1" ht="12.75" customHeight="1">
      <c r="A18" s="65" t="s">
        <v>29</v>
      </c>
      <c r="B18" s="79" t="s">
        <v>41</v>
      </c>
      <c r="C18" s="97">
        <v>235645</v>
      </c>
      <c r="D18" s="59">
        <v>19637</v>
      </c>
      <c r="E18" s="61">
        <v>19637</v>
      </c>
      <c r="F18" s="61">
        <v>19637</v>
      </c>
      <c r="G18" s="61">
        <v>19637</v>
      </c>
      <c r="H18" s="61">
        <v>19637</v>
      </c>
      <c r="I18" s="61">
        <v>19637</v>
      </c>
      <c r="J18" s="61">
        <v>19637</v>
      </c>
      <c r="K18" s="61">
        <v>19637</v>
      </c>
      <c r="L18" s="61">
        <v>19637</v>
      </c>
      <c r="M18" s="61">
        <v>19637</v>
      </c>
      <c r="N18" s="61">
        <v>19637</v>
      </c>
      <c r="O18" s="117">
        <v>19638</v>
      </c>
      <c r="P18" s="97">
        <f>SUM(D18:O18)</f>
        <v>235645</v>
      </c>
    </row>
    <row r="19" spans="1:16" s="16" customFormat="1" ht="12.75" customHeight="1">
      <c r="A19" s="63" t="s">
        <v>15</v>
      </c>
      <c r="B19" s="78" t="s">
        <v>46</v>
      </c>
      <c r="C19" s="95">
        <v>163994</v>
      </c>
      <c r="D19" s="90">
        <v>13666</v>
      </c>
      <c r="E19" s="90">
        <v>13666</v>
      </c>
      <c r="F19" s="90">
        <v>13666</v>
      </c>
      <c r="G19" s="90">
        <v>13666</v>
      </c>
      <c r="H19" s="90">
        <v>13666</v>
      </c>
      <c r="I19" s="90">
        <v>13666</v>
      </c>
      <c r="J19" s="90">
        <v>13666</v>
      </c>
      <c r="K19" s="90">
        <v>13666</v>
      </c>
      <c r="L19" s="90">
        <v>13666</v>
      </c>
      <c r="M19" s="90">
        <v>13666</v>
      </c>
      <c r="N19" s="90">
        <v>13666</v>
      </c>
      <c r="O19" s="90">
        <v>13668</v>
      </c>
      <c r="P19" s="97">
        <f>SUM(D19:O19)</f>
        <v>163994</v>
      </c>
    </row>
    <row r="20" spans="1:16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8"/>
      <c r="P20" s="97">
        <f>SUM(D20:O20)</f>
        <v>0</v>
      </c>
    </row>
    <row r="21" spans="1:16" s="16" customFormat="1" ht="12.75" customHeight="1" thickBot="1">
      <c r="A21" s="64" t="s">
        <v>30</v>
      </c>
      <c r="B21" s="79" t="s">
        <v>59</v>
      </c>
      <c r="C21" s="97">
        <f>SUM(C19:C20)</f>
        <v>163994</v>
      </c>
      <c r="D21" s="13">
        <f>SUM(D19:D20)</f>
        <v>13666</v>
      </c>
      <c r="E21" s="13">
        <f aca="true" t="shared" si="3" ref="E21:O21">SUM(E19:E20)</f>
        <v>13666</v>
      </c>
      <c r="F21" s="13">
        <f t="shared" si="3"/>
        <v>13666</v>
      </c>
      <c r="G21" s="13">
        <f t="shared" si="3"/>
        <v>13666</v>
      </c>
      <c r="H21" s="13">
        <f t="shared" si="3"/>
        <v>13666</v>
      </c>
      <c r="I21" s="13">
        <f t="shared" si="3"/>
        <v>13666</v>
      </c>
      <c r="J21" s="13">
        <f t="shared" si="3"/>
        <v>13666</v>
      </c>
      <c r="K21" s="13">
        <f t="shared" si="3"/>
        <v>13666</v>
      </c>
      <c r="L21" s="13">
        <f t="shared" si="3"/>
        <v>13666</v>
      </c>
      <c r="M21" s="13">
        <f t="shared" si="3"/>
        <v>13666</v>
      </c>
      <c r="N21" s="13">
        <f t="shared" si="3"/>
        <v>13666</v>
      </c>
      <c r="O21" s="115">
        <f t="shared" si="3"/>
        <v>13668</v>
      </c>
      <c r="P21" s="97">
        <f>SUM(P19:P20)</f>
        <v>163994</v>
      </c>
    </row>
    <row r="22" spans="1:16" s="16" customFormat="1" ht="12.75" customHeight="1" thickBot="1">
      <c r="A22" s="69"/>
      <c r="B22" s="81" t="s">
        <v>49</v>
      </c>
      <c r="C22" s="98">
        <f>SUM(C17+C18+C21)</f>
        <v>699639</v>
      </c>
      <c r="D22" s="49">
        <f>SUM(D17+D18+D21)</f>
        <v>333303</v>
      </c>
      <c r="E22" s="49">
        <f aca="true" t="shared" si="4" ref="E22:O22">SUM(E17+E18+E21)</f>
        <v>33303</v>
      </c>
      <c r="F22" s="49">
        <f t="shared" si="4"/>
        <v>33303</v>
      </c>
      <c r="G22" s="49">
        <f t="shared" si="4"/>
        <v>33303</v>
      </c>
      <c r="H22" s="49">
        <f t="shared" si="4"/>
        <v>33303</v>
      </c>
      <c r="I22" s="49">
        <f t="shared" si="4"/>
        <v>33303</v>
      </c>
      <c r="J22" s="49">
        <f t="shared" si="4"/>
        <v>33303</v>
      </c>
      <c r="K22" s="49">
        <f t="shared" si="4"/>
        <v>33303</v>
      </c>
      <c r="L22" s="49">
        <f t="shared" si="4"/>
        <v>33303</v>
      </c>
      <c r="M22" s="49">
        <f t="shared" si="4"/>
        <v>33303</v>
      </c>
      <c r="N22" s="49">
        <f t="shared" si="4"/>
        <v>33303</v>
      </c>
      <c r="O22" s="49">
        <f t="shared" si="4"/>
        <v>33306</v>
      </c>
      <c r="P22" s="98">
        <f>SUM(P17+P18+P21)</f>
        <v>699639</v>
      </c>
    </row>
    <row r="23" spans="1:16" s="39" customFormat="1" ht="12.75" customHeight="1" thickBot="1">
      <c r="A23" s="70"/>
      <c r="B23" s="81" t="s">
        <v>60</v>
      </c>
      <c r="C23" s="172">
        <f>SUM(C16,C22)</f>
        <v>20214177</v>
      </c>
      <c r="D23" s="50">
        <f aca="true" t="shared" si="5" ref="D23:P23">SUM(D16,D22)</f>
        <v>1616909</v>
      </c>
      <c r="E23" s="50">
        <f t="shared" si="5"/>
        <v>1410361</v>
      </c>
      <c r="F23" s="50">
        <f t="shared" si="5"/>
        <v>2310406</v>
      </c>
      <c r="G23" s="50">
        <f t="shared" si="5"/>
        <v>1821478</v>
      </c>
      <c r="H23" s="50">
        <f t="shared" si="5"/>
        <v>1461281</v>
      </c>
      <c r="I23" s="50">
        <f t="shared" si="5"/>
        <v>1369695</v>
      </c>
      <c r="J23" s="50">
        <f t="shared" si="5"/>
        <v>1324857</v>
      </c>
      <c r="K23" s="50">
        <f t="shared" si="5"/>
        <v>1358348</v>
      </c>
      <c r="L23" s="50">
        <f t="shared" si="5"/>
        <v>2358428</v>
      </c>
      <c r="M23" s="50">
        <f t="shared" si="5"/>
        <v>2146959</v>
      </c>
      <c r="N23" s="50">
        <f t="shared" si="5"/>
        <v>1598870</v>
      </c>
      <c r="O23" s="116">
        <f t="shared" si="5"/>
        <v>1436585</v>
      </c>
      <c r="P23" s="100">
        <f t="shared" si="5"/>
        <v>20214177</v>
      </c>
    </row>
    <row r="24" spans="1:16" s="39" customFormat="1" ht="12.75" customHeight="1">
      <c r="A24" s="71" t="s">
        <v>15</v>
      </c>
      <c r="B24" s="84" t="s">
        <v>61</v>
      </c>
      <c r="C24" s="173">
        <v>162510</v>
      </c>
      <c r="D24" s="156"/>
      <c r="E24" s="157"/>
      <c r="F24" s="157"/>
      <c r="G24" s="157"/>
      <c r="H24" s="157"/>
      <c r="I24" s="157">
        <v>162510</v>
      </c>
      <c r="J24" s="157"/>
      <c r="K24" s="157"/>
      <c r="L24" s="157"/>
      <c r="M24" s="157"/>
      <c r="N24" s="157"/>
      <c r="O24" s="112"/>
      <c r="P24" s="161">
        <f>SUM(D24:O24)</f>
        <v>162510</v>
      </c>
    </row>
    <row r="25" spans="1:16" s="39" customFormat="1" ht="12.75" customHeight="1">
      <c r="A25" s="73" t="s">
        <v>17</v>
      </c>
      <c r="B25" s="83" t="s">
        <v>62</v>
      </c>
      <c r="C25" s="95">
        <v>6176219</v>
      </c>
      <c r="D25" s="168">
        <v>514560</v>
      </c>
      <c r="E25" s="168">
        <v>514560</v>
      </c>
      <c r="F25" s="168">
        <v>514560</v>
      </c>
      <c r="G25" s="168">
        <v>514560</v>
      </c>
      <c r="H25" s="168">
        <v>514560</v>
      </c>
      <c r="I25" s="168">
        <v>514560</v>
      </c>
      <c r="J25" s="168">
        <v>514560</v>
      </c>
      <c r="K25" s="168">
        <f>514560+1500</f>
        <v>516060</v>
      </c>
      <c r="L25" s="168">
        <v>514560</v>
      </c>
      <c r="M25" s="168">
        <v>514560</v>
      </c>
      <c r="N25" s="168">
        <v>514560</v>
      </c>
      <c r="O25" s="168">
        <v>514559</v>
      </c>
      <c r="P25" s="162">
        <f>SUM(D25:O25)</f>
        <v>6176219</v>
      </c>
    </row>
    <row r="26" spans="1:16" s="39" customFormat="1" ht="12.75" customHeight="1">
      <c r="A26" s="73" t="s">
        <v>18</v>
      </c>
      <c r="B26" s="83" t="s">
        <v>96</v>
      </c>
      <c r="C26" s="95"/>
      <c r="D26" s="16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P26" s="163">
        <f>SUM(D26:O26)</f>
        <v>0</v>
      </c>
    </row>
    <row r="27" spans="1:16" s="39" customFormat="1" ht="12.75" customHeight="1">
      <c r="A27" s="72"/>
      <c r="B27" s="79" t="s">
        <v>63</v>
      </c>
      <c r="C27" s="96">
        <f>SUM(C24:C26)</f>
        <v>6338729</v>
      </c>
      <c r="D27" s="169">
        <f>SUM(D24:D26)</f>
        <v>514560</v>
      </c>
      <c r="E27" s="144">
        <f aca="true" t="shared" si="6" ref="E27:N27">SUM(E24:E26)</f>
        <v>514560</v>
      </c>
      <c r="F27" s="144">
        <f t="shared" si="6"/>
        <v>514560</v>
      </c>
      <c r="G27" s="144">
        <f t="shared" si="6"/>
        <v>514560</v>
      </c>
      <c r="H27" s="144">
        <f t="shared" si="6"/>
        <v>514560</v>
      </c>
      <c r="I27" s="144">
        <f t="shared" si="6"/>
        <v>677070</v>
      </c>
      <c r="J27" s="144">
        <f t="shared" si="6"/>
        <v>514560</v>
      </c>
      <c r="K27" s="144">
        <f t="shared" si="6"/>
        <v>516060</v>
      </c>
      <c r="L27" s="144">
        <f t="shared" si="6"/>
        <v>514560</v>
      </c>
      <c r="M27" s="144">
        <f t="shared" si="6"/>
        <v>514560</v>
      </c>
      <c r="N27" s="144">
        <f t="shared" si="6"/>
        <v>514560</v>
      </c>
      <c r="O27" s="144">
        <f>SUM(O24:O26)</f>
        <v>514559</v>
      </c>
      <c r="P27" s="96">
        <f>SUM(P24:P26)</f>
        <v>6338729</v>
      </c>
    </row>
    <row r="28" spans="1:16" s="39" customFormat="1" ht="12.75" customHeight="1">
      <c r="A28" s="73" t="s">
        <v>15</v>
      </c>
      <c r="B28" s="83" t="s">
        <v>64</v>
      </c>
      <c r="C28" s="96">
        <v>5205738</v>
      </c>
      <c r="D28" s="179"/>
      <c r="E28" s="141"/>
      <c r="F28" s="141"/>
      <c r="G28" s="141"/>
      <c r="H28" s="143"/>
      <c r="I28" s="143">
        <v>5205738</v>
      </c>
      <c r="J28" s="143"/>
      <c r="K28" s="143"/>
      <c r="L28" s="143"/>
      <c r="M28" s="143"/>
      <c r="N28" s="143"/>
      <c r="O28" s="144"/>
      <c r="P28" s="96">
        <f>SUM(D28:O28)</f>
        <v>5205738</v>
      </c>
    </row>
    <row r="29" spans="1:16" s="39" customFormat="1" ht="12.75" customHeight="1">
      <c r="A29" s="72" t="s">
        <v>17</v>
      </c>
      <c r="B29" s="85" t="s">
        <v>65</v>
      </c>
      <c r="C29" s="102">
        <v>241151</v>
      </c>
      <c r="D29" s="170">
        <v>20096</v>
      </c>
      <c r="E29" s="154">
        <v>20096</v>
      </c>
      <c r="F29" s="154">
        <v>20096</v>
      </c>
      <c r="G29" s="154">
        <v>20096</v>
      </c>
      <c r="H29" s="154">
        <v>20096</v>
      </c>
      <c r="I29" s="154">
        <v>20096</v>
      </c>
      <c r="J29" s="154">
        <v>20096</v>
      </c>
      <c r="K29" s="154">
        <v>20096</v>
      </c>
      <c r="L29" s="154">
        <v>20096</v>
      </c>
      <c r="M29" s="154">
        <v>20096</v>
      </c>
      <c r="N29" s="154">
        <v>20096</v>
      </c>
      <c r="O29" s="155">
        <v>20095</v>
      </c>
      <c r="P29" s="96">
        <f>SUM(D29:O29)</f>
        <v>241151</v>
      </c>
    </row>
    <row r="30" spans="1:16" s="39" customFormat="1" ht="12.75" customHeight="1">
      <c r="A30" s="74"/>
      <c r="B30" s="135" t="s">
        <v>66</v>
      </c>
      <c r="C30" s="136">
        <f>SUM(C28:C29)</f>
        <v>5446889</v>
      </c>
      <c r="D30" s="171">
        <f>SUM(D28:D29)</f>
        <v>20096</v>
      </c>
      <c r="E30" s="137">
        <f aca="true" t="shared" si="7" ref="E30:O30">SUM(E28:E29)</f>
        <v>20096</v>
      </c>
      <c r="F30" s="137">
        <f t="shared" si="7"/>
        <v>20096</v>
      </c>
      <c r="G30" s="137">
        <f t="shared" si="7"/>
        <v>20096</v>
      </c>
      <c r="H30" s="137">
        <f t="shared" si="7"/>
        <v>20096</v>
      </c>
      <c r="I30" s="137">
        <f t="shared" si="7"/>
        <v>5225834</v>
      </c>
      <c r="J30" s="137">
        <f t="shared" si="7"/>
        <v>20096</v>
      </c>
      <c r="K30" s="137">
        <f t="shared" si="7"/>
        <v>20096</v>
      </c>
      <c r="L30" s="137">
        <f t="shared" si="7"/>
        <v>20096</v>
      </c>
      <c r="M30" s="137">
        <f t="shared" si="7"/>
        <v>20096</v>
      </c>
      <c r="N30" s="137">
        <f t="shared" si="7"/>
        <v>20096</v>
      </c>
      <c r="O30" s="148">
        <f t="shared" si="7"/>
        <v>20095</v>
      </c>
      <c r="P30" s="136">
        <f>SUM(P28:P29)</f>
        <v>5446889</v>
      </c>
    </row>
    <row r="31" spans="1:16" s="39" customFormat="1" ht="12.75" customHeight="1" thickBot="1">
      <c r="A31" s="74">
        <v>1</v>
      </c>
      <c r="B31" s="166" t="s">
        <v>98</v>
      </c>
      <c r="C31" s="136">
        <v>0</v>
      </c>
      <c r="D31" s="17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67">
        <f>SUM(D31:O31)</f>
        <v>0</v>
      </c>
    </row>
    <row r="32" spans="1:16" s="39" customFormat="1" ht="12.75" customHeight="1" thickBot="1">
      <c r="A32" s="74">
        <v>2</v>
      </c>
      <c r="B32" s="165" t="s">
        <v>99</v>
      </c>
      <c r="C32" s="103">
        <v>4000000</v>
      </c>
      <c r="D32" s="176"/>
      <c r="E32" s="177"/>
      <c r="F32" s="177"/>
      <c r="G32" s="177"/>
      <c r="H32" s="177"/>
      <c r="I32" s="177"/>
      <c r="J32" s="177"/>
      <c r="K32" s="177"/>
      <c r="L32" s="177">
        <v>4000000</v>
      </c>
      <c r="M32" s="177"/>
      <c r="N32" s="177"/>
      <c r="O32" s="103"/>
      <c r="P32" s="162">
        <f>SUM(D32:O32)</f>
        <v>4000000</v>
      </c>
    </row>
    <row r="33" spans="1:16" s="39" customFormat="1" ht="12.75" customHeight="1" thickBot="1">
      <c r="A33" s="139"/>
      <c r="B33" s="133" t="s">
        <v>92</v>
      </c>
      <c r="C33" s="134">
        <f>+C27+C30+C31+C32</f>
        <v>15785618</v>
      </c>
      <c r="D33" s="134">
        <f aca="true" t="shared" si="8" ref="D33:O33">+D27+D30+D31+D32</f>
        <v>534656</v>
      </c>
      <c r="E33" s="134">
        <f t="shared" si="8"/>
        <v>534656</v>
      </c>
      <c r="F33" s="134">
        <f t="shared" si="8"/>
        <v>534656</v>
      </c>
      <c r="G33" s="134">
        <f t="shared" si="8"/>
        <v>534656</v>
      </c>
      <c r="H33" s="134">
        <f t="shared" si="8"/>
        <v>534656</v>
      </c>
      <c r="I33" s="134">
        <f t="shared" si="8"/>
        <v>5902904</v>
      </c>
      <c r="J33" s="134">
        <f t="shared" si="8"/>
        <v>534656</v>
      </c>
      <c r="K33" s="134">
        <f t="shared" si="8"/>
        <v>536156</v>
      </c>
      <c r="L33" s="134">
        <f t="shared" si="8"/>
        <v>4534656</v>
      </c>
      <c r="M33" s="134">
        <f t="shared" si="8"/>
        <v>534656</v>
      </c>
      <c r="N33" s="134">
        <f t="shared" si="8"/>
        <v>534656</v>
      </c>
      <c r="O33" s="134">
        <f t="shared" si="8"/>
        <v>534654</v>
      </c>
      <c r="P33" s="134">
        <f>+P27+P30+P31+P32</f>
        <v>15785618</v>
      </c>
    </row>
    <row r="34" spans="1:16" s="39" customFormat="1" ht="12.75" customHeight="1" thickBot="1">
      <c r="A34" s="60"/>
      <c r="B34" s="86" t="s">
        <v>37</v>
      </c>
      <c r="C34" s="103">
        <f>SUM(C23,C27,C30)+C31+C32</f>
        <v>35999795</v>
      </c>
      <c r="D34" s="103">
        <f aca="true" t="shared" si="9" ref="D34:P34">SUM(D23,D27,D30)+D31+D32</f>
        <v>2151565</v>
      </c>
      <c r="E34" s="103">
        <f t="shared" si="9"/>
        <v>1945017</v>
      </c>
      <c r="F34" s="103">
        <f t="shared" si="9"/>
        <v>2845062</v>
      </c>
      <c r="G34" s="103">
        <f t="shared" si="9"/>
        <v>2356134</v>
      </c>
      <c r="H34" s="103">
        <f t="shared" si="9"/>
        <v>1995937</v>
      </c>
      <c r="I34" s="103">
        <f t="shared" si="9"/>
        <v>7272599</v>
      </c>
      <c r="J34" s="103">
        <f t="shared" si="9"/>
        <v>1859513</v>
      </c>
      <c r="K34" s="103">
        <f t="shared" si="9"/>
        <v>1894504</v>
      </c>
      <c r="L34" s="103">
        <f t="shared" si="9"/>
        <v>6893084</v>
      </c>
      <c r="M34" s="103">
        <f t="shared" si="9"/>
        <v>2681615</v>
      </c>
      <c r="N34" s="103">
        <f t="shared" si="9"/>
        <v>2133526</v>
      </c>
      <c r="O34" s="103">
        <f t="shared" si="9"/>
        <v>1971239</v>
      </c>
      <c r="P34" s="103">
        <f t="shared" si="9"/>
        <v>35999795</v>
      </c>
    </row>
    <row r="35" spans="1:16" s="16" customFormat="1" ht="11.25" customHeight="1">
      <c r="A35" s="75"/>
      <c r="B35" s="87" t="s">
        <v>50</v>
      </c>
      <c r="C35" s="149">
        <f>-C25</f>
        <v>-6176219</v>
      </c>
      <c r="D35" s="150">
        <f>-SUM(D25)</f>
        <v>-514560</v>
      </c>
      <c r="E35" s="151">
        <f aca="true" t="shared" si="10" ref="E35:O35">-SUM(E25)</f>
        <v>-514560</v>
      </c>
      <c r="F35" s="151">
        <f t="shared" si="10"/>
        <v>-514560</v>
      </c>
      <c r="G35" s="151">
        <f t="shared" si="10"/>
        <v>-514560</v>
      </c>
      <c r="H35" s="151">
        <f t="shared" si="10"/>
        <v>-514560</v>
      </c>
      <c r="I35" s="151">
        <f t="shared" si="10"/>
        <v>-514560</v>
      </c>
      <c r="J35" s="151">
        <f t="shared" si="10"/>
        <v>-514560</v>
      </c>
      <c r="K35" s="151">
        <f t="shared" si="10"/>
        <v>-516060</v>
      </c>
      <c r="L35" s="151">
        <f t="shared" si="10"/>
        <v>-514560</v>
      </c>
      <c r="M35" s="151">
        <f t="shared" si="10"/>
        <v>-514560</v>
      </c>
      <c r="N35" s="151">
        <f t="shared" si="10"/>
        <v>-514560</v>
      </c>
      <c r="O35" s="152">
        <f t="shared" si="10"/>
        <v>-514559</v>
      </c>
      <c r="P35" s="110">
        <f>SUM(D35:O35)</f>
        <v>-6176219</v>
      </c>
    </row>
    <row r="36" spans="1:16" s="16" customFormat="1" ht="12.75" customHeight="1">
      <c r="A36" s="76"/>
      <c r="B36" s="88" t="s">
        <v>51</v>
      </c>
      <c r="C36" s="153">
        <f>-C29</f>
        <v>-241151</v>
      </c>
      <c r="D36" s="145">
        <f aca="true" t="shared" si="11" ref="D36:O36">-SUM(D29)</f>
        <v>-20096</v>
      </c>
      <c r="E36" s="146">
        <f t="shared" si="11"/>
        <v>-20096</v>
      </c>
      <c r="F36" s="146">
        <f t="shared" si="11"/>
        <v>-20096</v>
      </c>
      <c r="G36" s="146">
        <f t="shared" si="11"/>
        <v>-20096</v>
      </c>
      <c r="H36" s="146">
        <f t="shared" si="11"/>
        <v>-20096</v>
      </c>
      <c r="I36" s="146">
        <f t="shared" si="11"/>
        <v>-20096</v>
      </c>
      <c r="J36" s="146">
        <f t="shared" si="11"/>
        <v>-20096</v>
      </c>
      <c r="K36" s="146">
        <f t="shared" si="11"/>
        <v>-20096</v>
      </c>
      <c r="L36" s="146">
        <f t="shared" si="11"/>
        <v>-20096</v>
      </c>
      <c r="M36" s="146">
        <f t="shared" si="11"/>
        <v>-20096</v>
      </c>
      <c r="N36" s="146">
        <f>-SUM(N29)</f>
        <v>-20096</v>
      </c>
      <c r="O36" s="147">
        <f t="shared" si="11"/>
        <v>-20095</v>
      </c>
      <c r="P36" s="55">
        <f>SUM(D36:O36)</f>
        <v>-241151</v>
      </c>
    </row>
    <row r="37" spans="1:16" s="16" customFormat="1" ht="15" customHeight="1" thickBot="1">
      <c r="A37" s="57"/>
      <c r="B37" s="89" t="s">
        <v>54</v>
      </c>
      <c r="C37" s="136">
        <v>-740000</v>
      </c>
      <c r="D37" s="138">
        <f>$C$37/12</f>
        <v>-61666.666666666664</v>
      </c>
      <c r="E37" s="138">
        <f aca="true" t="shared" si="12" ref="E37:O37">$C$37/12</f>
        <v>-61666.666666666664</v>
      </c>
      <c r="F37" s="138">
        <f t="shared" si="12"/>
        <v>-61666.666666666664</v>
      </c>
      <c r="G37" s="138">
        <f t="shared" si="12"/>
        <v>-61666.666666666664</v>
      </c>
      <c r="H37" s="138">
        <f t="shared" si="12"/>
        <v>-61666.666666666664</v>
      </c>
      <c r="I37" s="138">
        <f t="shared" si="12"/>
        <v>-61666.666666666664</v>
      </c>
      <c r="J37" s="138">
        <f t="shared" si="12"/>
        <v>-61666.666666666664</v>
      </c>
      <c r="K37" s="138">
        <f t="shared" si="12"/>
        <v>-61666.666666666664</v>
      </c>
      <c r="L37" s="138">
        <f t="shared" si="12"/>
        <v>-61666.666666666664</v>
      </c>
      <c r="M37" s="138">
        <f t="shared" si="12"/>
        <v>-61666.666666666664</v>
      </c>
      <c r="N37" s="138">
        <f t="shared" si="12"/>
        <v>-61666.666666666664</v>
      </c>
      <c r="O37" s="138">
        <f t="shared" si="12"/>
        <v>-61666.666666666664</v>
      </c>
      <c r="P37" s="55">
        <f>SUM(D37:O37)</f>
        <v>-739999.9999999999</v>
      </c>
    </row>
    <row r="38" spans="1:16" s="16" customFormat="1" ht="10.5" customHeight="1" thickBot="1">
      <c r="A38" s="194" t="s">
        <v>37</v>
      </c>
      <c r="B38" s="195"/>
      <c r="C38" s="104">
        <f>SUM(C34:C37)</f>
        <v>28842425</v>
      </c>
      <c r="D38" s="58">
        <f>SUM(D34:D37)</f>
        <v>1555242.3333333333</v>
      </c>
      <c r="E38" s="58">
        <f aca="true" t="shared" si="13" ref="E38:O38">SUM(E34:E37)</f>
        <v>1348694.3333333333</v>
      </c>
      <c r="F38" s="58">
        <f t="shared" si="13"/>
        <v>2248739.3333333335</v>
      </c>
      <c r="G38" s="58">
        <f t="shared" si="13"/>
        <v>1759811.3333333333</v>
      </c>
      <c r="H38" s="58">
        <f t="shared" si="13"/>
        <v>1399614.3333333333</v>
      </c>
      <c r="I38" s="58">
        <f t="shared" si="13"/>
        <v>6676276.333333333</v>
      </c>
      <c r="J38" s="58">
        <f t="shared" si="13"/>
        <v>1263190.3333333333</v>
      </c>
      <c r="K38" s="58">
        <f t="shared" si="13"/>
        <v>1296681.3333333333</v>
      </c>
      <c r="L38" s="58">
        <f t="shared" si="13"/>
        <v>6296761.333333333</v>
      </c>
      <c r="M38" s="58">
        <f t="shared" si="13"/>
        <v>2085292.3333333333</v>
      </c>
      <c r="N38" s="58">
        <f t="shared" si="13"/>
        <v>1537203.3333333333</v>
      </c>
      <c r="O38" s="58">
        <f t="shared" si="13"/>
        <v>1374918.3333333333</v>
      </c>
      <c r="P38" s="104">
        <f>SUM(P34:P37)</f>
        <v>28842425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2020-01-16T18:01:00Z</cp:lastPrinted>
  <dcterms:created xsi:type="dcterms:W3CDTF">2009-02-16T12:26:31Z</dcterms:created>
  <dcterms:modified xsi:type="dcterms:W3CDTF">2020-01-27T12:25:17Z</dcterms:modified>
  <cp:category/>
  <cp:version/>
  <cp:contentType/>
  <cp:contentStatus/>
</cp:coreProperties>
</file>