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firstSheet="7" activeTab="8"/>
  </bookViews>
  <sheets>
    <sheet name="bor." sheetId="1" r:id="rId1"/>
    <sheet name="1.mell. -mérleg (2)" sheetId="2" r:id="rId2"/>
    <sheet name="2.mell - bevétel (2)" sheetId="3" r:id="rId3"/>
    <sheet name="3.mell. - bevét.Köá (2)" sheetId="4" r:id="rId4"/>
    <sheet name="4.mell. - kiadás (2)" sheetId="5" r:id="rId5"/>
    <sheet name="5.mell. - kiadás.köá. (2)" sheetId="6" r:id="rId6"/>
    <sheet name="6.sz.mell.támogatások" sheetId="7" r:id="rId7"/>
    <sheet name="7.mell. - ellátottak jutt. (2)" sheetId="8" r:id="rId8"/>
    <sheet name="8.mell. - beruházások (2)" sheetId="9" r:id="rId9"/>
    <sheet name="9.mell.-felújítások" sheetId="10" r:id="rId10"/>
    <sheet name="10.mell. - közgazd.mérleg" sheetId="11" r:id="rId11"/>
    <sheet name="11.mell. -ei.felh.ütemt." sheetId="12" r:id="rId12"/>
    <sheet name="12.mell. -részesedések" sheetId="13" r:id="rId13"/>
    <sheet name="13.mell. -kezesség" sheetId="14" r:id="rId14"/>
    <sheet name="14.mell. - uniós" sheetId="15" r:id="rId15"/>
    <sheet name="15.mell.- közvetett" sheetId="16" r:id="rId16"/>
    <sheet name="16.mell.-középtávú" sheetId="17" r:id="rId17"/>
  </sheets>
  <definedNames/>
  <calcPr fullCalcOnLoad="1"/>
</workbook>
</file>

<file path=xl/sharedStrings.xml><?xml version="1.0" encoding="utf-8"?>
<sst xmlns="http://schemas.openxmlformats.org/spreadsheetml/2006/main" count="969" uniqueCount="559">
  <si>
    <t>Megnevezés</t>
  </si>
  <si>
    <t>Ft</t>
  </si>
  <si>
    <t>Összesen:</t>
  </si>
  <si>
    <t>létszám</t>
  </si>
  <si>
    <t>Sitke község Önkormányzata</t>
  </si>
  <si>
    <t>( e Ft-ban)</t>
  </si>
  <si>
    <t>e Ft</t>
  </si>
  <si>
    <t>TÁMOGATÁSOK ÖSSZESEN:</t>
  </si>
  <si>
    <t>állandó</t>
  </si>
  <si>
    <t>juttatások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</si>
  <si>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</si>
  <si>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</si>
  <si>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</si>
  <si>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</si>
  <si>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</si>
  <si>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</si>
  <si>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</si>
  <si>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</si>
  <si>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</si>
  <si>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</si>
  <si>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</si>
  <si>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</si>
  <si>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</si>
  <si>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</si>
  <si>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részvényei, részesedései, értékpapírjai</t>
  </si>
  <si>
    <t>Körjegyzőségi feladatok ellátása</t>
  </si>
  <si>
    <t>Bursa Hungarica Alapítvány támogatása</t>
  </si>
  <si>
    <t>Citerazenekar támogatása</t>
  </si>
  <si>
    <t>Hímzőszakkör támogatása</t>
  </si>
  <si>
    <t>2.</t>
  </si>
  <si>
    <t>Kistérségi tagsági díj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</si>
  <si>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</si>
  <si>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</si>
  <si>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</si>
  <si>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</si>
  <si>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</si>
  <si>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ebből: igényel- hető költség- vetési támogatás</t>
  </si>
  <si>
    <t>hető költség-</t>
  </si>
  <si>
    <t>vetési támogatás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</si>
  <si>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</si>
  <si>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</si>
  <si>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</si>
  <si>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</si>
  <si>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</si>
  <si>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</si>
  <si>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</si>
  <si>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</si>
  <si>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</si>
  <si>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</si>
  <si>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</si>
  <si>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</si>
  <si>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</si>
  <si>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>Nyugdíjas Klub</t>
  </si>
  <si>
    <t xml:space="preserve">Tekeszakosztály 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</si>
  <si>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</si>
  <si>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</si>
  <si>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</si>
  <si>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</si>
  <si>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</si>
  <si>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</si>
  <si>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</si>
  <si>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</si>
  <si>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</si>
  <si>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</si>
  <si>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</si>
  <si>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</si>
  <si>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</si>
  <si>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</si>
  <si>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2016.                                     év</t>
  </si>
  <si>
    <t>2017.                                     év</t>
  </si>
  <si>
    <t>2018.                                     év</t>
  </si>
  <si>
    <t>2019.                                     év</t>
  </si>
  <si>
    <t>összesen</t>
  </si>
  <si>
    <t>Megnevezése, fajtája, száma</t>
  </si>
  <si>
    <t>Sitkei  Viziközmű Társulat által felvett hitel</t>
  </si>
  <si>
    <t>formája: készfizető kezsségvállalás</t>
  </si>
  <si>
    <t>devizaneme:       Ft</t>
  </si>
  <si>
    <t>futamideje:        2012-2019</t>
  </si>
  <si>
    <t>kezességvállalás összesen:</t>
  </si>
  <si>
    <t>KÖZHATALMI BEVÉTELEK ÖSSZESEN:</t>
  </si>
  <si>
    <t>ravatalozó használati díj</t>
  </si>
  <si>
    <t>vendégebéd térítési díja</t>
  </si>
  <si>
    <t>működési kiadások</t>
  </si>
  <si>
    <t>felhalmozási kiadások</t>
  </si>
  <si>
    <t>felújítások</t>
  </si>
  <si>
    <t>Sághegy Leader tagdíj</t>
  </si>
  <si>
    <t>Labdarugó Szakosztály támogatása</t>
  </si>
  <si>
    <t xml:space="preserve">Tanévkezdési támogatás </t>
  </si>
  <si>
    <t>TÁRGYÉVI KÖLTSÉGVETÉSI HIÁNY:</t>
  </si>
  <si>
    <t xml:space="preserve">       - egyéb működési kiadások</t>
  </si>
  <si>
    <t xml:space="preserve">       - egyéb felhalmozási kiadások</t>
  </si>
  <si>
    <t>szociális étkeztetés térítési díja</t>
  </si>
  <si>
    <t>táborozás támogatása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</si>
  <si>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</si>
  <si>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</si>
  <si>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</si>
  <si>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</si>
  <si>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</si>
  <si>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</si>
  <si>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</si>
  <si>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</si>
  <si>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</si>
  <si>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</si>
  <si>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</si>
  <si>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</si>
  <si>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</si>
  <si>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</si>
  <si>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</si>
  <si>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</si>
  <si>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</si>
  <si>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</si>
  <si>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</si>
  <si>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</si>
  <si>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</si>
  <si>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Kistelepülések szociális feladatainak támogatása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</si>
  <si>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</si>
  <si>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</si>
  <si>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</si>
  <si>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</si>
  <si>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</si>
  <si>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</si>
  <si>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</si>
  <si>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Működési célú központosított előirányzatok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</si>
  <si>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</si>
  <si>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</si>
  <si>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</si>
  <si>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közfoglalkoztatás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</si>
  <si>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</si>
  <si>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</si>
  <si>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</si>
  <si>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</t>
  </si>
  <si>
    <t>Egyéb felhalmozási célú támogatások bevételei államháztartáson belülről összesen:</t>
  </si>
  <si>
    <t>FELHALMOZÁSI CÉLÚ TÁMOGATÁSOK ÁLLAMHÁZ- TARTÁSON BELÜLRŐL ÖSSZESEN: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</si>
  <si>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</si>
  <si>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</si>
  <si>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</si>
  <si>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</si>
  <si>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</si>
  <si>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</si>
  <si>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</si>
  <si>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</si>
  <si>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</si>
  <si>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</si>
  <si>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</si>
  <si>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</si>
  <si>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</si>
  <si>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</si>
  <si>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</si>
  <si>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</si>
  <si>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</si>
  <si>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</si>
  <si>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</si>
  <si>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</si>
  <si>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</si>
  <si>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</si>
  <si>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</si>
  <si>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</si>
  <si>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</si>
  <si>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</si>
  <si>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</si>
  <si>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</si>
  <si>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</si>
  <si>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</si>
  <si>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</si>
  <si>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</si>
  <si>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</si>
  <si>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</si>
  <si>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</si>
  <si>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</si>
  <si>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</si>
  <si>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</si>
  <si>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2015. év</t>
  </si>
  <si>
    <t>Működési célú központosított előirányzatok összesen:</t>
  </si>
  <si>
    <t>lakott külterülettel kapcsolatos feladatok</t>
  </si>
  <si>
    <t>e.</t>
  </si>
  <si>
    <t>2014. évről áthúzódó bérkompenzáció támogatása</t>
  </si>
  <si>
    <t>Pénzbeni szociális ellátások kiegészítése</t>
  </si>
  <si>
    <t>Települési önkormányzatok szociális feladatainak egyéb támogatása</t>
  </si>
  <si>
    <t>Vidéki gazdaság és lakosság számára nyújtott alapszolgáltatások fejlesztése (mikrobusz beszerzése) támogatása</t>
  </si>
  <si>
    <t>Kápolnáért Kulturális és Sport Egyesület művelődési ház kialakításával kacsolatos támogatásának visszatérülése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</si>
  <si>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</si>
  <si>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</si>
  <si>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</si>
  <si>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</si>
  <si>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</si>
  <si>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</si>
  <si>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</si>
  <si>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</si>
  <si>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</si>
  <si>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</si>
  <si>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</si>
  <si>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</si>
  <si>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</si>
  <si>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</si>
  <si>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</si>
  <si>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</si>
  <si>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</si>
  <si>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</si>
  <si>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</si>
  <si>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</si>
  <si>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</si>
  <si>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</si>
  <si>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</si>
  <si>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</si>
  <si>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</si>
  <si>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</si>
  <si>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</si>
  <si>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</si>
  <si>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</si>
  <si>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</si>
  <si>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</si>
  <si>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</si>
  <si>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</si>
  <si>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</si>
  <si>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</si>
  <si>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</si>
  <si>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</si>
  <si>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</si>
  <si>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</si>
  <si>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</si>
  <si>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</si>
  <si>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</si>
  <si>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</si>
  <si>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</si>
  <si>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</si>
  <si>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</si>
  <si>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</si>
  <si>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</si>
  <si>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</si>
  <si>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</si>
  <si>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</si>
  <si>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</si>
  <si>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</si>
  <si>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</si>
  <si>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</si>
  <si>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</si>
  <si>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</si>
  <si>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</si>
  <si>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</si>
  <si>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</si>
  <si>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</si>
  <si>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</si>
  <si>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</si>
  <si>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</si>
  <si>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</si>
  <si>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Lakásfenntartással, lakhatással összefüggő ellátások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</si>
  <si>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</si>
  <si>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</si>
  <si>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</si>
  <si>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</si>
  <si>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</si>
  <si>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</si>
  <si>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</si>
  <si>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</si>
  <si>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</si>
  <si>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</si>
  <si>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</si>
  <si>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</si>
  <si>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</si>
  <si>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</si>
  <si>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</si>
  <si>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</si>
  <si>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</si>
  <si>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</si>
  <si>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</si>
  <si>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</si>
  <si>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</si>
  <si>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</si>
  <si>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</si>
  <si>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</si>
  <si>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</si>
  <si>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</si>
  <si>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</si>
  <si>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</si>
  <si>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</si>
  <si>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</si>
  <si>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</si>
  <si>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</si>
  <si>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</si>
  <si>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</si>
  <si>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</si>
  <si>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</si>
  <si>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</si>
  <si>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</si>
  <si>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</si>
  <si>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</si>
  <si>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</si>
  <si>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</si>
  <si>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</si>
  <si>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</si>
  <si>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</si>
  <si>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</si>
  <si>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</si>
  <si>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</si>
  <si>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</si>
  <si>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</si>
  <si>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</si>
  <si>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</si>
  <si>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</si>
  <si>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</si>
  <si>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</si>
  <si>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</si>
  <si>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</si>
  <si>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</si>
  <si>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</si>
  <si>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</si>
  <si>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</si>
  <si>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</si>
  <si>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</si>
  <si>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</si>
  <si>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</si>
  <si>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Költségvetési (működési és felhalmozási ) mérlege</t>
  </si>
  <si>
    <t>Sitke község Önkormányzta</t>
  </si>
  <si>
    <t>Kezességvállalások állománya</t>
  </si>
  <si>
    <t>mértéke: lakossági érdekeltségi hozzájárulás együttes összegének 20 %-a,  induláskor 11.322.424 Ft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</si>
  <si>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</si>
  <si>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</si>
  <si>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</si>
  <si>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</si>
  <si>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</si>
  <si>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</si>
  <si>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</si>
  <si>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</si>
  <si>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</si>
  <si>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</si>
  <si>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</si>
  <si>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</si>
  <si>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</si>
  <si>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</si>
  <si>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</si>
  <si>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</si>
  <si>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</si>
  <si>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</si>
  <si>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</si>
  <si>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</si>
  <si>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</si>
  <si>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</si>
  <si>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</si>
  <si>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</si>
  <si>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</si>
  <si>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</si>
  <si>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</si>
  <si>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</si>
  <si>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</si>
  <si>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</si>
  <si>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</si>
  <si>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</si>
  <si>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</si>
  <si>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</si>
  <si>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</si>
  <si>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</si>
  <si>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</si>
  <si>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</si>
  <si>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</si>
  <si>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</si>
  <si>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</si>
  <si>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</si>
  <si>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</si>
  <si>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</si>
  <si>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</si>
  <si>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</si>
  <si>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</si>
  <si>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</si>
  <si>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</si>
  <si>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</si>
  <si>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</si>
  <si>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</si>
  <si>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</si>
  <si>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</si>
  <si>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</si>
  <si>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</si>
  <si>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</si>
  <si>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</si>
  <si>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</si>
  <si>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</si>
  <si>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</si>
  <si>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</si>
  <si>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</si>
  <si>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</si>
  <si>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</si>
  <si>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</si>
  <si>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</si>
  <si>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</si>
  <si>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</si>
  <si>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</si>
  <si>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</si>
  <si>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</si>
  <si>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>Rendszeres gyermekvédelmi kedvezményben részesülők Erzsébet utalványa támogatása</t>
  </si>
  <si>
    <t>066020 Városi és községgazdálkodási egyéb szolgáltatások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</si>
  <si>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</si>
  <si>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</si>
  <si>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</si>
  <si>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</si>
  <si>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saját erőforrás</t>
  </si>
  <si>
    <t>támogatás</t>
  </si>
  <si>
    <t>Mindösszesen</t>
  </si>
  <si>
    <t>saját erő</t>
  </si>
  <si>
    <t>bekerülési költség</t>
  </si>
  <si>
    <t>összesen:</t>
  </si>
  <si>
    <t>2014-2015. év</t>
  </si>
  <si>
    <t>2014.</t>
  </si>
  <si>
    <t>2015.</t>
  </si>
  <si>
    <t>2017.</t>
  </si>
  <si>
    <t>2018.</t>
  </si>
  <si>
    <t>Mikrobusz beszerzése (vidéki gazdaság és lakosság számára nyújtott alapszolgáltatások fejlesztése)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</si>
  <si>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</si>
  <si>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</si>
  <si>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</si>
  <si>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</si>
  <si>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</si>
  <si>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</si>
  <si>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</si>
  <si>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</si>
  <si>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</si>
  <si>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</si>
  <si>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</si>
  <si>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</si>
  <si>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</si>
  <si>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</si>
  <si>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</si>
  <si>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állandó lakás céljára ténylegesen használt ingatlan adóalanya</t>
  </si>
  <si>
    <t>magánsz. kommunális adója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</si>
  <si>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</si>
  <si>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</si>
  <si>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</si>
  <si>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</si>
  <si>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</si>
  <si>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</si>
  <si>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</si>
  <si>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</si>
  <si>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</si>
  <si>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</si>
  <si>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</si>
  <si>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</si>
  <si>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</si>
  <si>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</si>
  <si>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</si>
  <si>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</si>
  <si>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</si>
  <si>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</si>
  <si>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</si>
  <si>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</si>
  <si>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</si>
  <si>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</si>
  <si>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</si>
  <si>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</si>
  <si>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</si>
  <si>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Sitke község Önkormányzata saját bevételeinek, valamint az adósságot keletkeztető ügyleteiből eredő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</si>
  <si>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</si>
  <si>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</si>
  <si>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</si>
  <si>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</si>
  <si>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</si>
  <si>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</si>
  <si>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</si>
  <si>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</si>
  <si>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</si>
  <si>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</si>
  <si>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</si>
  <si>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</si>
  <si>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</si>
  <si>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</si>
  <si>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</si>
  <si>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</si>
  <si>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</si>
  <si>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</si>
  <si>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 xml:space="preserve">vissz visszavásárlási kötelezettség kikötésével megkötött adásvételi szerződés eladói félként történő megkötése avásárlási kötelezettség kikötésével megkötött adásvételi szerződés 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</si>
  <si>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</si>
  <si>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</si>
  <si>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költségvetése</t>
  </si>
  <si>
    <t xml:space="preserve">2016. évi </t>
  </si>
  <si>
    <t>2016. évre</t>
  </si>
  <si>
    <t>2016. év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</si>
  <si>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</si>
  <si>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</si>
  <si>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</si>
  <si>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</si>
  <si>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</si>
  <si>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</si>
  <si>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</si>
  <si>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</si>
  <si>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</si>
  <si>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</si>
  <si>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Közművelődés - amatőr művészetek</t>
  </si>
  <si>
    <t>Munkahelyi étkeztetés köznevelési int.(562920) (vendég)</t>
  </si>
  <si>
    <t>2016.évre</t>
  </si>
  <si>
    <t>2017-2019. év</t>
  </si>
  <si>
    <t>2019.</t>
  </si>
  <si>
    <t>Egyéb gép, berendezés, felszerelés beszerzése</t>
  </si>
  <si>
    <t>096015 Gyermekétkeztetés köznevelési intézményben</t>
  </si>
  <si>
    <t>Konyhai eszközök pótlására</t>
  </si>
  <si>
    <t>096025 Munkahelyi étkeztetés köznevelési intézményekben</t>
  </si>
  <si>
    <t>096025Munkahelyi étkeztetés köznevelési int.(562920) (vendég)</t>
  </si>
  <si>
    <t>107051 Szociális étkeztetés (889921)</t>
  </si>
  <si>
    <t>082044Könyvtári szolgáltatások</t>
  </si>
  <si>
    <t>Könyvtári infrastruktúra fejlesztés támogatása, eszközbeszerzés</t>
  </si>
  <si>
    <t>Áht-n belüli megelőlegezések viszafizetése</t>
  </si>
  <si>
    <t>2016.év</t>
  </si>
  <si>
    <t xml:space="preserve">          Áht-n belüli megelőlegezések visszafizetése</t>
  </si>
  <si>
    <t>(2015. december 31-i állapot szerint)</t>
  </si>
  <si>
    <t>-Áht-n belüli megelőlegezések visszafizetése</t>
  </si>
  <si>
    <t>2016. 01.01-től</t>
  </si>
  <si>
    <t>FELÚJÍTÁSI KIADÁSOK</t>
  </si>
  <si>
    <t xml:space="preserve">Összesen: </t>
  </si>
  <si>
    <t>FELÚJÍTÁSOK ÖSSZESEN:</t>
  </si>
  <si>
    <t xml:space="preserve">072111 Háziorvosi szolgálat </t>
  </si>
  <si>
    <t>Egyéb épület felújítása</t>
  </si>
  <si>
    <t xml:space="preserve">2015.évi Önkományzatok feladatfejlesztési támogatásából áthúzódó összeg  az önkormányzati önrésszel </t>
  </si>
  <si>
    <t>-orvosi rendelő felújítására</t>
  </si>
  <si>
    <t>Felújítási célú előzetesen felszámított le nem vonható általános forgalmi adóra</t>
  </si>
  <si>
    <t>költségvetési szerv,társadalmi szervezet</t>
  </si>
  <si>
    <t>Gjt.5.§.a.-b. pont</t>
  </si>
  <si>
    <t xml:space="preserve"> 013350 Önkormányzati vagyonnal való gazdálkodás</t>
  </si>
  <si>
    <t>Közművesített telek vásárlása</t>
  </si>
  <si>
    <t xml:space="preserve"> 011130 Önkormányzatok és önk. hivatalok jogalkotó és ált. igaztatási tev.</t>
  </si>
  <si>
    <t>1. melléklet  a  3/2016. (II.16.) önkormányzati rendelethez</t>
  </si>
  <si>
    <t>2. melléklet  a  3/2016. (II.16.) önkormányzati rendelethez</t>
  </si>
  <si>
    <t>3. melléklet  a  3/2016. (II.16.) önkormányzati rendelethez</t>
  </si>
  <si>
    <t>4. melléklet  a 3/2016. (II.16.) önkormányzati rendelethez</t>
  </si>
  <si>
    <t>5. melléklet  a 3/2016. (II.16.) önkormányzati rendelethez</t>
  </si>
  <si>
    <t>6. melléklet  a 3/2016. (II.16.) önkormányzati rendelethez</t>
  </si>
  <si>
    <t>7. melléklet  a  3/2016. (II.16.) önkormányzati rendelethez</t>
  </si>
  <si>
    <t>8. melléklet a 3/2016. (II.16.) önkormányzati rendelethez</t>
  </si>
  <si>
    <t>9 sz. melléklet a 3/2016. (II.16.) sz. önkormányzati rendelethez</t>
  </si>
  <si>
    <t>10. melléklet a 3/2016. (II.16.) önkormányzati rendelethez</t>
  </si>
  <si>
    <t>11. melléklet a 3/2016. (II.16.)önkormányzati rendelethez</t>
  </si>
  <si>
    <t>12. melléklet a 3/2016. (II.16.) önkormányzati rendelethez</t>
  </si>
  <si>
    <t>13. melléklet a 3/2016. (II.16.) önkormányzati rendelethez</t>
  </si>
  <si>
    <t>14. melléklet  a  3/2016. (II.16.) önkormányzati rendelethez</t>
  </si>
  <si>
    <t>15. melléklet  a  3/2016. (II.16.) önkormányzati rendelethez</t>
  </si>
  <si>
    <t>16. melléklet  a  3/2016. (II.16.) önkormányzati rendelethez</t>
  </si>
  <si>
    <t xml:space="preserve"> Ft</t>
  </si>
  <si>
    <t xml:space="preserve"> -TARTALÉKBA</t>
  </si>
  <si>
    <t>2016.évi bérkompenzáció támogatása</t>
  </si>
  <si>
    <t>(  Ft-ban)</t>
  </si>
  <si>
    <t>Hosszabb időtartamú közfoglalkoztatás</t>
  </si>
  <si>
    <t>041233</t>
  </si>
  <si>
    <t>Támogatási célú finanszírozási műveletek</t>
  </si>
  <si>
    <t>018030</t>
  </si>
  <si>
    <t>( Ft-ban)</t>
  </si>
  <si>
    <t>(  Ft-ban )</t>
  </si>
  <si>
    <t xml:space="preserve"> előirányzat   (  Ft)</t>
  </si>
  <si>
    <t>Közutak ,hidak, alagutak üzemeltetése, fenntartása</t>
  </si>
  <si>
    <t>045160</t>
  </si>
  <si>
    <t>Közutak,hidak,alagutak üzemeltetése,fenntartása</t>
  </si>
  <si>
    <t>Háztartásoknak felhalmozási célú visszatérítendő támogatás (kamatmentes kölcsön)</t>
  </si>
  <si>
    <t>Beépítetlen terület (telek)</t>
  </si>
  <si>
    <t>- műszaki ellenőri feladatokra</t>
  </si>
  <si>
    <t>- tervezési feladatokra</t>
  </si>
  <si>
    <t>ELŐZŐ ÉVEK KÖLTSÉGVETÉSI MARADVÁNY IGÉNYBEVÉTELE:                                                                                   - 2015. ÉVRŐL ÁTHÚZÓDÓ FELADATOKRA</t>
  </si>
  <si>
    <t>Nyári diákmunka támogatása</t>
  </si>
  <si>
    <t>Ft-ban</t>
  </si>
  <si>
    <t xml:space="preserve"> Egyéb működési és felhalmozási kiadásai</t>
  </si>
  <si>
    <t>időskorúak támogatása</t>
  </si>
  <si>
    <t>Mérőrendszer bővítése</t>
  </si>
  <si>
    <t>052080 Szennyvízcsatorna építése,  fenntartása, üzemeltetése</t>
  </si>
  <si>
    <t>Eszközbeszerzés ( fűkaszák)</t>
  </si>
  <si>
    <t>Településrendezési terv módosítása</t>
  </si>
  <si>
    <t xml:space="preserve"> - A helyi önkormányzatok előző évi elszámolásából származó kiadások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</si>
</sst>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</numFmts>
  <fonts count="74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medium"/>
      <top>
        <color indexed="63"/>
      </top>
      <bottom style="double"/>
    </border>
    <border>
      <left style="thick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1" borderId="7" applyNumberFormat="0" applyFon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8" applyNumberFormat="0" applyAlignment="0" applyProtection="0"/>
    <xf numFmtId="0" fontId="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72" fillId="31" borderId="0" applyNumberFormat="0" applyBorder="0" applyAlignment="0" applyProtection="0"/>
    <xf numFmtId="0" fontId="73" fillId="29" borderId="1" applyNumberFormat="0" applyAlignment="0" applyProtection="0"/>
    <xf numFmtId="9" fontId="0" fillId="0" borderId="0" applyFont="0" applyFill="0" applyBorder="0" applyAlignment="0" applyProtection="0"/>
  </cellStyleXfs>
  <cellXfs count="771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8" applyFont="1">
      <alignment/>
      <protection/>
    </xf>
    <xf numFmtId="0" fontId="6" fillId="0" borderId="0" xfId="58" applyFont="1">
      <alignment/>
      <protection/>
    </xf>
    <xf numFmtId="164" fontId="12" fillId="0" borderId="0" xfId="58" applyNumberFormat="1" applyFont="1">
      <alignment/>
      <protection/>
    </xf>
    <xf numFmtId="0" fontId="4" fillId="0" borderId="0" xfId="61" applyFont="1">
      <alignment/>
      <protection/>
    </xf>
    <xf numFmtId="0" fontId="11" fillId="0" borderId="0" xfId="0" applyFont="1" applyAlignment="1">
      <alignment/>
    </xf>
    <xf numFmtId="0" fontId="12" fillId="0" borderId="0" xfId="60" applyFont="1">
      <alignment/>
      <protection/>
    </xf>
    <xf numFmtId="0" fontId="12" fillId="0" borderId="0" xfId="61" applyFont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57" applyFont="1">
      <alignment/>
      <protection/>
    </xf>
    <xf numFmtId="0" fontId="4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0" fontId="14" fillId="0" borderId="0" xfId="57" applyFont="1" applyAlignment="1">
      <alignment/>
      <protection/>
    </xf>
    <xf numFmtId="41" fontId="6" fillId="0" borderId="0" xfId="57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15" fillId="0" borderId="0" xfId="57" applyFont="1" applyAlignment="1">
      <alignment/>
      <protection/>
    </xf>
    <xf numFmtId="41" fontId="10" fillId="0" borderId="0" xfId="57" applyNumberFormat="1" applyFont="1" applyAlignment="1">
      <alignment horizontal="centerContinuous"/>
      <protection/>
    </xf>
    <xf numFmtId="0" fontId="11" fillId="0" borderId="0" xfId="57" applyFont="1">
      <alignment/>
      <protection/>
    </xf>
    <xf numFmtId="0" fontId="12" fillId="0" borderId="0" xfId="57" applyFont="1" applyAlignment="1">
      <alignment horizontal="right"/>
      <protection/>
    </xf>
    <xf numFmtId="41" fontId="13" fillId="0" borderId="0" xfId="57" applyNumberFormat="1" applyFont="1">
      <alignment/>
      <protection/>
    </xf>
    <xf numFmtId="41" fontId="6" fillId="0" borderId="0" xfId="57" applyNumberFormat="1" applyFont="1">
      <alignment/>
      <protection/>
    </xf>
    <xf numFmtId="0" fontId="11" fillId="0" borderId="0" xfId="60" applyFont="1">
      <alignment/>
      <protection/>
    </xf>
    <xf numFmtId="0" fontId="11" fillId="0" borderId="0" xfId="60" applyFont="1" applyAlignment="1">
      <alignment horizontal="center"/>
      <protection/>
    </xf>
    <xf numFmtId="0" fontId="10" fillId="0" borderId="10" xfId="60" applyFont="1" applyBorder="1" applyAlignment="1">
      <alignment horizontal="center"/>
      <protection/>
    </xf>
    <xf numFmtId="0" fontId="10" fillId="0" borderId="11" xfId="60" applyFont="1" applyBorder="1" applyAlignment="1">
      <alignment horizontal="center"/>
      <protection/>
    </xf>
    <xf numFmtId="0" fontId="10" fillId="0" borderId="12" xfId="60" applyFont="1" applyBorder="1" applyAlignment="1">
      <alignment horizontal="center"/>
      <protection/>
    </xf>
    <xf numFmtId="0" fontId="11" fillId="0" borderId="13" xfId="60" applyFont="1" applyBorder="1">
      <alignment/>
      <protection/>
    </xf>
    <xf numFmtId="0" fontId="10" fillId="0" borderId="14" xfId="60" applyFont="1" applyBorder="1" applyAlignment="1">
      <alignment horizontal="center"/>
      <protection/>
    </xf>
    <xf numFmtId="0" fontId="10" fillId="0" borderId="15" xfId="60" applyFont="1" applyBorder="1" applyAlignment="1">
      <alignment horizontal="center"/>
      <protection/>
    </xf>
    <xf numFmtId="0" fontId="10" fillId="0" borderId="0" xfId="60" applyFont="1">
      <alignment/>
      <protection/>
    </xf>
    <xf numFmtId="0" fontId="16" fillId="0" borderId="0" xfId="60" applyFont="1">
      <alignment/>
      <protection/>
    </xf>
    <xf numFmtId="0" fontId="17" fillId="0" borderId="0" xfId="60" applyFont="1">
      <alignment/>
      <protection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58" applyFont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14" fontId="6" fillId="0" borderId="0" xfId="0" applyNumberFormat="1" applyFont="1" applyAlignment="1">
      <alignment/>
    </xf>
    <xf numFmtId="0" fontId="12" fillId="0" borderId="0" xfId="58" applyFont="1" applyAlignment="1">
      <alignment horizontal="center"/>
      <protection/>
    </xf>
    <xf numFmtId="0" fontId="6" fillId="0" borderId="0" xfId="58" applyFont="1" applyAlignment="1">
      <alignment/>
      <protection/>
    </xf>
    <xf numFmtId="0" fontId="12" fillId="0" borderId="0" xfId="58" applyFont="1" applyAlignment="1">
      <alignment/>
      <protection/>
    </xf>
    <xf numFmtId="0" fontId="12" fillId="0" borderId="0" xfId="58" applyFont="1" applyAlignment="1">
      <alignment horizontal="left"/>
      <protection/>
    </xf>
    <xf numFmtId="0" fontId="12" fillId="0" borderId="16" xfId="58" applyFont="1" applyBorder="1" applyAlignment="1">
      <alignment horizontal="left"/>
      <protection/>
    </xf>
    <xf numFmtId="0" fontId="12" fillId="0" borderId="16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0" fontId="12" fillId="0" borderId="13" xfId="58" applyFont="1" applyBorder="1" applyAlignment="1">
      <alignment horizontal="center"/>
      <protection/>
    </xf>
    <xf numFmtId="0" fontId="12" fillId="0" borderId="15" xfId="58" applyFont="1" applyBorder="1" applyAlignment="1">
      <alignment horizontal="center"/>
      <protection/>
    </xf>
    <xf numFmtId="0" fontId="21" fillId="0" borderId="0" xfId="58" applyFont="1">
      <alignment/>
      <protection/>
    </xf>
    <xf numFmtId="0" fontId="10" fillId="0" borderId="0" xfId="58" applyFont="1" applyAlignment="1">
      <alignment/>
      <protection/>
    </xf>
    <xf numFmtId="0" fontId="7" fillId="0" borderId="0" xfId="58" applyFont="1" applyAlignment="1">
      <alignment horizontal="centerContinuous"/>
      <protection/>
    </xf>
    <xf numFmtId="0" fontId="7" fillId="0" borderId="0" xfId="58" applyFont="1" applyAlignment="1">
      <alignment horizontal="center"/>
      <protection/>
    </xf>
    <xf numFmtId="0" fontId="4" fillId="0" borderId="17" xfId="58" applyFont="1" applyBorder="1" applyAlignment="1">
      <alignment/>
      <protection/>
    </xf>
    <xf numFmtId="0" fontId="4" fillId="0" borderId="18" xfId="58" applyFont="1" applyBorder="1" applyAlignment="1">
      <alignment horizontal="center"/>
      <protection/>
    </xf>
    <xf numFmtId="0" fontId="4" fillId="0" borderId="0" xfId="58" applyFont="1">
      <alignment/>
      <protection/>
    </xf>
    <xf numFmtId="0" fontId="4" fillId="0" borderId="19" xfId="58" applyFont="1" applyBorder="1">
      <alignment/>
      <protection/>
    </xf>
    <xf numFmtId="0" fontId="4" fillId="0" borderId="12" xfId="58" applyFont="1" applyBorder="1" applyAlignment="1">
      <alignment horizontal="center"/>
      <protection/>
    </xf>
    <xf numFmtId="0" fontId="4" fillId="0" borderId="20" xfId="58" applyFont="1" applyBorder="1">
      <alignment/>
      <protection/>
    </xf>
    <xf numFmtId="0" fontId="4" fillId="0" borderId="14" xfId="58" applyFont="1" applyBorder="1" applyAlignment="1">
      <alignment horizontal="center"/>
      <protection/>
    </xf>
    <xf numFmtId="0" fontId="4" fillId="0" borderId="21" xfId="58" applyFont="1" applyBorder="1" applyAlignment="1">
      <alignment horizontal="left" vertical="center" wrapText="1"/>
      <protection/>
    </xf>
    <xf numFmtId="0" fontId="4" fillId="0" borderId="21" xfId="58" applyFont="1" applyBorder="1" applyAlignment="1">
      <alignment horizontal="left"/>
      <protection/>
    </xf>
    <xf numFmtId="0" fontId="4" fillId="0" borderId="22" xfId="58" applyFont="1" applyBorder="1">
      <alignment/>
      <protection/>
    </xf>
    <xf numFmtId="0" fontId="7" fillId="0" borderId="23" xfId="58" applyFont="1" applyBorder="1" applyAlignment="1">
      <alignment horizontal="right"/>
      <protection/>
    </xf>
    <xf numFmtId="0" fontId="7" fillId="0" borderId="24" xfId="58" applyFont="1" applyBorder="1" applyAlignment="1">
      <alignment horizontal="left"/>
      <protection/>
    </xf>
    <xf numFmtId="168" fontId="7" fillId="0" borderId="24" xfId="40" applyNumberFormat="1" applyFont="1" applyBorder="1" applyAlignment="1">
      <alignment horizontal="right"/>
    </xf>
    <xf numFmtId="168" fontId="7" fillId="0" borderId="25" xfId="40" applyNumberFormat="1" applyFont="1" applyBorder="1" applyAlignment="1">
      <alignment horizontal="right"/>
    </xf>
    <xf numFmtId="168" fontId="7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>
      <alignment/>
      <protection/>
    </xf>
    <xf numFmtId="168" fontId="7" fillId="0" borderId="0" xfId="40" applyNumberFormat="1" applyFont="1" applyBorder="1" applyAlignment="1">
      <alignment horizontal="center" vertical="center"/>
    </xf>
    <xf numFmtId="0" fontId="12" fillId="0" borderId="0" xfId="57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58" applyNumberFormat="1" applyFont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1" fillId="0" borderId="11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 vertical="center"/>
      <protection/>
    </xf>
    <xf numFmtId="0" fontId="12" fillId="0" borderId="0" xfId="0" applyFont="1" applyAlignment="1">
      <alignment horizontal="left" wrapText="1"/>
    </xf>
    <xf numFmtId="0" fontId="6" fillId="0" borderId="0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left" vertical="center"/>
      <protection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60" applyFont="1">
      <alignment/>
      <protection/>
    </xf>
    <xf numFmtId="0" fontId="6" fillId="0" borderId="0" xfId="0" applyFont="1" applyAlignment="1">
      <alignment horizontal="left" wrapText="1"/>
    </xf>
    <xf numFmtId="0" fontId="10" fillId="0" borderId="0" xfId="61" applyFont="1" applyAlignment="1">
      <alignment horizontal="center"/>
      <protection/>
    </xf>
    <xf numFmtId="0" fontId="11" fillId="0" borderId="0" xfId="61" applyFont="1">
      <alignment/>
      <protection/>
    </xf>
    <xf numFmtId="0" fontId="11" fillId="0" borderId="0" xfId="58" applyFont="1">
      <alignment/>
      <protection/>
    </xf>
    <xf numFmtId="0" fontId="11" fillId="0" borderId="26" xfId="60" applyFont="1" applyBorder="1" applyAlignment="1" quotePrefix="1">
      <alignment horizontal="center" vertical="center" wrapText="1"/>
      <protection/>
    </xf>
    <xf numFmtId="0" fontId="11" fillId="0" borderId="27" xfId="60" applyFont="1" applyBorder="1" applyAlignment="1">
      <alignment horizontal="left" wrapText="1"/>
      <protection/>
    </xf>
    <xf numFmtId="0" fontId="11" fillId="0" borderId="28" xfId="61" applyFont="1" applyBorder="1">
      <alignment/>
      <protection/>
    </xf>
    <xf numFmtId="0" fontId="11" fillId="0" borderId="29" xfId="61" applyFont="1" applyBorder="1">
      <alignment/>
      <protection/>
    </xf>
    <xf numFmtId="0" fontId="11" fillId="0" borderId="30" xfId="60" applyFont="1" applyBorder="1" applyAlignment="1" quotePrefix="1">
      <alignment horizontal="center" vertical="center" wrapText="1"/>
      <protection/>
    </xf>
    <xf numFmtId="0" fontId="11" fillId="0" borderId="31" xfId="61" applyFont="1" applyBorder="1">
      <alignment/>
      <protection/>
    </xf>
    <xf numFmtId="0" fontId="11" fillId="0" borderId="32" xfId="61" applyFont="1" applyBorder="1">
      <alignment/>
      <protection/>
    </xf>
    <xf numFmtId="0" fontId="11" fillId="0" borderId="33" xfId="61" applyFont="1" applyBorder="1">
      <alignment/>
      <protection/>
    </xf>
    <xf numFmtId="0" fontId="11" fillId="0" borderId="27" xfId="61" applyFont="1" applyBorder="1">
      <alignment/>
      <protection/>
    </xf>
    <xf numFmtId="0" fontId="11" fillId="0" borderId="28" xfId="60" applyFont="1" applyBorder="1" applyAlignment="1">
      <alignment horizontal="right"/>
      <protection/>
    </xf>
    <xf numFmtId="0" fontId="12" fillId="0" borderId="0" xfId="58" applyFont="1">
      <alignment/>
      <protection/>
    </xf>
    <xf numFmtId="0" fontId="18" fillId="0" borderId="0" xfId="58" applyFont="1">
      <alignment/>
      <protection/>
    </xf>
    <xf numFmtId="0" fontId="18" fillId="0" borderId="0" xfId="0" applyFont="1" applyAlignment="1">
      <alignment/>
    </xf>
    <xf numFmtId="0" fontId="6" fillId="0" borderId="11" xfId="58" applyFont="1" applyBorder="1" applyAlignment="1">
      <alignment horizontal="center"/>
      <protection/>
    </xf>
    <xf numFmtId="0" fontId="6" fillId="0" borderId="13" xfId="58" applyFont="1" applyBorder="1">
      <alignment/>
      <protection/>
    </xf>
    <xf numFmtId="0" fontId="6" fillId="0" borderId="13" xfId="58" applyFont="1" applyBorder="1" applyAlignment="1">
      <alignment horizontal="center"/>
      <protection/>
    </xf>
    <xf numFmtId="0" fontId="6" fillId="0" borderId="15" xfId="58" applyFont="1" applyBorder="1">
      <alignment/>
      <protection/>
    </xf>
    <xf numFmtId="0" fontId="12" fillId="0" borderId="0" xfId="58" applyFont="1" applyAlignment="1">
      <alignment horizontal="right"/>
      <protection/>
    </xf>
    <xf numFmtId="0" fontId="6" fillId="0" borderId="11" xfId="58" applyFont="1" applyBorder="1" applyAlignment="1">
      <alignment/>
      <protection/>
    </xf>
    <xf numFmtId="0" fontId="6" fillId="0" borderId="15" xfId="58" applyFont="1" applyBorder="1" applyAlignment="1">
      <alignment horizontal="center"/>
      <protection/>
    </xf>
    <xf numFmtId="0" fontId="12" fillId="0" borderId="0" xfId="58" applyFont="1" applyBorder="1" applyAlignment="1">
      <alignment horizontal="right"/>
      <protection/>
    </xf>
    <xf numFmtId="0" fontId="12" fillId="0" borderId="0" xfId="58" applyFont="1" applyBorder="1" applyAlignment="1">
      <alignment/>
      <protection/>
    </xf>
    <xf numFmtId="0" fontId="12" fillId="0" borderId="0" xfId="58" applyFont="1" applyBorder="1" applyAlignment="1">
      <alignment wrapText="1"/>
      <protection/>
    </xf>
    <xf numFmtId="0" fontId="12" fillId="0" borderId="28" xfId="58" applyFont="1" applyBorder="1" applyAlignment="1">
      <alignment horizontal="right"/>
      <protection/>
    </xf>
    <xf numFmtId="0" fontId="12" fillId="0" borderId="28" xfId="58" applyFont="1" applyBorder="1" applyAlignment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168" fontId="6" fillId="0" borderId="0" xfId="58" applyNumberFormat="1" applyFont="1">
      <alignment/>
      <protection/>
    </xf>
    <xf numFmtId="0" fontId="6" fillId="0" borderId="34" xfId="58" applyFont="1" applyBorder="1" applyAlignment="1">
      <alignment horizontal="right"/>
      <protection/>
    </xf>
    <xf numFmtId="0" fontId="6" fillId="0" borderId="34" xfId="58" applyFont="1" applyBorder="1">
      <alignment/>
      <protection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Border="1">
      <alignment/>
      <protection/>
    </xf>
    <xf numFmtId="0" fontId="12" fillId="0" borderId="0" xfId="59" applyFont="1">
      <alignment/>
      <protection/>
    </xf>
    <xf numFmtId="0" fontId="6" fillId="0" borderId="0" xfId="59" applyFont="1" applyBorder="1" applyAlignment="1">
      <alignment horizontal="center"/>
      <protection/>
    </xf>
    <xf numFmtId="0" fontId="25" fillId="0" borderId="28" xfId="0" applyFont="1" applyBorder="1" applyAlignment="1">
      <alignment/>
    </xf>
    <xf numFmtId="0" fontId="6" fillId="0" borderId="0" xfId="59" applyFont="1">
      <alignment/>
      <protection/>
    </xf>
    <xf numFmtId="0" fontId="6" fillId="0" borderId="34" xfId="59" applyFont="1" applyBorder="1" applyAlignment="1">
      <alignment horizontal="right"/>
      <protection/>
    </xf>
    <xf numFmtId="0" fontId="6" fillId="0" borderId="34" xfId="59" applyFont="1" applyBorder="1">
      <alignment/>
      <protection/>
    </xf>
    <xf numFmtId="168" fontId="6" fillId="0" borderId="0" xfId="59" applyNumberFormat="1" applyFont="1">
      <alignment/>
      <protection/>
    </xf>
    <xf numFmtId="0" fontId="12" fillId="0" borderId="0" xfId="59" applyFont="1" applyBorder="1" applyAlignment="1">
      <alignment horizontal="center" vertical="center"/>
      <protection/>
    </xf>
    <xf numFmtId="0" fontId="11" fillId="0" borderId="0" xfId="60" applyFont="1" applyAlignment="1">
      <alignment horizontal="left" wrapText="1"/>
      <protection/>
    </xf>
    <xf numFmtId="14" fontId="4" fillId="0" borderId="0" xfId="0" applyNumberFormat="1" applyFont="1" applyAlignment="1">
      <alignment/>
    </xf>
    <xf numFmtId="0" fontId="11" fillId="0" borderId="22" xfId="61" applyFont="1" applyBorder="1">
      <alignment/>
      <protection/>
    </xf>
    <xf numFmtId="0" fontId="23" fillId="0" borderId="34" xfId="58" applyFont="1" applyBorder="1" applyAlignment="1">
      <alignment horizontal="center"/>
      <protection/>
    </xf>
    <xf numFmtId="0" fontId="7" fillId="0" borderId="34" xfId="58" applyFont="1" applyBorder="1" applyAlignment="1">
      <alignment horizontal="center"/>
      <protection/>
    </xf>
    <xf numFmtId="164" fontId="11" fillId="0" borderId="32" xfId="61" applyNumberFormat="1" applyFont="1" applyBorder="1">
      <alignment/>
      <protection/>
    </xf>
    <xf numFmtId="164" fontId="11" fillId="0" borderId="28" xfId="61" applyNumberFormat="1" applyFont="1" applyBorder="1">
      <alignment/>
      <protection/>
    </xf>
    <xf numFmtId="0" fontId="26" fillId="0" borderId="0" xfId="58" applyFont="1">
      <alignment/>
      <protection/>
    </xf>
    <xf numFmtId="0" fontId="26" fillId="0" borderId="0" xfId="58" applyFont="1" applyAlignment="1">
      <alignment horizontal="center"/>
      <protection/>
    </xf>
    <xf numFmtId="0" fontId="11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23" fillId="0" borderId="0" xfId="58" applyFont="1" applyAlignment="1">
      <alignment horizontal="center"/>
      <protection/>
    </xf>
    <xf numFmtId="0" fontId="4" fillId="0" borderId="0" xfId="0" applyFont="1" applyAlignment="1">
      <alignment/>
    </xf>
    <xf numFmtId="0" fontId="11" fillId="0" borderId="35" xfId="60" applyFont="1" applyBorder="1" applyAlignment="1" quotePrefix="1">
      <alignment horizontal="center" vertical="center" wrapText="1"/>
      <protection/>
    </xf>
    <xf numFmtId="0" fontId="11" fillId="0" borderId="0" xfId="60" applyFont="1" applyBorder="1" applyAlignment="1">
      <alignment horizontal="left" wrapText="1"/>
      <protection/>
    </xf>
    <xf numFmtId="0" fontId="10" fillId="0" borderId="36" xfId="61" applyFont="1" applyBorder="1">
      <alignment/>
      <protection/>
    </xf>
    <xf numFmtId="0" fontId="10" fillId="0" borderId="34" xfId="61" applyFont="1" applyBorder="1">
      <alignment/>
      <protection/>
    </xf>
    <xf numFmtId="0" fontId="11" fillId="0" borderId="37" xfId="60" applyFont="1" applyBorder="1" applyAlignment="1" quotePrefix="1">
      <alignment horizontal="center" vertical="center" wrapText="1"/>
      <protection/>
    </xf>
    <xf numFmtId="0" fontId="4" fillId="0" borderId="34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60" applyFont="1">
      <alignment/>
      <protection/>
    </xf>
    <xf numFmtId="0" fontId="6" fillId="0" borderId="0" xfId="61" applyFont="1" applyAlignment="1">
      <alignment horizontal="centerContinuous"/>
      <protection/>
    </xf>
    <xf numFmtId="0" fontId="28" fillId="0" borderId="0" xfId="61" applyFont="1">
      <alignment/>
      <protection/>
    </xf>
    <xf numFmtId="0" fontId="6" fillId="0" borderId="11" xfId="61" applyFont="1" applyBorder="1">
      <alignment/>
      <protection/>
    </xf>
    <xf numFmtId="0" fontId="6" fillId="0" borderId="11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5" xfId="61" applyFont="1" applyBorder="1">
      <alignment/>
      <protection/>
    </xf>
    <xf numFmtId="0" fontId="6" fillId="0" borderId="15" xfId="61" applyFont="1" applyBorder="1" applyAlignment="1">
      <alignment horizontal="center"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0" fontId="12" fillId="0" borderId="0" xfId="61" applyFont="1" applyBorder="1">
      <alignment/>
      <protection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6" fillId="0" borderId="34" xfId="0" applyFont="1" applyBorder="1" applyAlignment="1">
      <alignment/>
    </xf>
    <xf numFmtId="0" fontId="12" fillId="0" borderId="40" xfId="0" applyFont="1" applyBorder="1" applyAlignment="1">
      <alignment horizontal="center"/>
    </xf>
    <xf numFmtId="0" fontId="6" fillId="0" borderId="22" xfId="0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34" xfId="0" applyFont="1" applyBorder="1" applyAlignment="1">
      <alignment/>
    </xf>
    <xf numFmtId="0" fontId="6" fillId="0" borderId="36" xfId="0" applyFont="1" applyBorder="1" applyAlignment="1">
      <alignment/>
    </xf>
    <xf numFmtId="0" fontId="12" fillId="0" borderId="28" xfId="0" applyFont="1" applyBorder="1" applyAlignment="1">
      <alignment horizontal="left" wrapText="1"/>
    </xf>
    <xf numFmtId="168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60" applyFont="1" applyBorder="1" applyAlignment="1">
      <alignment horizontal="left" wrapText="1"/>
      <protection/>
    </xf>
    <xf numFmtId="0" fontId="6" fillId="0" borderId="0" xfId="61" applyFont="1" applyBorder="1" quotePrefix="1">
      <alignment/>
      <protection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31" fillId="0" borderId="0" xfId="40" applyNumberFormat="1" applyFont="1" applyAlignment="1">
      <alignment/>
    </xf>
    <xf numFmtId="0" fontId="12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2" fillId="0" borderId="0" xfId="40" applyNumberFormat="1" applyFont="1" applyAlignment="1">
      <alignment horizontal="center"/>
    </xf>
    <xf numFmtId="0" fontId="20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 horizontal="centerContinuous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13" xfId="57" applyFont="1" applyBorder="1" applyAlignment="1">
      <alignment horizontal="centerContinuous"/>
      <protection/>
    </xf>
    <xf numFmtId="0" fontId="6" fillId="0" borderId="34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Continuous"/>
      <protection/>
    </xf>
    <xf numFmtId="41" fontId="12" fillId="0" borderId="0" xfId="57" applyNumberFormat="1" applyFont="1">
      <alignment/>
      <protection/>
    </xf>
    <xf numFmtId="41" fontId="12" fillId="0" borderId="0" xfId="57" applyNumberFormat="1" applyFont="1" applyBorder="1" applyAlignment="1">
      <alignment horizontal="center"/>
      <protection/>
    </xf>
    <xf numFmtId="41" fontId="12" fillId="0" borderId="0" xfId="57" applyNumberFormat="1" applyFont="1" applyBorder="1">
      <alignment/>
      <protection/>
    </xf>
    <xf numFmtId="41" fontId="33" fillId="0" borderId="41" xfId="57" applyNumberFormat="1" applyFont="1" applyBorder="1" applyAlignment="1">
      <alignment horizontal="centerContinuous"/>
      <protection/>
    </xf>
    <xf numFmtId="0" fontId="21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/>
      <protection/>
    </xf>
    <xf numFmtId="41" fontId="21" fillId="0" borderId="0" xfId="57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/>
      <protection/>
    </xf>
    <xf numFmtId="41" fontId="5" fillId="0" borderId="0" xfId="57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wrapText="1"/>
      <protection/>
    </xf>
    <xf numFmtId="41" fontId="12" fillId="0" borderId="41" xfId="57" applyNumberFormat="1" applyFont="1" applyBorder="1">
      <alignment/>
      <protection/>
    </xf>
    <xf numFmtId="0" fontId="21" fillId="0" borderId="0" xfId="57" applyFont="1" applyBorder="1" applyAlignment="1">
      <alignment wrapText="1"/>
      <protection/>
    </xf>
    <xf numFmtId="41" fontId="21" fillId="0" borderId="0" xfId="57" applyNumberFormat="1" applyFont="1" applyBorder="1">
      <alignment/>
      <protection/>
    </xf>
    <xf numFmtId="0" fontId="5" fillId="0" borderId="0" xfId="57" applyFont="1" applyBorder="1" applyAlignment="1">
      <alignment wrapText="1"/>
      <protection/>
    </xf>
    <xf numFmtId="41" fontId="5" fillId="0" borderId="0" xfId="57" applyNumberFormat="1" applyFont="1" applyBorder="1" applyAlignment="1">
      <alignment/>
      <protection/>
    </xf>
    <xf numFmtId="0" fontId="28" fillId="0" borderId="0" xfId="0" applyFont="1" applyBorder="1" applyAlignment="1">
      <alignment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Border="1">
      <alignment/>
      <protection/>
    </xf>
    <xf numFmtId="0" fontId="33" fillId="0" borderId="0" xfId="57" applyFont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4" fontId="20" fillId="0" borderId="0" xfId="0" applyNumberFormat="1" applyFont="1" applyAlignment="1">
      <alignment/>
    </xf>
    <xf numFmtId="0" fontId="12" fillId="0" borderId="0" xfId="58" applyFont="1" applyBorder="1" applyAlignment="1">
      <alignment horizontal="center"/>
      <protection/>
    </xf>
    <xf numFmtId="0" fontId="12" fillId="0" borderId="42" xfId="58" applyFont="1" applyBorder="1" applyAlignment="1">
      <alignment horizontal="center" vertical="center"/>
      <protection/>
    </xf>
    <xf numFmtId="0" fontId="12" fillId="0" borderId="43" xfId="58" applyFont="1" applyBorder="1" applyAlignment="1">
      <alignment horizontal="center" vertical="center"/>
      <protection/>
    </xf>
    <xf numFmtId="0" fontId="12" fillId="0" borderId="12" xfId="58" applyFont="1" applyBorder="1" applyAlignment="1">
      <alignment horizontal="center" vertical="center"/>
      <protection/>
    </xf>
    <xf numFmtId="0" fontId="12" fillId="0" borderId="44" xfId="58" applyFont="1" applyBorder="1" applyAlignment="1">
      <alignment horizontal="center" vertical="center"/>
      <protection/>
    </xf>
    <xf numFmtId="0" fontId="12" fillId="0" borderId="16" xfId="58" applyFont="1" applyBorder="1" applyAlignment="1">
      <alignment horizontal="center" vertical="center"/>
      <protection/>
    </xf>
    <xf numFmtId="0" fontId="12" fillId="0" borderId="45" xfId="58" applyFont="1" applyBorder="1" applyAlignment="1">
      <alignment horizontal="center" vertical="center"/>
      <protection/>
    </xf>
    <xf numFmtId="0" fontId="12" fillId="0" borderId="14" xfId="58" applyFont="1" applyBorder="1" applyAlignment="1">
      <alignment horizontal="center" vertical="center"/>
      <protection/>
    </xf>
    <xf numFmtId="168" fontId="4" fillId="0" borderId="33" xfId="60" applyNumberFormat="1" applyFont="1" applyBorder="1" applyAlignment="1">
      <alignment/>
      <protection/>
    </xf>
    <xf numFmtId="168" fontId="4" fillId="0" borderId="33" xfId="60" applyNumberFormat="1" applyFont="1" applyBorder="1" applyAlignment="1">
      <alignment horizontal="right"/>
      <protection/>
    </xf>
    <xf numFmtId="0" fontId="10" fillId="0" borderId="0" xfId="60" applyFont="1" applyBorder="1" applyAlignment="1" quotePrefix="1">
      <alignment horizontal="left" wrapText="1"/>
      <protection/>
    </xf>
    <xf numFmtId="0" fontId="11" fillId="0" borderId="0" xfId="60" applyFont="1" applyBorder="1" applyAlignment="1" quotePrefix="1">
      <alignment horizontal="left" wrapText="1"/>
      <protection/>
    </xf>
    <xf numFmtId="0" fontId="10" fillId="0" borderId="0" xfId="61" applyFont="1" applyBorder="1" quotePrefix="1">
      <alignment/>
      <protection/>
    </xf>
    <xf numFmtId="0" fontId="6" fillId="0" borderId="0" xfId="58" applyFont="1" applyBorder="1" applyAlignment="1">
      <alignment horizontal="center"/>
      <protection/>
    </xf>
    <xf numFmtId="0" fontId="6" fillId="0" borderId="42" xfId="58" applyFont="1" applyBorder="1">
      <alignment/>
      <protection/>
    </xf>
    <xf numFmtId="0" fontId="6" fillId="0" borderId="42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2" fillId="0" borderId="28" xfId="0" applyFont="1" applyBorder="1" applyAlignment="1" quotePrefix="1">
      <alignment/>
    </xf>
    <xf numFmtId="0" fontId="0" fillId="0" borderId="0" xfId="0" applyAlignment="1">
      <alignment horizontal="center"/>
    </xf>
    <xf numFmtId="0" fontId="37" fillId="0" borderId="0" xfId="0" applyFont="1" applyAlignment="1" quotePrefix="1">
      <alignment/>
    </xf>
    <xf numFmtId="0" fontId="0" fillId="0" borderId="0" xfId="0" applyNumberFormat="1" applyAlignment="1" quotePrefix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0" fillId="0" borderId="0" xfId="0" applyAlignment="1">
      <alignment wrapText="1"/>
    </xf>
    <xf numFmtId="0" fontId="12" fillId="0" borderId="10" xfId="58" applyFont="1" applyBorder="1" applyAlignment="1">
      <alignment horizontal="left" vertical="center"/>
      <protection/>
    </xf>
    <xf numFmtId="0" fontId="4" fillId="0" borderId="0" xfId="0" applyFont="1" applyBorder="1" applyAlignment="1">
      <alignment/>
    </xf>
    <xf numFmtId="0" fontId="11" fillId="0" borderId="0" xfId="60" applyFont="1" applyBorder="1" applyAlignment="1">
      <alignment horizontal="right"/>
      <protection/>
    </xf>
    <xf numFmtId="0" fontId="22" fillId="0" borderId="0" xfId="60" applyFont="1" applyBorder="1">
      <alignment/>
      <protection/>
    </xf>
    <xf numFmtId="0" fontId="11" fillId="0" borderId="0" xfId="60" applyFont="1" applyBorder="1">
      <alignment/>
      <protection/>
    </xf>
    <xf numFmtId="0" fontId="22" fillId="0" borderId="0" xfId="0" applyFont="1" applyAlignment="1">
      <alignment horizontal="left"/>
    </xf>
    <xf numFmtId="168" fontId="11" fillId="0" borderId="0" xfId="42" applyNumberFormat="1" applyFont="1" applyAlignment="1">
      <alignment/>
    </xf>
    <xf numFmtId="168" fontId="6" fillId="0" borderId="0" xfId="42" applyNumberFormat="1" applyFont="1" applyAlignment="1">
      <alignment/>
    </xf>
    <xf numFmtId="168" fontId="12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70" fontId="10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0" fontId="6" fillId="0" borderId="0" xfId="0" applyFont="1" applyAlignment="1" quotePrefix="1">
      <alignment/>
    </xf>
    <xf numFmtId="168" fontId="5" fillId="0" borderId="0" xfId="42" applyNumberFormat="1" applyFont="1" applyAlignment="1">
      <alignment/>
    </xf>
    <xf numFmtId="3" fontId="10" fillId="0" borderId="0" xfId="42" applyNumberFormat="1" applyFont="1" applyAlignment="1">
      <alignment/>
    </xf>
    <xf numFmtId="3" fontId="7" fillId="0" borderId="0" xfId="42" applyNumberFormat="1" applyFont="1" applyAlignment="1">
      <alignment horizontal="right"/>
    </xf>
    <xf numFmtId="168" fontId="4" fillId="0" borderId="0" xfId="42" applyNumberFormat="1" applyFont="1" applyAlignment="1">
      <alignment horizontal="right"/>
    </xf>
    <xf numFmtId="3" fontId="7" fillId="0" borderId="0" xfId="42" applyNumberFormat="1" applyFont="1" applyAlignment="1">
      <alignment/>
    </xf>
    <xf numFmtId="168" fontId="7" fillId="0" borderId="0" xfId="42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42" applyNumberFormat="1" applyFont="1" applyAlignment="1">
      <alignment/>
    </xf>
    <xf numFmtId="3" fontId="12" fillId="0" borderId="0" xfId="42" applyNumberFormat="1" applyFont="1" applyAlignment="1">
      <alignment wrapText="1"/>
    </xf>
    <xf numFmtId="168" fontId="12" fillId="0" borderId="0" xfId="42" applyNumberFormat="1" applyFont="1" applyBorder="1" applyAlignment="1">
      <alignment horizontal="center"/>
    </xf>
    <xf numFmtId="168" fontId="12" fillId="0" borderId="0" xfId="42" applyNumberFormat="1" applyFont="1" applyAlignment="1">
      <alignment wrapText="1"/>
    </xf>
    <xf numFmtId="168" fontId="6" fillId="0" borderId="0" xfId="42" applyNumberFormat="1" applyFont="1" applyAlignment="1">
      <alignment/>
    </xf>
    <xf numFmtId="168" fontId="12" fillId="0" borderId="0" xfId="42" applyNumberFormat="1" applyFont="1" applyAlignment="1">
      <alignment/>
    </xf>
    <xf numFmtId="168" fontId="12" fillId="0" borderId="15" xfId="42" applyNumberFormat="1" applyFont="1" applyBorder="1" applyAlignment="1">
      <alignment horizontal="center"/>
    </xf>
    <xf numFmtId="168" fontId="12" fillId="0" borderId="13" xfId="42" applyNumberFormat="1" applyFont="1" applyBorder="1" applyAlignment="1">
      <alignment horizontal="center"/>
    </xf>
    <xf numFmtId="168" fontId="12" fillId="0" borderId="11" xfId="42" applyNumberFormat="1" applyFont="1" applyBorder="1" applyAlignment="1">
      <alignment horizontal="center"/>
    </xf>
    <xf numFmtId="168" fontId="6" fillId="0" borderId="0" xfId="42" applyNumberFormat="1" applyFont="1" applyAlignment="1">
      <alignment wrapText="1"/>
    </xf>
    <xf numFmtId="168" fontId="18" fillId="0" borderId="0" xfId="42" applyNumberFormat="1" applyFont="1" applyAlignment="1">
      <alignment/>
    </xf>
    <xf numFmtId="4" fontId="18" fillId="0" borderId="0" xfId="0" applyNumberFormat="1" applyFont="1" applyAlignment="1">
      <alignment/>
    </xf>
    <xf numFmtId="3" fontId="18" fillId="0" borderId="0" xfId="42" applyNumberFormat="1" applyFont="1" applyAlignment="1">
      <alignment/>
    </xf>
    <xf numFmtId="3" fontId="12" fillId="0" borderId="0" xfId="58" applyNumberFormat="1" applyFont="1">
      <alignment/>
      <protection/>
    </xf>
    <xf numFmtId="168" fontId="4" fillId="0" borderId="34" xfId="42" applyNumberFormat="1" applyFont="1" applyBorder="1" applyAlignment="1">
      <alignment/>
    </xf>
    <xf numFmtId="168" fontId="4" fillId="0" borderId="46" xfId="42" applyNumberFormat="1" applyFont="1" applyBorder="1" applyAlignment="1">
      <alignment/>
    </xf>
    <xf numFmtId="168" fontId="4" fillId="0" borderId="28" xfId="42" applyNumberFormat="1" applyFont="1" applyBorder="1" applyAlignment="1">
      <alignment/>
    </xf>
    <xf numFmtId="168" fontId="4" fillId="0" borderId="47" xfId="42" applyNumberFormat="1" applyFont="1" applyBorder="1" applyAlignment="1">
      <alignment/>
    </xf>
    <xf numFmtId="168" fontId="4" fillId="0" borderId="22" xfId="42" applyNumberFormat="1" applyFont="1" applyBorder="1" applyAlignment="1">
      <alignment/>
    </xf>
    <xf numFmtId="168" fontId="23" fillId="0" borderId="43" xfId="42" applyNumberFormat="1" applyFont="1" applyBorder="1" applyAlignment="1">
      <alignment horizontal="center"/>
    </xf>
    <xf numFmtId="168" fontId="23" fillId="0" borderId="11" xfId="42" applyNumberFormat="1" applyFont="1" applyBorder="1" applyAlignment="1">
      <alignment horizontal="center" wrapText="1"/>
    </xf>
    <xf numFmtId="168" fontId="23" fillId="0" borderId="11" xfId="42" applyNumberFormat="1" applyFont="1" applyBorder="1" applyAlignment="1">
      <alignment horizontal="center"/>
    </xf>
    <xf numFmtId="168" fontId="23" fillId="0" borderId="0" xfId="42" applyNumberFormat="1" applyFont="1" applyAlignment="1">
      <alignment horizontal="centerContinuous"/>
    </xf>
    <xf numFmtId="168" fontId="10" fillId="0" borderId="0" xfId="42" applyNumberFormat="1" applyFont="1" applyAlignment="1">
      <alignment/>
    </xf>
    <xf numFmtId="168" fontId="26" fillId="0" borderId="0" xfId="42" applyNumberFormat="1" applyFont="1" applyAlignment="1">
      <alignment/>
    </xf>
    <xf numFmtId="0" fontId="4" fillId="0" borderId="0" xfId="61" applyFont="1" applyAlignment="1">
      <alignment vertical="center"/>
      <protection/>
    </xf>
    <xf numFmtId="0" fontId="10" fillId="0" borderId="34" xfId="61" applyFont="1" applyBorder="1" applyAlignment="1">
      <alignment vertical="center"/>
      <protection/>
    </xf>
    <xf numFmtId="0" fontId="10" fillId="0" borderId="34" xfId="60" applyFont="1" applyBorder="1" applyAlignment="1">
      <alignment vertical="center"/>
      <protection/>
    </xf>
    <xf numFmtId="0" fontId="10" fillId="0" borderId="36" xfId="60" applyFont="1" applyBorder="1" applyAlignment="1">
      <alignment vertical="center"/>
      <protection/>
    </xf>
    <xf numFmtId="168" fontId="11" fillId="0" borderId="0" xfId="42" applyNumberFormat="1" applyFont="1" applyAlignment="1">
      <alignment/>
    </xf>
    <xf numFmtId="168" fontId="16" fillId="0" borderId="0" xfId="42" applyNumberFormat="1" applyFont="1" applyAlignment="1">
      <alignment/>
    </xf>
    <xf numFmtId="170" fontId="11" fillId="0" borderId="0" xfId="42" applyNumberFormat="1" applyFont="1" applyAlignment="1">
      <alignment/>
    </xf>
    <xf numFmtId="168" fontId="6" fillId="0" borderId="15" xfId="42" applyNumberFormat="1" applyFont="1" applyBorder="1" applyAlignment="1">
      <alignment horizontal="center" wrapText="1"/>
    </xf>
    <xf numFmtId="168" fontId="6" fillId="0" borderId="13" xfId="42" applyNumberFormat="1" applyFont="1" applyBorder="1" applyAlignment="1">
      <alignment horizontal="center" wrapText="1"/>
    </xf>
    <xf numFmtId="168" fontId="6" fillId="0" borderId="11" xfId="42" applyNumberFormat="1" applyFont="1" applyBorder="1" applyAlignment="1">
      <alignment horizontal="center" wrapText="1"/>
    </xf>
    <xf numFmtId="168" fontId="12" fillId="0" borderId="0" xfId="42" applyNumberFormat="1" applyFont="1" applyAlignment="1">
      <alignment horizontal="center"/>
    </xf>
    <xf numFmtId="44" fontId="12" fillId="0" borderId="0" xfId="65" applyFont="1" applyAlignment="1">
      <alignment horizontal="left" wrapText="1"/>
    </xf>
    <xf numFmtId="168" fontId="12" fillId="0" borderId="0" xfId="42" applyNumberFormat="1" applyFont="1" applyAlignment="1">
      <alignment/>
    </xf>
    <xf numFmtId="168" fontId="6" fillId="0" borderId="0" xfId="42" applyNumberFormat="1" applyFont="1" applyBorder="1" applyAlignment="1">
      <alignment horizontal="center"/>
    </xf>
    <xf numFmtId="168" fontId="6" fillId="0" borderId="15" xfId="42" applyNumberFormat="1" applyFont="1" applyBorder="1" applyAlignment="1">
      <alignment horizontal="center"/>
    </xf>
    <xf numFmtId="168" fontId="6" fillId="0" borderId="13" xfId="42" applyNumberFormat="1" applyFont="1" applyBorder="1" applyAlignment="1">
      <alignment horizontal="center"/>
    </xf>
    <xf numFmtId="168" fontId="6" fillId="0" borderId="11" xfId="42" applyNumberFormat="1" applyFont="1" applyBorder="1" applyAlignment="1">
      <alignment horizontal="center"/>
    </xf>
    <xf numFmtId="168" fontId="6" fillId="0" borderId="0" xfId="42" applyNumberFormat="1" applyFont="1" applyBorder="1" applyAlignment="1">
      <alignment/>
    </xf>
    <xf numFmtId="168" fontId="12" fillId="0" borderId="0" xfId="42" applyNumberFormat="1" applyFont="1" applyBorder="1" applyAlignment="1">
      <alignment/>
    </xf>
    <xf numFmtId="168" fontId="18" fillId="0" borderId="0" xfId="42" applyNumberFormat="1" applyFont="1" applyAlignment="1">
      <alignment/>
    </xf>
    <xf numFmtId="169" fontId="12" fillId="0" borderId="0" xfId="42" applyNumberFormat="1" applyFont="1" applyAlignment="1">
      <alignment/>
    </xf>
    <xf numFmtId="168" fontId="12" fillId="0" borderId="48" xfId="42" applyNumberFormat="1" applyFont="1" applyBorder="1" applyAlignment="1">
      <alignment/>
    </xf>
    <xf numFmtId="168" fontId="12" fillId="0" borderId="49" xfId="42" applyNumberFormat="1" applyFont="1" applyBorder="1" applyAlignment="1">
      <alignment/>
    </xf>
    <xf numFmtId="168" fontId="6" fillId="0" borderId="34" xfId="42" applyNumberFormat="1" applyFont="1" applyBorder="1" applyAlignment="1">
      <alignment/>
    </xf>
    <xf numFmtId="168" fontId="6" fillId="0" borderId="50" xfId="42" applyNumberFormat="1" applyFont="1" applyBorder="1" applyAlignment="1">
      <alignment/>
    </xf>
    <xf numFmtId="168" fontId="12" fillId="0" borderId="46" xfId="42" applyNumberFormat="1" applyFont="1" applyBorder="1" applyAlignment="1">
      <alignment/>
    </xf>
    <xf numFmtId="168" fontId="12" fillId="0" borderId="28" xfId="42" applyNumberFormat="1" applyFont="1" applyBorder="1" applyAlignment="1">
      <alignment/>
    </xf>
    <xf numFmtId="168" fontId="12" fillId="0" borderId="51" xfId="42" applyNumberFormat="1" applyFont="1" applyBorder="1" applyAlignment="1">
      <alignment/>
    </xf>
    <xf numFmtId="168" fontId="12" fillId="0" borderId="28" xfId="42" applyNumberFormat="1" applyFont="1" applyFill="1" applyBorder="1" applyAlignment="1">
      <alignment/>
    </xf>
    <xf numFmtId="168" fontId="12" fillId="0" borderId="32" xfId="42" applyNumberFormat="1" applyFont="1" applyFill="1" applyBorder="1" applyAlignment="1">
      <alignment/>
    </xf>
    <xf numFmtId="168" fontId="29" fillId="0" borderId="32" xfId="42" applyNumberFormat="1" applyFont="1" applyFill="1" applyBorder="1" applyAlignment="1">
      <alignment/>
    </xf>
    <xf numFmtId="168" fontId="29" fillId="0" borderId="28" xfId="42" applyNumberFormat="1" applyFont="1" applyFill="1" applyBorder="1" applyAlignment="1">
      <alignment/>
    </xf>
    <xf numFmtId="168" fontId="12" fillId="0" borderId="28" xfId="42" applyNumberFormat="1" applyFont="1" applyBorder="1" applyAlignment="1">
      <alignment/>
    </xf>
    <xf numFmtId="168" fontId="12" fillId="0" borderId="15" xfId="42" applyNumberFormat="1" applyFont="1" applyBorder="1" applyAlignment="1">
      <alignment/>
    </xf>
    <xf numFmtId="168" fontId="12" fillId="0" borderId="52" xfId="42" applyNumberFormat="1" applyFont="1" applyBorder="1" applyAlignment="1">
      <alignment/>
    </xf>
    <xf numFmtId="168" fontId="12" fillId="0" borderId="53" xfId="42" applyNumberFormat="1" applyFont="1" applyBorder="1" applyAlignment="1">
      <alignment/>
    </xf>
    <xf numFmtId="168" fontId="12" fillId="0" borderId="54" xfId="42" applyNumberFormat="1" applyFont="1" applyBorder="1" applyAlignment="1">
      <alignment/>
    </xf>
    <xf numFmtId="168" fontId="12" fillId="0" borderId="55" xfId="42" applyNumberFormat="1" applyFont="1" applyBorder="1" applyAlignment="1">
      <alignment horizontal="center"/>
    </xf>
    <xf numFmtId="168" fontId="12" fillId="0" borderId="21" xfId="42" applyNumberFormat="1" applyFont="1" applyBorder="1" applyAlignment="1">
      <alignment horizontal="center"/>
    </xf>
    <xf numFmtId="168" fontId="12" fillId="0" borderId="56" xfId="42" applyNumberFormat="1" applyFont="1" applyBorder="1" applyAlignment="1">
      <alignment horizontal="center"/>
    </xf>
    <xf numFmtId="168" fontId="12" fillId="0" borderId="11" xfId="42" applyNumberFormat="1" applyFont="1" applyBorder="1" applyAlignment="1">
      <alignment/>
    </xf>
    <xf numFmtId="168" fontId="12" fillId="0" borderId="57" xfId="42" applyNumberFormat="1" applyFont="1" applyBorder="1" applyAlignment="1">
      <alignment/>
    </xf>
    <xf numFmtId="168" fontId="12" fillId="0" borderId="58" xfId="42" applyNumberFormat="1" applyFont="1" applyBorder="1" applyAlignment="1">
      <alignment/>
    </xf>
    <xf numFmtId="168" fontId="6" fillId="0" borderId="58" xfId="42" applyNumberFormat="1" applyFont="1" applyBorder="1" applyAlignment="1">
      <alignment/>
    </xf>
    <xf numFmtId="168" fontId="6" fillId="0" borderId="57" xfId="42" applyNumberFormat="1" applyFont="1" applyBorder="1" applyAlignment="1">
      <alignment/>
    </xf>
    <xf numFmtId="168" fontId="6" fillId="0" borderId="59" xfId="42" applyNumberFormat="1" applyFont="1" applyBorder="1" applyAlignment="1">
      <alignment/>
    </xf>
    <xf numFmtId="168" fontId="6" fillId="0" borderId="11" xfId="42" applyNumberFormat="1" applyFont="1" applyBorder="1" applyAlignment="1">
      <alignment/>
    </xf>
    <xf numFmtId="168" fontId="12" fillId="0" borderId="0" xfId="42" applyNumberFormat="1" applyFont="1" applyAlignment="1">
      <alignment horizontal="center"/>
    </xf>
    <xf numFmtId="168" fontId="6" fillId="0" borderId="0" xfId="42" applyNumberFormat="1" applyFont="1" applyBorder="1" applyAlignment="1">
      <alignment/>
    </xf>
    <xf numFmtId="0" fontId="4" fillId="0" borderId="0" xfId="60" applyFont="1" applyAlignment="1">
      <alignment horizontal="left"/>
      <protection/>
    </xf>
    <xf numFmtId="0" fontId="38" fillId="0" borderId="0" xfId="0" applyFont="1" applyAlignment="1">
      <alignment horizontal="center"/>
    </xf>
    <xf numFmtId="3" fontId="4" fillId="0" borderId="0" xfId="42" applyNumberFormat="1" applyFont="1" applyAlignment="1">
      <alignment horizontal="right"/>
    </xf>
    <xf numFmtId="3" fontId="4" fillId="0" borderId="0" xfId="42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42" applyNumberFormat="1" applyFont="1" applyAlignment="1">
      <alignment/>
    </xf>
    <xf numFmtId="170" fontId="11" fillId="0" borderId="0" xfId="42" applyNumberFormat="1" applyFont="1" applyAlignment="1">
      <alignment/>
    </xf>
    <xf numFmtId="170" fontId="7" fillId="0" borderId="0" xfId="42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42" applyNumberFormat="1" applyFont="1" applyAlignment="1">
      <alignment/>
    </xf>
    <xf numFmtId="3" fontId="12" fillId="0" borderId="0" xfId="42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6" fillId="0" borderId="0" xfId="42" applyNumberFormat="1" applyFont="1" applyAlignment="1">
      <alignment/>
    </xf>
    <xf numFmtId="3" fontId="12" fillId="0" borderId="0" xfId="42" applyNumberFormat="1" applyFont="1" applyBorder="1" applyAlignment="1">
      <alignment horizontal="center"/>
    </xf>
    <xf numFmtId="3" fontId="12" fillId="0" borderId="0" xfId="42" applyNumberFormat="1" applyFont="1" applyBorder="1" applyAlignment="1">
      <alignment horizontal="right"/>
    </xf>
    <xf numFmtId="3" fontId="6" fillId="0" borderId="0" xfId="42" applyNumberFormat="1" applyFont="1" applyBorder="1" applyAlignment="1">
      <alignment horizontal="right"/>
    </xf>
    <xf numFmtId="3" fontId="6" fillId="0" borderId="0" xfId="42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42" applyNumberFormat="1" applyFont="1" applyBorder="1" applyAlignment="1">
      <alignment horizontal="center"/>
    </xf>
    <xf numFmtId="3" fontId="12" fillId="0" borderId="0" xfId="42" applyNumberFormat="1" applyFont="1" applyBorder="1" applyAlignment="1">
      <alignment horizontal="center"/>
    </xf>
    <xf numFmtId="3" fontId="12" fillId="0" borderId="0" xfId="42" applyNumberFormat="1" applyFont="1" applyBorder="1" applyAlignment="1">
      <alignment horizontal="right"/>
    </xf>
    <xf numFmtId="3" fontId="12" fillId="0" borderId="0" xfId="0" applyNumberFormat="1" applyFont="1" applyAlignment="1">
      <alignment wrapText="1"/>
    </xf>
    <xf numFmtId="3" fontId="6" fillId="0" borderId="0" xfId="42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3" fontId="12" fillId="0" borderId="0" xfId="42" applyNumberFormat="1" applyFont="1" applyAlignment="1">
      <alignment horizontal="right"/>
    </xf>
    <xf numFmtId="3" fontId="12" fillId="0" borderId="0" xfId="42" applyNumberFormat="1" applyFont="1" applyAlignment="1">
      <alignment horizontal="right" wrapText="1"/>
    </xf>
    <xf numFmtId="3" fontId="18" fillId="0" borderId="0" xfId="58" applyNumberFormat="1" applyFont="1">
      <alignment/>
      <protection/>
    </xf>
    <xf numFmtId="3" fontId="18" fillId="0" borderId="0" xfId="42" applyNumberFormat="1" applyFont="1" applyAlignment="1">
      <alignment wrapText="1"/>
    </xf>
    <xf numFmtId="3" fontId="10" fillId="0" borderId="36" xfId="60" applyNumberFormat="1" applyFont="1" applyBorder="1" applyAlignment="1">
      <alignment horizontal="right" vertical="center"/>
      <protection/>
    </xf>
    <xf numFmtId="3" fontId="11" fillId="0" borderId="46" xfId="60" applyNumberFormat="1" applyFont="1" applyBorder="1">
      <alignment/>
      <protection/>
    </xf>
    <xf numFmtId="3" fontId="11" fillId="0" borderId="32" xfId="60" applyNumberFormat="1" applyFont="1" applyBorder="1">
      <alignment/>
      <protection/>
    </xf>
    <xf numFmtId="3" fontId="22" fillId="0" borderId="32" xfId="60" applyNumberFormat="1" applyFont="1" applyBorder="1">
      <alignment/>
      <protection/>
    </xf>
    <xf numFmtId="3" fontId="11" fillId="0" borderId="28" xfId="60" applyNumberFormat="1" applyFont="1" applyBorder="1">
      <alignment/>
      <protection/>
    </xf>
    <xf numFmtId="3" fontId="22" fillId="0" borderId="28" xfId="60" applyNumberFormat="1" applyFont="1" applyBorder="1">
      <alignment/>
      <protection/>
    </xf>
    <xf numFmtId="3" fontId="11" fillId="0" borderId="28" xfId="60" applyNumberFormat="1" applyFont="1" applyBorder="1" applyAlignment="1">
      <alignment horizontal="right"/>
      <protection/>
    </xf>
    <xf numFmtId="3" fontId="11" fillId="0" borderId="33" xfId="60" applyNumberFormat="1" applyFont="1" applyBorder="1" applyAlignment="1">
      <alignment horizontal="right"/>
      <protection/>
    </xf>
    <xf numFmtId="3" fontId="11" fillId="0" borderId="29" xfId="60" applyNumberFormat="1" applyFont="1" applyBorder="1" applyAlignment="1">
      <alignment horizontal="right"/>
      <protection/>
    </xf>
    <xf numFmtId="3" fontId="16" fillId="0" borderId="0" xfId="42" applyNumberFormat="1" applyFont="1" applyAlignment="1">
      <alignment/>
    </xf>
    <xf numFmtId="3" fontId="17" fillId="0" borderId="0" xfId="42" applyNumberFormat="1" applyFont="1" applyAlignment="1">
      <alignment/>
    </xf>
    <xf numFmtId="3" fontId="11" fillId="0" borderId="0" xfId="42" applyNumberFormat="1" applyFont="1" applyAlignment="1">
      <alignment/>
    </xf>
    <xf numFmtId="0" fontId="11" fillId="0" borderId="0" xfId="60" applyFont="1" applyAlignment="1">
      <alignment wrapText="1"/>
      <protection/>
    </xf>
    <xf numFmtId="3" fontId="11" fillId="0" borderId="0" xfId="42" applyNumberFormat="1" applyFont="1" applyAlignment="1">
      <alignment horizontal="right"/>
    </xf>
    <xf numFmtId="3" fontId="10" fillId="0" borderId="0" xfId="42" applyNumberFormat="1" applyFont="1" applyAlignment="1">
      <alignment horizontal="right"/>
    </xf>
    <xf numFmtId="3" fontId="11" fillId="0" borderId="0" xfId="42" applyNumberFormat="1" applyFont="1" applyAlignment="1">
      <alignment/>
    </xf>
    <xf numFmtId="3" fontId="6" fillId="0" borderId="0" xfId="61" applyNumberFormat="1" applyFont="1" applyBorder="1" applyAlignment="1">
      <alignment horizontal="right"/>
      <protection/>
    </xf>
    <xf numFmtId="3" fontId="12" fillId="0" borderId="41" xfId="61" applyNumberFormat="1" applyFont="1" applyBorder="1" applyAlignment="1">
      <alignment horizontal="right"/>
      <protection/>
    </xf>
    <xf numFmtId="3" fontId="12" fillId="0" borderId="0" xfId="61" applyNumberFormat="1" applyFont="1" applyBorder="1" applyAlignment="1">
      <alignment horizontal="right"/>
      <protection/>
    </xf>
    <xf numFmtId="3" fontId="6" fillId="0" borderId="0" xfId="61" applyNumberFormat="1" applyFont="1" applyBorder="1" applyAlignment="1">
      <alignment horizontal="center"/>
      <protection/>
    </xf>
    <xf numFmtId="3" fontId="12" fillId="0" borderId="41" xfId="42" applyNumberFormat="1" applyFont="1" applyBorder="1" applyAlignment="1">
      <alignment horizontal="right"/>
    </xf>
    <xf numFmtId="3" fontId="12" fillId="0" borderId="0" xfId="61" applyNumberFormat="1" applyFont="1">
      <alignment/>
      <protection/>
    </xf>
    <xf numFmtId="3" fontId="12" fillId="0" borderId="0" xfId="42" applyNumberFormat="1" applyFont="1" applyAlignment="1">
      <alignment horizontal="right" wrapText="1"/>
    </xf>
    <xf numFmtId="170" fontId="12" fillId="0" borderId="0" xfId="42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41" xfId="0" applyNumberFormat="1" applyBorder="1" applyAlignment="1">
      <alignment/>
    </xf>
    <xf numFmtId="170" fontId="6" fillId="0" borderId="34" xfId="59" applyNumberFormat="1" applyFont="1" applyBorder="1" applyAlignment="1">
      <alignment/>
      <protection/>
    </xf>
    <xf numFmtId="170" fontId="12" fillId="0" borderId="28" xfId="42" applyNumberFormat="1" applyFont="1" applyBorder="1" applyAlignment="1">
      <alignment/>
    </xf>
    <xf numFmtId="170" fontId="6" fillId="0" borderId="28" xfId="42" applyNumberFormat="1" applyFont="1" applyBorder="1" applyAlignment="1">
      <alignment/>
    </xf>
    <xf numFmtId="170" fontId="6" fillId="0" borderId="34" xfId="42" applyNumberFormat="1" applyFont="1" applyBorder="1" applyAlignment="1">
      <alignment/>
    </xf>
    <xf numFmtId="170" fontId="12" fillId="0" borderId="0" xfId="42" applyNumberFormat="1" applyFont="1" applyAlignment="1">
      <alignment/>
    </xf>
    <xf numFmtId="170" fontId="12" fillId="0" borderId="0" xfId="42" applyNumberFormat="1" applyFont="1" applyAlignment="1">
      <alignment horizontal="right"/>
    </xf>
    <xf numFmtId="170" fontId="12" fillId="0" borderId="0" xfId="42" applyNumberFormat="1" applyFont="1" applyAlignment="1">
      <alignment/>
    </xf>
    <xf numFmtId="170" fontId="12" fillId="0" borderId="0" xfId="42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58" applyFont="1" applyAlignment="1">
      <alignment horizontal="center"/>
      <protection/>
    </xf>
    <xf numFmtId="0" fontId="6" fillId="0" borderId="0" xfId="0" applyFont="1" applyAlignment="1">
      <alignment horizontal="left" wrapText="1"/>
    </xf>
    <xf numFmtId="0" fontId="10" fillId="0" borderId="0" xfId="58" applyFont="1" applyAlignment="1">
      <alignment horizontal="center"/>
      <protection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2" fillId="0" borderId="10" xfId="58" applyFont="1" applyBorder="1" applyAlignment="1">
      <alignment horizontal="center"/>
      <protection/>
    </xf>
    <xf numFmtId="0" fontId="12" fillId="0" borderId="42" xfId="58" applyFont="1" applyBorder="1" applyAlignment="1">
      <alignment horizontal="center"/>
      <protection/>
    </xf>
    <xf numFmtId="0" fontId="12" fillId="0" borderId="43" xfId="58" applyFont="1" applyBorder="1" applyAlignment="1">
      <alignment horizontal="center"/>
      <protection/>
    </xf>
    <xf numFmtId="0" fontId="12" fillId="0" borderId="12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2" fillId="0" borderId="44" xfId="58" applyFont="1" applyBorder="1" applyAlignment="1">
      <alignment horizontal="center"/>
      <protection/>
    </xf>
    <xf numFmtId="0" fontId="12" fillId="0" borderId="14" xfId="58" applyFont="1" applyBorder="1" applyAlignment="1">
      <alignment horizontal="center"/>
      <protection/>
    </xf>
    <xf numFmtId="0" fontId="12" fillId="0" borderId="16" xfId="58" applyFont="1" applyBorder="1" applyAlignment="1">
      <alignment horizontal="center"/>
      <protection/>
    </xf>
    <xf numFmtId="0" fontId="12" fillId="0" borderId="45" xfId="58" applyFont="1" applyBorder="1" applyAlignment="1">
      <alignment horizontal="center"/>
      <protection/>
    </xf>
    <xf numFmtId="0" fontId="21" fillId="0" borderId="0" xfId="0" applyFont="1" applyAlignment="1">
      <alignment horizontal="left" wrapText="1"/>
    </xf>
    <xf numFmtId="0" fontId="12" fillId="0" borderId="0" xfId="58" applyFont="1" applyBorder="1" applyAlignment="1">
      <alignment horizontal="left" vertical="center"/>
      <protection/>
    </xf>
    <xf numFmtId="0" fontId="12" fillId="0" borderId="10" xfId="58" applyFont="1" applyBorder="1" applyAlignment="1">
      <alignment horizontal="center" vertical="center"/>
      <protection/>
    </xf>
    <xf numFmtId="0" fontId="12" fillId="0" borderId="42" xfId="58" applyFont="1" applyBorder="1" applyAlignment="1">
      <alignment horizontal="center" vertical="center"/>
      <protection/>
    </xf>
    <xf numFmtId="0" fontId="12" fillId="0" borderId="43" xfId="58" applyFont="1" applyBorder="1" applyAlignment="1">
      <alignment horizontal="center" vertical="center"/>
      <protection/>
    </xf>
    <xf numFmtId="0" fontId="12" fillId="0" borderId="12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2" fillId="0" borderId="44" xfId="58" applyFont="1" applyBorder="1" applyAlignment="1">
      <alignment horizontal="center" vertical="center"/>
      <protection/>
    </xf>
    <xf numFmtId="0" fontId="12" fillId="0" borderId="14" xfId="58" applyFont="1" applyBorder="1" applyAlignment="1">
      <alignment horizontal="center" vertical="center"/>
      <protection/>
    </xf>
    <xf numFmtId="0" fontId="12" fillId="0" borderId="16" xfId="58" applyFont="1" applyBorder="1" applyAlignment="1">
      <alignment horizontal="center" vertical="center"/>
      <protection/>
    </xf>
    <xf numFmtId="0" fontId="12" fillId="0" borderId="45" xfId="58" applyFont="1" applyBorder="1" applyAlignment="1">
      <alignment horizontal="center" vertical="center"/>
      <protection/>
    </xf>
    <xf numFmtId="0" fontId="12" fillId="0" borderId="0" xfId="58" applyFont="1" applyAlignment="1">
      <alignment horizontal="left" wrapText="1"/>
      <protection/>
    </xf>
    <xf numFmtId="0" fontId="10" fillId="0" borderId="0" xfId="0" applyFont="1" applyAlignment="1">
      <alignment horizontal="left" wrapText="1"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0" fontId="11" fillId="0" borderId="15" xfId="60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168" fontId="23" fillId="0" borderId="60" xfId="42" applyNumberFormat="1" applyFont="1" applyBorder="1" applyAlignment="1">
      <alignment horizontal="center"/>
    </xf>
    <xf numFmtId="168" fontId="23" fillId="0" borderId="61" xfId="42" applyNumberFormat="1" applyFont="1" applyBorder="1" applyAlignment="1">
      <alignment horizontal="center"/>
    </xf>
    <xf numFmtId="168" fontId="23" fillId="0" borderId="10" xfId="42" applyNumberFormat="1" applyFont="1" applyBorder="1" applyAlignment="1">
      <alignment horizontal="center"/>
    </xf>
    <xf numFmtId="168" fontId="23" fillId="0" borderId="42" xfId="42" applyNumberFormat="1" applyFont="1" applyBorder="1" applyAlignment="1">
      <alignment horizontal="center"/>
    </xf>
    <xf numFmtId="168" fontId="23" fillId="0" borderId="43" xfId="42" applyNumberFormat="1" applyFont="1" applyBorder="1" applyAlignment="1">
      <alignment horizontal="center"/>
    </xf>
    <xf numFmtId="168" fontId="23" fillId="0" borderId="12" xfId="42" applyNumberFormat="1" applyFont="1" applyBorder="1" applyAlignment="1">
      <alignment horizontal="center"/>
    </xf>
    <xf numFmtId="168" fontId="23" fillId="0" borderId="0" xfId="42" applyNumberFormat="1" applyFont="1" applyBorder="1" applyAlignment="1">
      <alignment horizontal="center"/>
    </xf>
    <xf numFmtId="168" fontId="23" fillId="0" borderId="44" xfId="42" applyNumberFormat="1" applyFont="1" applyBorder="1" applyAlignment="1">
      <alignment horizontal="center"/>
    </xf>
    <xf numFmtId="168" fontId="23" fillId="0" borderId="14" xfId="42" applyNumberFormat="1" applyFont="1" applyBorder="1" applyAlignment="1">
      <alignment horizontal="center"/>
    </xf>
    <xf numFmtId="168" fontId="23" fillId="0" borderId="16" xfId="42" applyNumberFormat="1" applyFont="1" applyBorder="1" applyAlignment="1">
      <alignment horizontal="center"/>
    </xf>
    <xf numFmtId="168" fontId="23" fillId="0" borderId="45" xfId="42" applyNumberFormat="1" applyFont="1" applyBorder="1" applyAlignment="1">
      <alignment horizontal="center"/>
    </xf>
    <xf numFmtId="0" fontId="7" fillId="0" borderId="0" xfId="58" applyFont="1" applyAlignment="1">
      <alignment horizontal="center"/>
      <protection/>
    </xf>
    <xf numFmtId="0" fontId="10" fillId="0" borderId="0" xfId="58" applyFont="1" applyAlignment="1">
      <alignment horizontal="center" wrapText="1"/>
      <protection/>
    </xf>
    <xf numFmtId="0" fontId="11" fillId="0" borderId="36" xfId="58" applyFont="1" applyBorder="1" applyAlignment="1">
      <alignment horizontal="center" wrapText="1"/>
      <protection/>
    </xf>
    <xf numFmtId="0" fontId="11" fillId="0" borderId="60" xfId="58" applyFont="1" applyBorder="1" applyAlignment="1">
      <alignment horizontal="center" wrapText="1"/>
      <protection/>
    </xf>
    <xf numFmtId="0" fontId="11" fillId="0" borderId="61" xfId="58" applyFont="1" applyBorder="1" applyAlignment="1">
      <alignment horizont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left"/>
      <protection/>
    </xf>
    <xf numFmtId="0" fontId="10" fillId="0" borderId="0" xfId="61" applyFont="1" applyAlignment="1">
      <alignment horizontal="center"/>
      <protection/>
    </xf>
    <xf numFmtId="0" fontId="27" fillId="0" borderId="11" xfId="58" applyFont="1" applyBorder="1" applyAlignment="1">
      <alignment horizontal="center" vertical="center" wrapText="1"/>
      <protection/>
    </xf>
    <xf numFmtId="0" fontId="27" fillId="0" borderId="13" xfId="58" applyFont="1" applyBorder="1" applyAlignment="1">
      <alignment horizontal="center" vertical="center" wrapText="1"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7" fillId="0" borderId="36" xfId="58" applyFont="1" applyBorder="1" applyAlignment="1">
      <alignment horizontal="center"/>
      <protection/>
    </xf>
    <xf numFmtId="0" fontId="7" fillId="0" borderId="61" xfId="58" applyFont="1" applyBorder="1" applyAlignment="1">
      <alignment horizontal="center"/>
      <protection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0" fontId="11" fillId="0" borderId="15" xfId="60" applyFont="1" applyBorder="1" applyAlignment="1">
      <alignment horizontal="center" vertical="center" wrapText="1"/>
      <protection/>
    </xf>
    <xf numFmtId="0" fontId="11" fillId="0" borderId="36" xfId="58" applyFont="1" applyBorder="1" applyAlignment="1">
      <alignment horizontal="center"/>
      <protection/>
    </xf>
    <xf numFmtId="0" fontId="11" fillId="0" borderId="60" xfId="58" applyFont="1" applyBorder="1" applyAlignment="1">
      <alignment horizontal="center"/>
      <protection/>
    </xf>
    <xf numFmtId="0" fontId="11" fillId="0" borderId="61" xfId="58" applyFont="1" applyBorder="1" applyAlignment="1">
      <alignment horizontal="center"/>
      <protection/>
    </xf>
    <xf numFmtId="44" fontId="11" fillId="0" borderId="36" xfId="65" applyFont="1" applyBorder="1" applyAlignment="1">
      <alignment horizontal="center"/>
    </xf>
    <xf numFmtId="44" fontId="11" fillId="0" borderId="60" xfId="65" applyFont="1" applyBorder="1" applyAlignment="1">
      <alignment horizontal="center"/>
    </xf>
    <xf numFmtId="44" fontId="11" fillId="0" borderId="61" xfId="65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16" xfId="61" applyFont="1" applyBorder="1" applyAlignment="1">
      <alignment horizontal="right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7" fillId="0" borderId="12" xfId="58" applyFont="1" applyBorder="1" applyAlignment="1">
      <alignment horizontal="center"/>
      <protection/>
    </xf>
    <xf numFmtId="0" fontId="7" fillId="0" borderId="44" xfId="58" applyFont="1" applyBorder="1" applyAlignment="1">
      <alignment horizontal="center"/>
      <protection/>
    </xf>
    <xf numFmtId="0" fontId="7" fillId="0" borderId="14" xfId="58" applyFont="1" applyBorder="1" applyAlignment="1">
      <alignment horizontal="center"/>
      <protection/>
    </xf>
    <xf numFmtId="0" fontId="7" fillId="0" borderId="45" xfId="58" applyFont="1" applyBorder="1" applyAlignment="1">
      <alignment horizontal="center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60" applyFont="1" applyAlignment="1">
      <alignment horizontal="left"/>
      <protection/>
    </xf>
    <xf numFmtId="0" fontId="6" fillId="0" borderId="0" xfId="60" applyFont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0" fontId="38" fillId="0" borderId="0" xfId="0" applyFont="1" applyAlignment="1">
      <alignment horizontal="center"/>
    </xf>
    <xf numFmtId="0" fontId="36" fillId="0" borderId="62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wrapText="1"/>
    </xf>
    <xf numFmtId="0" fontId="37" fillId="0" borderId="63" xfId="0" applyFont="1" applyBorder="1" applyAlignment="1">
      <alignment horizontal="center" wrapText="1"/>
    </xf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5" fillId="0" borderId="0" xfId="58" applyFont="1" applyBorder="1" applyAlignment="1">
      <alignment horizontal="center"/>
      <protection/>
    </xf>
    <xf numFmtId="0" fontId="39" fillId="0" borderId="0" xfId="0" applyFont="1" applyAlignment="1">
      <alignment horizontal="center"/>
    </xf>
    <xf numFmtId="0" fontId="12" fillId="0" borderId="11" xfId="59" applyFont="1" applyBorder="1" applyAlignment="1">
      <alignment horizontal="center" vertical="center"/>
      <protection/>
    </xf>
    <xf numFmtId="0" fontId="12" fillId="0" borderId="13" xfId="59" applyFont="1" applyBorder="1" applyAlignment="1">
      <alignment horizontal="center" vertical="center"/>
      <protection/>
    </xf>
    <xf numFmtId="0" fontId="12" fillId="0" borderId="15" xfId="59" applyFont="1" applyBorder="1" applyAlignment="1">
      <alignment horizontal="center" vertical="center"/>
      <protection/>
    </xf>
    <xf numFmtId="0" fontId="6" fillId="0" borderId="0" xfId="59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4" fillId="0" borderId="65" xfId="58" applyFont="1" applyBorder="1" applyAlignment="1">
      <alignment horizontal="center"/>
      <protection/>
    </xf>
    <xf numFmtId="0" fontId="4" fillId="0" borderId="66" xfId="58" applyFont="1" applyBorder="1" applyAlignment="1">
      <alignment horizontal="center"/>
      <protection/>
    </xf>
    <xf numFmtId="0" fontId="4" fillId="0" borderId="58" xfId="58" applyFont="1" applyBorder="1" applyAlignment="1">
      <alignment horizontal="left" vertical="center" wrapText="1"/>
      <protection/>
    </xf>
    <xf numFmtId="0" fontId="4" fillId="0" borderId="21" xfId="58" applyFont="1" applyBorder="1" applyAlignment="1">
      <alignment horizontal="left" vertical="center" wrapText="1"/>
      <protection/>
    </xf>
    <xf numFmtId="0" fontId="10" fillId="0" borderId="0" xfId="58" applyFont="1" applyAlignment="1">
      <alignment horizontal="center"/>
      <protection/>
    </xf>
    <xf numFmtId="0" fontId="4" fillId="0" borderId="67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 vertical="center" wrapText="1"/>
      <protection/>
    </xf>
    <xf numFmtId="168" fontId="4" fillId="0" borderId="58" xfId="40" applyNumberFormat="1" applyFont="1" applyBorder="1" applyAlignment="1">
      <alignment horizontal="center" vertical="center"/>
    </xf>
    <xf numFmtId="168" fontId="4" fillId="0" borderId="21" xfId="40" applyNumberFormat="1" applyFont="1" applyBorder="1" applyAlignment="1">
      <alignment horizontal="center" vertical="center"/>
    </xf>
    <xf numFmtId="168" fontId="4" fillId="0" borderId="68" xfId="40" applyNumberFormat="1" applyFont="1" applyBorder="1" applyAlignment="1">
      <alignment horizontal="center" vertical="center"/>
    </xf>
    <xf numFmtId="168" fontId="4" fillId="0" borderId="69" xfId="40" applyNumberFormat="1" applyFont="1" applyBorder="1" applyAlignment="1">
      <alignment horizontal="center" vertical="center"/>
    </xf>
    <xf numFmtId="0" fontId="4" fillId="0" borderId="70" xfId="58" applyFont="1" applyBorder="1" applyAlignment="1">
      <alignment horizontal="center" vertical="center"/>
      <protection/>
    </xf>
    <xf numFmtId="0" fontId="4" fillId="0" borderId="69" xfId="58" applyFont="1" applyBorder="1" applyAlignment="1">
      <alignment horizontal="center" vertical="center"/>
      <protection/>
    </xf>
    <xf numFmtId="0" fontId="4" fillId="0" borderId="71" xfId="58" applyFont="1" applyBorder="1" applyAlignment="1">
      <alignment horizontal="center" vertical="center"/>
      <protection/>
    </xf>
    <xf numFmtId="168" fontId="12" fillId="0" borderId="7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168" fontId="12" fillId="0" borderId="74" xfId="40" applyNumberFormat="1" applyFont="1" applyBorder="1" applyAlignment="1">
      <alignment horizontal="center" vertical="center"/>
    </xf>
    <xf numFmtId="168" fontId="12" fillId="0" borderId="75" xfId="40" applyNumberFormat="1" applyFont="1" applyBorder="1" applyAlignment="1">
      <alignment horizontal="center" vertical="center"/>
    </xf>
    <xf numFmtId="168" fontId="12" fillId="0" borderId="76" xfId="40" applyNumberFormat="1" applyFont="1" applyBorder="1" applyAlignment="1">
      <alignment horizontal="center" vertical="center"/>
    </xf>
    <xf numFmtId="0" fontId="12" fillId="0" borderId="77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79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80" xfId="0" applyFont="1" applyBorder="1" applyAlignment="1">
      <alignment horizontal="left" vertical="center"/>
    </xf>
    <xf numFmtId="0" fontId="12" fillId="0" borderId="81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168" fontId="12" fillId="0" borderId="83" xfId="40" applyNumberFormat="1" applyFont="1" applyBorder="1" applyAlignment="1">
      <alignment horizontal="center" vertical="center"/>
    </xf>
    <xf numFmtId="0" fontId="12" fillId="0" borderId="65" xfId="0" applyFont="1" applyBorder="1" applyAlignment="1">
      <alignment horizontal="center"/>
    </xf>
    <xf numFmtId="0" fontId="12" fillId="0" borderId="84" xfId="0" applyFont="1" applyBorder="1" applyAlignment="1">
      <alignment horizontal="center"/>
    </xf>
    <xf numFmtId="0" fontId="12" fillId="0" borderId="58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168" fontId="12" fillId="0" borderId="58" xfId="40" applyNumberFormat="1" applyFont="1" applyBorder="1" applyAlignment="1">
      <alignment horizontal="center" vertical="center"/>
    </xf>
    <xf numFmtId="168" fontId="12" fillId="0" borderId="21" xfId="40" applyNumberFormat="1" applyFont="1" applyBorder="1" applyAlignment="1">
      <alignment horizontal="center" vertical="center"/>
    </xf>
    <xf numFmtId="168" fontId="12" fillId="0" borderId="53" xfId="40" applyNumberFormat="1" applyFont="1" applyBorder="1" applyAlignment="1">
      <alignment horizontal="center" vertical="center"/>
    </xf>
    <xf numFmtId="168" fontId="18" fillId="0" borderId="85" xfId="40" applyNumberFormat="1" applyFont="1" applyBorder="1" applyAlignment="1">
      <alignment horizontal="center" vertical="center"/>
    </xf>
    <xf numFmtId="168" fontId="18" fillId="0" borderId="86" xfId="40" applyNumberFormat="1" applyFont="1" applyBorder="1" applyAlignment="1">
      <alignment horizontal="center" vertical="center"/>
    </xf>
    <xf numFmtId="168" fontId="18" fillId="0" borderId="87" xfId="40" applyNumberFormat="1" applyFont="1" applyBorder="1" applyAlignment="1">
      <alignment horizontal="center" vertical="center"/>
    </xf>
    <xf numFmtId="2" fontId="12" fillId="0" borderId="74" xfId="0" applyNumberFormat="1" applyFont="1" applyBorder="1" applyAlignment="1">
      <alignment horizontal="center" vertical="center" wrapText="1"/>
    </xf>
    <xf numFmtId="2" fontId="12" fillId="0" borderId="75" xfId="0" applyNumberFormat="1" applyFont="1" applyBorder="1" applyAlignment="1">
      <alignment horizontal="center" vertical="center" wrapText="1"/>
    </xf>
    <xf numFmtId="2" fontId="12" fillId="0" borderId="7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88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90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68" fontId="12" fillId="0" borderId="95" xfId="40" applyNumberFormat="1" applyFont="1" applyBorder="1" applyAlignment="1">
      <alignment horizontal="center" vertical="center"/>
    </xf>
    <xf numFmtId="168" fontId="12" fillId="0" borderId="96" xfId="40" applyNumberFormat="1" applyFont="1" applyBorder="1" applyAlignment="1">
      <alignment horizontal="center" vertical="center"/>
    </xf>
    <xf numFmtId="168" fontId="12" fillId="0" borderId="97" xfId="4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8" fontId="12" fillId="0" borderId="39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30" fillId="0" borderId="39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8" fontId="12" fillId="0" borderId="39" xfId="4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00" xfId="0" applyFont="1" applyBorder="1" applyAlignment="1">
      <alignment horizontal="center"/>
    </xf>
    <xf numFmtId="0" fontId="12" fillId="0" borderId="10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168" fontId="12" fillId="0" borderId="21" xfId="40" applyNumberFormat="1" applyFont="1" applyBorder="1" applyAlignment="1">
      <alignment horizontal="center"/>
    </xf>
    <xf numFmtId="168" fontId="12" fillId="0" borderId="10" xfId="40" applyNumberFormat="1" applyFont="1" applyBorder="1" applyAlignment="1">
      <alignment horizontal="center"/>
    </xf>
    <xf numFmtId="168" fontId="12" fillId="0" borderId="43" xfId="40" applyNumberFormat="1" applyFont="1" applyBorder="1" applyAlignment="1">
      <alignment horizontal="center"/>
    </xf>
    <xf numFmtId="168" fontId="12" fillId="0" borderId="14" xfId="40" applyNumberFormat="1" applyFont="1" applyBorder="1" applyAlignment="1">
      <alignment horizontal="center"/>
    </xf>
    <xf numFmtId="168" fontId="12" fillId="0" borderId="45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43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45" xfId="40" applyNumberFormat="1" applyFont="1" applyBorder="1" applyAlignment="1">
      <alignment horizontal="center"/>
    </xf>
    <xf numFmtId="168" fontId="12" fillId="0" borderId="100" xfId="40" applyNumberFormat="1" applyFont="1" applyBorder="1" applyAlignment="1">
      <alignment horizontal="center"/>
    </xf>
    <xf numFmtId="168" fontId="12" fillId="0" borderId="101" xfId="4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30" fillId="0" borderId="28" xfId="0" applyFont="1" applyBorder="1" applyAlignment="1">
      <alignment horizontal="center" wrapText="1"/>
    </xf>
    <xf numFmtId="168" fontId="6" fillId="0" borderId="11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168" fontId="12" fillId="0" borderId="22" xfId="40" applyNumberFormat="1" applyFont="1" applyBorder="1" applyAlignment="1">
      <alignment horizontal="center"/>
    </xf>
    <xf numFmtId="0" fontId="12" fillId="0" borderId="3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12" fillId="0" borderId="28" xfId="0" applyFont="1" applyBorder="1" applyAlignment="1">
      <alignment horizontal="center"/>
    </xf>
    <xf numFmtId="168" fontId="12" fillId="0" borderId="28" xfId="4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102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9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103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99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2" fillId="0" borderId="3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0" xfId="57" applyFont="1" applyAlignment="1">
      <alignment horizontal="center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6" fillId="0" borderId="36" xfId="57" applyFont="1" applyBorder="1" applyAlignment="1">
      <alignment horizontal="center"/>
      <protection/>
    </xf>
    <xf numFmtId="0" fontId="6" fillId="0" borderId="60" xfId="57" applyFont="1" applyBorder="1" applyAlignment="1">
      <alignment horizontal="center"/>
      <protection/>
    </xf>
    <xf numFmtId="168" fontId="26" fillId="0" borderId="0" xfId="42" applyNumberFormat="1" applyFont="1" applyAlignment="1">
      <alignment horizontal="right"/>
    </xf>
    <xf numFmtId="3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7" fillId="0" borderId="1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3" fontId="33" fillId="0" borderId="41" xfId="42" applyNumberFormat="1" applyFont="1" applyBorder="1" applyAlignment="1">
      <alignment horizontal="right"/>
    </xf>
    <xf numFmtId="0" fontId="12" fillId="0" borderId="12" xfId="58" applyFont="1" applyBorder="1">
      <alignment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KONEPC99" xfId="57"/>
    <cellStyle name="Normál_KTGV99" xfId="58"/>
    <cellStyle name="Normál_mérleg" xfId="59"/>
    <cellStyle name="Normál_PHKV99" xfId="60"/>
    <cellStyle name="Normál_SIKONC99" xfId="61"/>
    <cellStyle name="Összesen" xfId="62"/>
    <cellStyle name="Currency" xfId="63"/>
    <cellStyle name="Currency [0]" xfId="64"/>
    <cellStyle name="Pénznem 2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C34">
      <selection activeCell="H48" sqref="H48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48"/>
      <c r="J39" s="2"/>
      <c r="N39" s="454" t="s">
        <v>4</v>
      </c>
      <c r="O39" s="454"/>
      <c r="P39" s="454"/>
      <c r="Q39" s="454"/>
      <c r="R39" s="454"/>
      <c r="S39" s="454"/>
      <c r="T39" s="454"/>
      <c r="U39" s="454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47"/>
      <c r="J41" s="2"/>
      <c r="N41" s="454" t="s">
        <v>470</v>
      </c>
      <c r="O41" s="454"/>
      <c r="P41" s="454"/>
      <c r="Q41" s="454"/>
      <c r="R41" s="454"/>
      <c r="S41" s="454"/>
      <c r="T41" s="454"/>
      <c r="U41" s="454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47"/>
      <c r="J43" s="2"/>
      <c r="N43" s="454" t="s">
        <v>469</v>
      </c>
      <c r="O43" s="454"/>
      <c r="P43" s="454"/>
      <c r="Q43" s="454"/>
      <c r="R43" s="454"/>
      <c r="S43" s="454"/>
      <c r="T43" s="454"/>
      <c r="U43" s="454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19" ht="27.75">
      <c r="B45" s="2"/>
      <c r="C45" s="3"/>
      <c r="D45" s="3"/>
      <c r="E45" s="3"/>
      <c r="F45" s="3"/>
      <c r="G45" s="3"/>
      <c r="H45" s="3"/>
      <c r="I45" s="3"/>
      <c r="J45" s="2"/>
      <c r="P45" s="455"/>
      <c r="Q45" s="456"/>
      <c r="R45" s="456"/>
      <c r="S45" s="456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49"/>
      <c r="M46" s="269"/>
      <c r="N46" s="15"/>
      <c r="O46" s="157"/>
    </row>
    <row r="47" spans="1:10" ht="27.75">
      <c r="A47" s="49"/>
      <c r="B47" s="50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4">
    <mergeCell ref="N39:U39"/>
    <mergeCell ref="N41:U41"/>
    <mergeCell ref="N43:U43"/>
    <mergeCell ref="P45:S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K2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9.25390625" style="0" customWidth="1"/>
    <col min="2" max="2" width="12.375" style="0" customWidth="1"/>
  </cols>
  <sheetData>
    <row r="5" ht="12.75">
      <c r="A5" t="s">
        <v>523</v>
      </c>
    </row>
    <row r="7" spans="1:2" ht="12.75">
      <c r="A7" s="564"/>
      <c r="B7" s="549"/>
    </row>
    <row r="8" spans="1:11" ht="12.75">
      <c r="A8" s="564" t="s">
        <v>46</v>
      </c>
      <c r="B8" s="548"/>
      <c r="K8" s="288"/>
    </row>
    <row r="9" spans="1:2" ht="12.75">
      <c r="A9" s="564" t="s">
        <v>502</v>
      </c>
      <c r="B9" s="548"/>
    </row>
    <row r="10" spans="1:2" ht="12.75">
      <c r="A10" s="564" t="s">
        <v>472</v>
      </c>
      <c r="B10" s="548"/>
    </row>
    <row r="11" ht="13.5" thickBot="1"/>
    <row r="12" spans="1:2" ht="13.5" thickTop="1">
      <c r="A12" s="558" t="s">
        <v>0</v>
      </c>
      <c r="B12" s="561" t="s">
        <v>541</v>
      </c>
    </row>
    <row r="13" spans="1:2" ht="12.75">
      <c r="A13" s="559"/>
      <c r="B13" s="562"/>
    </row>
    <row r="14" spans="1:2" ht="13.5" thickBot="1">
      <c r="A14" s="560"/>
      <c r="B14" s="563"/>
    </row>
    <row r="15" ht="13.5" thickTop="1"/>
    <row r="16" ht="12.75">
      <c r="A16" s="289" t="s">
        <v>505</v>
      </c>
    </row>
    <row r="18" spans="1:3" ht="12.75">
      <c r="A18" t="s">
        <v>506</v>
      </c>
      <c r="C18" s="288"/>
    </row>
    <row r="19" spans="1:3" ht="33" customHeight="1">
      <c r="A19" s="293" t="s">
        <v>507</v>
      </c>
      <c r="B19" s="293"/>
      <c r="C19" s="293"/>
    </row>
    <row r="20" spans="1:2" ht="19.5" customHeight="1">
      <c r="A20" s="290" t="s">
        <v>508</v>
      </c>
      <c r="B20" s="444">
        <f>18272000</f>
        <v>18272000</v>
      </c>
    </row>
    <row r="21" spans="1:2" ht="19.5" customHeight="1">
      <c r="A21" s="290" t="s">
        <v>548</v>
      </c>
      <c r="B21" s="444">
        <v>400000</v>
      </c>
    </row>
    <row r="22" spans="1:2" ht="19.5" customHeight="1">
      <c r="A22" s="290" t="s">
        <v>547</v>
      </c>
      <c r="B22" s="444">
        <v>25000</v>
      </c>
    </row>
    <row r="23" spans="1:2" ht="18.75" customHeight="1">
      <c r="A23" t="s">
        <v>509</v>
      </c>
      <c r="B23" s="445">
        <v>4933000</v>
      </c>
    </row>
    <row r="24" spans="1:2" ht="18.75" customHeight="1">
      <c r="A24" s="291" t="s">
        <v>503</v>
      </c>
      <c r="B24" s="292">
        <f>B20+B23+B22+B21</f>
        <v>23630000</v>
      </c>
    </row>
    <row r="25" ht="12.75">
      <c r="B25" s="444"/>
    </row>
    <row r="26" ht="12.75">
      <c r="B26" s="444"/>
    </row>
    <row r="27" ht="12.75">
      <c r="B27" s="444"/>
    </row>
    <row r="28" spans="1:2" s="291" customFormat="1" ht="12.75">
      <c r="A28" s="291" t="s">
        <v>504</v>
      </c>
      <c r="B28" s="292">
        <f>B24</f>
        <v>23630000</v>
      </c>
    </row>
    <row r="29" ht="12.75">
      <c r="B29" s="444"/>
    </row>
  </sheetData>
  <sheetProtection/>
  <mergeCells count="6">
    <mergeCell ref="A12:A14"/>
    <mergeCell ref="B12:B14"/>
    <mergeCell ref="A8:B8"/>
    <mergeCell ref="A9:B9"/>
    <mergeCell ref="A10:B10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351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175"/>
      <c r="B1" s="175"/>
      <c r="C1" s="89"/>
    </row>
    <row r="2" s="127" customFormat="1" ht="15.75">
      <c r="C2" s="358"/>
    </row>
    <row r="3" spans="1:3" s="115" customFormat="1" ht="15">
      <c r="A3" s="175" t="s">
        <v>524</v>
      </c>
      <c r="B3" s="61"/>
      <c r="C3" s="61"/>
    </row>
    <row r="4" spans="1:3" s="115" customFormat="1" ht="15">
      <c r="A4" s="175"/>
      <c r="B4" s="61"/>
      <c r="C4" s="61"/>
    </row>
    <row r="5" spans="1:3" s="115" customFormat="1" ht="15">
      <c r="A5" s="550"/>
      <c r="B5" s="566"/>
      <c r="C5" s="566"/>
    </row>
    <row r="6" spans="1:3" ht="15.75">
      <c r="A6" s="555" t="s">
        <v>4</v>
      </c>
      <c r="B6" s="555"/>
      <c r="C6" s="555"/>
    </row>
    <row r="7" spans="1:3" ht="15.75">
      <c r="A7" s="461" t="s">
        <v>311</v>
      </c>
      <c r="B7" s="461"/>
      <c r="C7" s="461"/>
    </row>
    <row r="8" spans="1:3" ht="15.75">
      <c r="A8" s="461" t="s">
        <v>255</v>
      </c>
      <c r="B8" s="461"/>
      <c r="C8" s="461"/>
    </row>
    <row r="9" spans="1:3" ht="15.75">
      <c r="A9" s="461" t="s">
        <v>472</v>
      </c>
      <c r="B9" s="461"/>
      <c r="C9" s="461"/>
    </row>
    <row r="10" ht="16.5" thickBot="1"/>
    <row r="11" spans="1:3" ht="15.75">
      <c r="A11" s="134" t="s">
        <v>47</v>
      </c>
      <c r="B11" s="129"/>
      <c r="C11" s="355" t="s">
        <v>19</v>
      </c>
    </row>
    <row r="12" spans="1:3" ht="15.75">
      <c r="A12" s="130"/>
      <c r="B12" s="131" t="s">
        <v>0</v>
      </c>
      <c r="C12" s="354"/>
    </row>
    <row r="13" spans="1:4" ht="34.5" customHeight="1" thickBot="1">
      <c r="A13" s="132" t="s">
        <v>48</v>
      </c>
      <c r="B13" s="135"/>
      <c r="C13" s="353" t="s">
        <v>10</v>
      </c>
      <c r="D13" s="770"/>
    </row>
    <row r="14" spans="2:4" ht="34.5" customHeight="1">
      <c r="B14" s="284"/>
      <c r="C14" s="285"/>
      <c r="D14" s="352"/>
    </row>
    <row r="15" spans="1:3" ht="20.25" customHeight="1">
      <c r="A15" s="571" t="s">
        <v>256</v>
      </c>
      <c r="B15" s="571"/>
      <c r="C15" s="571"/>
    </row>
    <row r="16" spans="1:3" ht="20.25" customHeight="1">
      <c r="A16" s="136" t="s">
        <v>49</v>
      </c>
      <c r="B16" s="137" t="s">
        <v>257</v>
      </c>
      <c r="C16" s="357"/>
    </row>
    <row r="17" spans="1:3" ht="20.25" customHeight="1">
      <c r="A17" s="136"/>
      <c r="B17" s="18" t="s">
        <v>258</v>
      </c>
      <c r="C17" s="453">
        <f>28869970+23876</f>
        <v>28893846</v>
      </c>
    </row>
    <row r="18" spans="1:5" ht="20.25" customHeight="1">
      <c r="A18" s="136"/>
      <c r="B18" s="94" t="s">
        <v>259</v>
      </c>
      <c r="C18" s="453">
        <f>1162669+359364+189708</f>
        <v>1711741</v>
      </c>
      <c r="D18" s="92"/>
      <c r="E18" s="92"/>
    </row>
    <row r="19" spans="1:3" ht="20.25" customHeight="1">
      <c r="A19" s="136" t="s">
        <v>29</v>
      </c>
      <c r="B19" s="137" t="s">
        <v>260</v>
      </c>
      <c r="C19" s="453">
        <f>7808000+5000</f>
        <v>7813000</v>
      </c>
    </row>
    <row r="20" spans="1:3" ht="20.25" customHeight="1">
      <c r="A20" s="136" t="s">
        <v>50</v>
      </c>
      <c r="B20" s="137" t="s">
        <v>261</v>
      </c>
      <c r="C20" s="453">
        <v>10908000</v>
      </c>
    </row>
    <row r="21" spans="1:3" ht="20.25" customHeight="1">
      <c r="A21" s="136" t="s">
        <v>113</v>
      </c>
      <c r="B21" s="138" t="s">
        <v>262</v>
      </c>
      <c r="C21" s="453"/>
    </row>
    <row r="22" spans="1:5" ht="36" customHeight="1">
      <c r="A22" s="136"/>
      <c r="B22" s="94" t="s">
        <v>263</v>
      </c>
      <c r="C22" s="453"/>
      <c r="D22" s="94"/>
      <c r="E22" s="94"/>
    </row>
    <row r="23" spans="1:3" ht="20.25" customHeight="1">
      <c r="A23" s="136"/>
      <c r="B23" s="18" t="s">
        <v>264</v>
      </c>
      <c r="C23" s="453"/>
    </row>
    <row r="24" spans="1:3" ht="36" customHeight="1">
      <c r="A24" s="139"/>
      <c r="B24" s="140" t="s">
        <v>265</v>
      </c>
      <c r="C24" s="447">
        <f>SUM(C17:C23)</f>
        <v>49326587</v>
      </c>
    </row>
    <row r="25" spans="1:3" ht="21" customHeight="1">
      <c r="A25" s="133" t="s">
        <v>115</v>
      </c>
      <c r="B25" s="137" t="s">
        <v>266</v>
      </c>
      <c r="C25" s="452">
        <v>18245057</v>
      </c>
    </row>
    <row r="26" spans="1:3" ht="21" customHeight="1">
      <c r="A26" s="133" t="s">
        <v>121</v>
      </c>
      <c r="B26" s="137" t="s">
        <v>267</v>
      </c>
      <c r="C26" s="452">
        <v>4837994</v>
      </c>
    </row>
    <row r="27" spans="1:3" ht="21" customHeight="1">
      <c r="A27" s="133" t="s">
        <v>268</v>
      </c>
      <c r="B27" s="141" t="s">
        <v>269</v>
      </c>
      <c r="C27" s="452">
        <v>20433383</v>
      </c>
    </row>
    <row r="28" spans="1:3" ht="21" customHeight="1">
      <c r="A28" s="133" t="s">
        <v>270</v>
      </c>
      <c r="B28" s="141" t="s">
        <v>271</v>
      </c>
      <c r="C28" s="452">
        <v>3361000</v>
      </c>
    </row>
    <row r="29" spans="1:3" ht="21" customHeight="1">
      <c r="A29" s="133" t="s">
        <v>272</v>
      </c>
      <c r="B29" s="141" t="s">
        <v>273</v>
      </c>
      <c r="C29" s="452"/>
    </row>
    <row r="30" spans="1:3" ht="32.25" customHeight="1">
      <c r="A30" s="133"/>
      <c r="B30" s="94" t="s">
        <v>558</v>
      </c>
      <c r="C30" s="451">
        <v>884145</v>
      </c>
    </row>
    <row r="31" spans="1:3" ht="15.75">
      <c r="A31" s="133"/>
      <c r="B31" s="142" t="s">
        <v>274</v>
      </c>
      <c r="C31" s="451">
        <f>1343030</f>
        <v>1343030</v>
      </c>
    </row>
    <row r="32" spans="1:5" ht="15.75">
      <c r="A32" s="133"/>
      <c r="B32" s="142" t="s">
        <v>275</v>
      </c>
      <c r="C32" s="450">
        <f>36993319-381000-600000</f>
        <v>36012319</v>
      </c>
      <c r="E32" s="95"/>
    </row>
    <row r="33" spans="1:6" ht="33.75" customHeight="1">
      <c r="A33" s="139"/>
      <c r="B33" s="140" t="s">
        <v>276</v>
      </c>
      <c r="C33" s="447">
        <f>SUM(C25:C32)</f>
        <v>85116928</v>
      </c>
      <c r="E33" s="95"/>
      <c r="F33" s="95"/>
    </row>
    <row r="34" spans="1:6" ht="33.75" customHeight="1">
      <c r="A34" s="136"/>
      <c r="B34" s="137"/>
      <c r="C34" s="357"/>
      <c r="E34" s="95"/>
      <c r="F34" s="95"/>
    </row>
    <row r="35" spans="1:6" ht="33.75" customHeight="1">
      <c r="A35" s="136"/>
      <c r="B35" s="137"/>
      <c r="C35" s="357"/>
      <c r="E35" s="95"/>
      <c r="F35" s="95"/>
    </row>
    <row r="36" spans="1:3" ht="15.75">
      <c r="A36" s="470">
        <v>2</v>
      </c>
      <c r="B36" s="470"/>
      <c r="C36" s="470"/>
    </row>
    <row r="37" spans="1:3" ht="16.5" thickBot="1">
      <c r="A37" s="270"/>
      <c r="B37" s="270"/>
      <c r="C37" s="270"/>
    </row>
    <row r="38" spans="1:3" ht="15.75">
      <c r="A38" s="134" t="s">
        <v>47</v>
      </c>
      <c r="B38" s="129"/>
      <c r="C38" s="355" t="s">
        <v>19</v>
      </c>
    </row>
    <row r="39" spans="1:3" ht="15.75">
      <c r="A39" s="130"/>
      <c r="B39" s="131" t="s">
        <v>0</v>
      </c>
      <c r="C39" s="354"/>
    </row>
    <row r="40" spans="1:3" ht="31.5" customHeight="1" thickBot="1">
      <c r="A40" s="132" t="s">
        <v>48</v>
      </c>
      <c r="B40" s="135"/>
      <c r="C40" s="353" t="s">
        <v>10</v>
      </c>
    </row>
    <row r="41" spans="1:3" ht="31.5" customHeight="1">
      <c r="A41" s="147"/>
      <c r="B41" s="283"/>
      <c r="C41" s="352"/>
    </row>
    <row r="42" spans="1:3" ht="21" customHeight="1">
      <c r="A42" s="565" t="s">
        <v>277</v>
      </c>
      <c r="B42" s="565"/>
      <c r="C42" s="565"/>
    </row>
    <row r="43" spans="1:2" ht="21" customHeight="1">
      <c r="A43" s="133" t="s">
        <v>278</v>
      </c>
      <c r="B43" s="53" t="s">
        <v>279</v>
      </c>
    </row>
    <row r="44" spans="1:2" ht="21" customHeight="1">
      <c r="A44" s="133" t="s">
        <v>280</v>
      </c>
      <c r="B44" s="53" t="s">
        <v>281</v>
      </c>
    </row>
    <row r="45" spans="1:2" ht="21" customHeight="1">
      <c r="A45" s="133" t="s">
        <v>282</v>
      </c>
      <c r="B45" s="138" t="s">
        <v>283</v>
      </c>
    </row>
    <row r="46" spans="1:3" ht="31.5" customHeight="1">
      <c r="A46" s="133"/>
      <c r="B46" s="110" t="s">
        <v>284</v>
      </c>
      <c r="C46" s="450">
        <v>62000</v>
      </c>
    </row>
    <row r="47" spans="1:3" ht="21" customHeight="1">
      <c r="A47" s="133"/>
      <c r="B47" s="45" t="s">
        <v>285</v>
      </c>
      <c r="C47" s="450"/>
    </row>
    <row r="48" spans="1:5" ht="39.75" customHeight="1">
      <c r="A48" s="139"/>
      <c r="B48" s="140" t="s">
        <v>286</v>
      </c>
      <c r="C48" s="447">
        <f>SUM(C43:C47)</f>
        <v>62000</v>
      </c>
      <c r="E48" s="95"/>
    </row>
    <row r="49" spans="1:3" ht="21" customHeight="1">
      <c r="A49" s="133" t="s">
        <v>287</v>
      </c>
      <c r="B49" s="53" t="s">
        <v>288</v>
      </c>
      <c r="C49" s="450">
        <f>5456000+2540000+381000+149900</f>
        <v>8526900</v>
      </c>
    </row>
    <row r="50" spans="1:3" ht="21" customHeight="1">
      <c r="A50" s="133" t="s">
        <v>289</v>
      </c>
      <c r="B50" s="53" t="s">
        <v>290</v>
      </c>
      <c r="C50" s="450">
        <v>23630000</v>
      </c>
    </row>
    <row r="51" spans="1:3" ht="21" customHeight="1">
      <c r="A51" s="133" t="s">
        <v>291</v>
      </c>
      <c r="B51" s="138" t="s">
        <v>292</v>
      </c>
      <c r="C51" s="450"/>
    </row>
    <row r="52" spans="1:3" ht="21" customHeight="1">
      <c r="A52" s="133"/>
      <c r="B52" s="142" t="s">
        <v>293</v>
      </c>
      <c r="C52" s="450">
        <f>600000+600000</f>
        <v>1200000</v>
      </c>
    </row>
    <row r="53" spans="1:3" ht="21" customHeight="1">
      <c r="A53" s="133"/>
      <c r="B53" s="142" t="s">
        <v>275</v>
      </c>
      <c r="C53" s="450"/>
    </row>
    <row r="54" spans="1:6" s="9" customFormat="1" ht="42" customHeight="1" thickBot="1">
      <c r="A54" s="139"/>
      <c r="B54" s="140" t="s">
        <v>294</v>
      </c>
      <c r="C54" s="447">
        <f>SUM(C49:C53)</f>
        <v>33356900</v>
      </c>
      <c r="F54" s="143"/>
    </row>
    <row r="55" spans="1:3" s="9" customFormat="1" ht="35.25" customHeight="1" thickBot="1">
      <c r="A55" s="144"/>
      <c r="B55" s="145" t="s">
        <v>295</v>
      </c>
      <c r="C55" s="449">
        <f>C24+C48</f>
        <v>49388587</v>
      </c>
    </row>
    <row r="56" spans="1:6" s="9" customFormat="1" ht="35.25" customHeight="1" thickBot="1">
      <c r="A56" s="144"/>
      <c r="B56" s="145" t="s">
        <v>296</v>
      </c>
      <c r="C56" s="449">
        <f>C33+C54</f>
        <v>118473828</v>
      </c>
      <c r="F56" s="143"/>
    </row>
    <row r="57" spans="1:3" s="9" customFormat="1" ht="15.75">
      <c r="A57" s="146"/>
      <c r="B57" s="147"/>
      <c r="C57" s="356"/>
    </row>
    <row r="62" spans="1:3" s="148" customFormat="1" ht="15.75">
      <c r="A62" s="147"/>
      <c r="B62" s="155"/>
      <c r="C62" s="352"/>
    </row>
    <row r="63" spans="1:3" s="148" customFormat="1" ht="15.75">
      <c r="A63" s="147"/>
      <c r="B63" s="155"/>
      <c r="C63" s="352"/>
    </row>
    <row r="64" spans="1:3" s="148" customFormat="1" ht="15.75">
      <c r="A64" s="147"/>
      <c r="B64" s="155"/>
      <c r="C64" s="352"/>
    </row>
    <row r="65" spans="1:3" s="148" customFormat="1" ht="15.75">
      <c r="A65" s="147"/>
      <c r="B65" s="155"/>
      <c r="C65" s="352"/>
    </row>
    <row r="66" spans="1:3" s="148" customFormat="1" ht="15.75">
      <c r="A66" s="572">
        <v>3</v>
      </c>
      <c r="B66" s="572"/>
      <c r="C66" s="572"/>
    </row>
    <row r="67" spans="1:3" s="148" customFormat="1" ht="16.5" thickBot="1">
      <c r="A67" s="286"/>
      <c r="B67" s="286"/>
      <c r="C67" s="286"/>
    </row>
    <row r="68" spans="1:3" s="148" customFormat="1" ht="19.5" customHeight="1">
      <c r="A68" s="134" t="s">
        <v>47</v>
      </c>
      <c r="B68" s="567" t="s">
        <v>0</v>
      </c>
      <c r="C68" s="355" t="s">
        <v>19</v>
      </c>
    </row>
    <row r="69" spans="1:3" s="148" customFormat="1" ht="15.75">
      <c r="A69" s="130"/>
      <c r="B69" s="568"/>
      <c r="C69" s="354"/>
    </row>
    <row r="70" spans="1:3" s="148" customFormat="1" ht="16.5" thickBot="1">
      <c r="A70" s="132" t="s">
        <v>48</v>
      </c>
      <c r="B70" s="569"/>
      <c r="C70" s="353" t="s">
        <v>10</v>
      </c>
    </row>
    <row r="71" spans="1:3" s="148" customFormat="1" ht="15.75">
      <c r="A71" s="147"/>
      <c r="B71" s="155"/>
      <c r="C71" s="352"/>
    </row>
    <row r="72" spans="1:3" ht="20.25" customHeight="1">
      <c r="A72" s="570" t="s">
        <v>297</v>
      </c>
      <c r="B72" s="570"/>
      <c r="C72" s="570"/>
    </row>
    <row r="73" spans="1:3" ht="20.25" customHeight="1">
      <c r="A73" s="149"/>
      <c r="B73" s="149"/>
      <c r="C73" s="149"/>
    </row>
    <row r="74" spans="1:3" ht="20.25" customHeight="1">
      <c r="A74" s="139" t="s">
        <v>298</v>
      </c>
      <c r="B74" s="150" t="s">
        <v>299</v>
      </c>
      <c r="C74" s="447">
        <f>26261000+2000000+42143000</f>
        <v>70404000</v>
      </c>
    </row>
    <row r="75" spans="1:3" ht="21" customHeight="1">
      <c r="A75" s="139"/>
      <c r="B75" s="140" t="s">
        <v>300</v>
      </c>
      <c r="C75" s="448">
        <f>SUM(C74:C74)</f>
        <v>70404000</v>
      </c>
    </row>
    <row r="76" spans="1:3" ht="21" customHeight="1">
      <c r="A76" s="136" t="s">
        <v>301</v>
      </c>
      <c r="B76" s="140" t="s">
        <v>496</v>
      </c>
      <c r="C76" s="448">
        <f>1139077+179682</f>
        <v>1318759</v>
      </c>
    </row>
    <row r="77" spans="1:3" ht="15.75">
      <c r="A77" s="136" t="s">
        <v>303</v>
      </c>
      <c r="B77" s="150" t="s">
        <v>302</v>
      </c>
      <c r="C77" s="447"/>
    </row>
    <row r="78" spans="1:3" ht="15.75">
      <c r="A78" s="133" t="s">
        <v>375</v>
      </c>
      <c r="B78" s="150" t="s">
        <v>304</v>
      </c>
      <c r="C78" s="447"/>
    </row>
    <row r="79" spans="1:3" s="151" customFormat="1" ht="30" customHeight="1" thickBot="1">
      <c r="A79" s="139"/>
      <c r="B79" s="140" t="s">
        <v>305</v>
      </c>
      <c r="C79" s="447">
        <f>SUM(C76:C78)</f>
        <v>1318759</v>
      </c>
    </row>
    <row r="80" spans="1:5" s="151" customFormat="1" ht="30" customHeight="1" thickBot="1">
      <c r="A80" s="152"/>
      <c r="B80" s="153" t="s">
        <v>306</v>
      </c>
      <c r="C80" s="446">
        <f>C55+C75</f>
        <v>119792587</v>
      </c>
      <c r="E80" s="154"/>
    </row>
    <row r="81" spans="1:5" ht="35.25" customHeight="1" thickBot="1">
      <c r="A81" s="152"/>
      <c r="B81" s="153" t="s">
        <v>307</v>
      </c>
      <c r="C81" s="446">
        <f>C56+C79</f>
        <v>119792587</v>
      </c>
      <c r="E81" s="154"/>
    </row>
  </sheetData>
  <sheetProtection/>
  <mergeCells count="11">
    <mergeCell ref="A66:C66"/>
    <mergeCell ref="A36:C36"/>
    <mergeCell ref="A42:C42"/>
    <mergeCell ref="A5:C5"/>
    <mergeCell ref="A6:C6"/>
    <mergeCell ref="B68:B70"/>
    <mergeCell ref="A72:C72"/>
    <mergeCell ref="A7:C7"/>
    <mergeCell ref="A8:C8"/>
    <mergeCell ref="A9:C9"/>
    <mergeCell ref="A15:C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5"/>
  <sheetViews>
    <sheetView zoomScalePageLayoutView="0" workbookViewId="0" topLeftCell="A1">
      <selection activeCell="A4" sqref="A4:O4"/>
    </sheetView>
  </sheetViews>
  <sheetFormatPr defaultColWidth="9.00390625" defaultRowHeight="12.75"/>
  <cols>
    <col min="1" max="1" width="5.125" style="45" customWidth="1"/>
    <col min="2" max="2" width="43.625" style="45" customWidth="1"/>
    <col min="3" max="14" width="15.375" style="302" customWidth="1"/>
    <col min="15" max="15" width="16.625" style="302" customWidth="1"/>
    <col min="16" max="16" width="12.625" style="45" bestFit="1" customWidth="1"/>
    <col min="17" max="16384" width="9.125" style="45" customWidth="1"/>
  </cols>
  <sheetData>
    <row r="2" spans="3:15" s="96" customFormat="1" ht="15.75"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</row>
    <row r="4" spans="1:15" ht="15.75">
      <c r="A4" s="547" t="s">
        <v>525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</row>
    <row r="5" spans="2:15" ht="15.75"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</row>
    <row r="6" spans="2:15" ht="15.75">
      <c r="B6" s="459" t="s">
        <v>46</v>
      </c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</row>
    <row r="7" spans="2:15" ht="15.75">
      <c r="B7" s="459" t="s">
        <v>340</v>
      </c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</row>
    <row r="8" spans="2:15" ht="15.75">
      <c r="B8" s="459" t="s">
        <v>472</v>
      </c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</row>
    <row r="9" spans="3:15" ht="16.5" thickBot="1">
      <c r="C9" s="301"/>
      <c r="D9" s="301"/>
      <c r="E9" s="301"/>
      <c r="F9" s="387"/>
      <c r="G9" s="301"/>
      <c r="H9" s="301"/>
      <c r="I9" s="301"/>
      <c r="J9" s="301"/>
      <c r="O9" s="386" t="s">
        <v>539</v>
      </c>
    </row>
    <row r="10" spans="1:15" ht="15.75">
      <c r="A10" s="187" t="s">
        <v>47</v>
      </c>
      <c r="B10" s="188"/>
      <c r="C10" s="385"/>
      <c r="D10" s="384"/>
      <c r="E10" s="383"/>
      <c r="F10" s="382"/>
      <c r="G10" s="382"/>
      <c r="H10" s="382"/>
      <c r="I10" s="382"/>
      <c r="J10" s="382"/>
      <c r="K10" s="381"/>
      <c r="L10" s="381"/>
      <c r="M10" s="381"/>
      <c r="N10" s="380"/>
      <c r="O10" s="379"/>
    </row>
    <row r="11" spans="1:15" ht="15.75">
      <c r="A11" s="189"/>
      <c r="B11" s="190" t="s">
        <v>0</v>
      </c>
      <c r="C11" s="321" t="s">
        <v>341</v>
      </c>
      <c r="D11" s="378" t="s">
        <v>342</v>
      </c>
      <c r="E11" s="376" t="s">
        <v>343</v>
      </c>
      <c r="F11" s="377" t="s">
        <v>344</v>
      </c>
      <c r="G11" s="377" t="s">
        <v>345</v>
      </c>
      <c r="H11" s="377" t="s">
        <v>346</v>
      </c>
      <c r="I11" s="377" t="s">
        <v>347</v>
      </c>
      <c r="J11" s="377" t="s">
        <v>348</v>
      </c>
      <c r="K11" s="377" t="s">
        <v>349</v>
      </c>
      <c r="L11" s="377" t="s">
        <v>350</v>
      </c>
      <c r="M11" s="377" t="s">
        <v>351</v>
      </c>
      <c r="N11" s="376" t="s">
        <v>352</v>
      </c>
      <c r="O11" s="354" t="s">
        <v>332</v>
      </c>
    </row>
    <row r="12" spans="1:15" ht="16.5" thickBot="1">
      <c r="A12" s="191" t="s">
        <v>48</v>
      </c>
      <c r="B12" s="192"/>
      <c r="C12" s="372"/>
      <c r="D12" s="375"/>
      <c r="E12" s="373"/>
      <c r="F12" s="374"/>
      <c r="G12" s="374"/>
      <c r="H12" s="374"/>
      <c r="I12" s="374"/>
      <c r="J12" s="374"/>
      <c r="K12" s="374"/>
      <c r="L12" s="374"/>
      <c r="M12" s="374"/>
      <c r="N12" s="373"/>
      <c r="O12" s="372"/>
    </row>
    <row r="13" spans="1:15" ht="28.5" customHeight="1">
      <c r="A13" s="193"/>
      <c r="B13" s="194" t="s">
        <v>353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4"/>
    </row>
    <row r="14" spans="1:15" ht="28.5" customHeight="1">
      <c r="A14" s="193" t="s">
        <v>49</v>
      </c>
      <c r="B14" s="194" t="s">
        <v>354</v>
      </c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4"/>
    </row>
    <row r="15" spans="1:15" ht="28.5" customHeight="1">
      <c r="A15" s="193"/>
      <c r="B15" s="194" t="s">
        <v>355</v>
      </c>
      <c r="C15" s="365">
        <v>3515000</v>
      </c>
      <c r="D15" s="365">
        <v>2273000</v>
      </c>
      <c r="E15" s="365">
        <v>2273000</v>
      </c>
      <c r="F15" s="365">
        <v>2273000</v>
      </c>
      <c r="G15" s="365">
        <f>2273000+112611+21+11684</f>
        <v>2397316</v>
      </c>
      <c r="H15" s="365">
        <f>2273000+11938</f>
        <v>2284938</v>
      </c>
      <c r="I15" s="365">
        <f>2273000+195840+11938</f>
        <v>2480778</v>
      </c>
      <c r="J15" s="365">
        <f>2273000+11938</f>
        <v>2284938</v>
      </c>
      <c r="K15" s="365">
        <f>2272000+11938</f>
        <v>2283938</v>
      </c>
      <c r="L15" s="365">
        <f>2272000+11938</f>
        <v>2283938</v>
      </c>
      <c r="M15" s="365">
        <v>2272000</v>
      </c>
      <c r="N15" s="365">
        <v>2272000</v>
      </c>
      <c r="O15" s="364">
        <f>SUM(C15:N15)</f>
        <v>28893846</v>
      </c>
    </row>
    <row r="16" spans="1:15" ht="28.5" customHeight="1">
      <c r="A16" s="193"/>
      <c r="B16" s="194" t="s">
        <v>356</v>
      </c>
      <c r="C16" s="365"/>
      <c r="D16" s="365"/>
      <c r="E16" s="365"/>
      <c r="F16" s="365">
        <v>526211</v>
      </c>
      <c r="G16" s="365">
        <f>230460</f>
        <v>230460</v>
      </c>
      <c r="H16" s="365"/>
      <c r="I16" s="365">
        <f>176583</f>
        <v>176583</v>
      </c>
      <c r="J16" s="365">
        <f>23000+183415+189708</f>
        <v>396123</v>
      </c>
      <c r="K16" s="365">
        <v>179682</v>
      </c>
      <c r="L16" s="365">
        <v>179682</v>
      </c>
      <c r="M16" s="365">
        <v>23000</v>
      </c>
      <c r="N16" s="365"/>
      <c r="O16" s="364">
        <f>SUM(C16:N16)</f>
        <v>1711741</v>
      </c>
    </row>
    <row r="17" spans="1:15" ht="15.75">
      <c r="A17" s="193" t="s">
        <v>50</v>
      </c>
      <c r="B17" s="194" t="s">
        <v>357</v>
      </c>
      <c r="C17" s="365">
        <f>12000+44000+32000+31000</f>
        <v>119000</v>
      </c>
      <c r="D17" s="365">
        <f>19000+12000+118000+253000+31000</f>
        <v>433000</v>
      </c>
      <c r="E17" s="365">
        <f>1127000+11000+620000+382000+31000</f>
        <v>2171000</v>
      </c>
      <c r="F17" s="365">
        <f>9000+12000+76000+34000+31000+200000</f>
        <v>362000</v>
      </c>
      <c r="G17" s="365">
        <f>408000+12000+48000+35000+31000-200000</f>
        <v>334000</v>
      </c>
      <c r="H17" s="365">
        <f>46000+12000+20000+19000+31000</f>
        <v>128000</v>
      </c>
      <c r="I17" s="365">
        <f>12000+2000+2000+31000</f>
        <v>47000</v>
      </c>
      <c r="J17" s="365">
        <f>12000+237000+346000+31000</f>
        <v>626000</v>
      </c>
      <c r="K17" s="365">
        <f>1188000+11000+601000+335000+31000</f>
        <v>2166000</v>
      </c>
      <c r="L17" s="365">
        <f>10000+12000+27000+35000+31000</f>
        <v>115000</v>
      </c>
      <c r="M17" s="365">
        <f>852000+11000+76000+12000+31000</f>
        <v>982000</v>
      </c>
      <c r="N17" s="365">
        <f>241000+11000+34000+15000+29000</f>
        <v>330000</v>
      </c>
      <c r="O17" s="364">
        <f>SUM(C17:N17)</f>
        <v>7813000</v>
      </c>
    </row>
    <row r="18" spans="1:17" ht="15.75">
      <c r="A18" s="193" t="s">
        <v>113</v>
      </c>
      <c r="B18" s="194" t="s">
        <v>358</v>
      </c>
      <c r="C18" s="365">
        <v>931000</v>
      </c>
      <c r="D18" s="365">
        <v>877000</v>
      </c>
      <c r="E18" s="365">
        <v>958000</v>
      </c>
      <c r="F18" s="365">
        <v>1036000</v>
      </c>
      <c r="G18" s="365">
        <v>890000</v>
      </c>
      <c r="H18" s="365">
        <v>804000</v>
      </c>
      <c r="I18" s="365">
        <v>758000</v>
      </c>
      <c r="J18" s="365">
        <v>704000</v>
      </c>
      <c r="K18" s="365">
        <v>1004000</v>
      </c>
      <c r="L18" s="365">
        <v>1030000</v>
      </c>
      <c r="M18" s="365">
        <v>913000</v>
      </c>
      <c r="N18" s="365">
        <v>1003000</v>
      </c>
      <c r="O18" s="364">
        <f>SUM(C18:N18)</f>
        <v>10908000</v>
      </c>
      <c r="Q18" s="205"/>
    </row>
    <row r="19" spans="1:15" ht="15.75">
      <c r="A19" s="193" t="s">
        <v>115</v>
      </c>
      <c r="B19" s="195" t="s">
        <v>359</v>
      </c>
      <c r="C19" s="371">
        <v>5000</v>
      </c>
      <c r="D19" s="371">
        <v>6000</v>
      </c>
      <c r="E19" s="371">
        <v>5000</v>
      </c>
      <c r="F19" s="371">
        <v>5000</v>
      </c>
      <c r="G19" s="371">
        <v>5000</v>
      </c>
      <c r="H19" s="371">
        <v>5000</v>
      </c>
      <c r="I19" s="371">
        <v>5000</v>
      </c>
      <c r="J19" s="371">
        <v>5000</v>
      </c>
      <c r="K19" s="371">
        <v>5000</v>
      </c>
      <c r="L19" s="371">
        <v>6000</v>
      </c>
      <c r="M19" s="371">
        <v>5000</v>
      </c>
      <c r="N19" s="371">
        <v>5000</v>
      </c>
      <c r="O19" s="364">
        <f>SUM(C19:N19)</f>
        <v>62000</v>
      </c>
    </row>
    <row r="20" spans="1:15" ht="15.75">
      <c r="A20" s="193" t="s">
        <v>121</v>
      </c>
      <c r="B20" s="195" t="s">
        <v>262</v>
      </c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69"/>
      <c r="O20" s="364">
        <f>SUM(C20:N20)</f>
        <v>0</v>
      </c>
    </row>
    <row r="21" spans="1:15" ht="31.5">
      <c r="A21" s="193"/>
      <c r="B21" s="194" t="s">
        <v>360</v>
      </c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8"/>
      <c r="O21" s="364">
        <f>SUM(C21:N21)</f>
        <v>0</v>
      </c>
    </row>
    <row r="22" spans="1:15" ht="17.25" customHeight="1">
      <c r="A22" s="193"/>
      <c r="B22" s="194" t="s">
        <v>361</v>
      </c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8"/>
      <c r="O22" s="364">
        <f>SUM(C22:N22)</f>
        <v>0</v>
      </c>
    </row>
    <row r="23" spans="1:15" ht="15.75">
      <c r="A23" s="193" t="s">
        <v>268</v>
      </c>
      <c r="B23" s="195" t="s">
        <v>362</v>
      </c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8"/>
      <c r="O23" s="364">
        <f>SUM(C23:N23)</f>
        <v>0</v>
      </c>
    </row>
    <row r="24" spans="1:15" ht="47.25">
      <c r="A24" s="193"/>
      <c r="B24" s="204" t="s">
        <v>363</v>
      </c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8"/>
      <c r="O24" s="364">
        <f>SUM(C24:N24)</f>
        <v>0</v>
      </c>
    </row>
    <row r="25" spans="1:15" ht="15.75">
      <c r="A25" s="193"/>
      <c r="B25" s="194" t="s">
        <v>364</v>
      </c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8"/>
      <c r="O25" s="364">
        <f>SUM(C25:N25)</f>
        <v>0</v>
      </c>
    </row>
    <row r="26" spans="1:15" ht="15.75">
      <c r="A26" s="193" t="s">
        <v>270</v>
      </c>
      <c r="B26" s="195" t="s">
        <v>365</v>
      </c>
      <c r="C26" s="367">
        <v>1139077</v>
      </c>
      <c r="D26" s="367">
        <v>1917000</v>
      </c>
      <c r="E26" s="367">
        <v>2000000</v>
      </c>
      <c r="F26" s="367">
        <v>5046000</v>
      </c>
      <c r="G26" s="367">
        <v>42142923</v>
      </c>
      <c r="H26" s="367">
        <v>10260000</v>
      </c>
      <c r="I26" s="367"/>
      <c r="J26" s="367"/>
      <c r="K26" s="367"/>
      <c r="L26" s="367">
        <v>7899000</v>
      </c>
      <c r="M26" s="367"/>
      <c r="N26" s="368"/>
      <c r="O26" s="364">
        <f>SUM(C26:N26)</f>
        <v>70404000</v>
      </c>
    </row>
    <row r="27" spans="1:15" ht="16.5" thickBot="1">
      <c r="A27" s="196" t="s">
        <v>272</v>
      </c>
      <c r="B27" s="197" t="s">
        <v>366</v>
      </c>
      <c r="C27" s="367"/>
      <c r="D27" s="367">
        <f>C49</f>
        <v>975000</v>
      </c>
      <c r="E27" s="367">
        <f>D49</f>
        <v>2941000</v>
      </c>
      <c r="F27" s="367">
        <f>E49</f>
        <v>4410128</v>
      </c>
      <c r="G27" s="367">
        <f>F49</f>
        <v>8523341</v>
      </c>
      <c r="H27" s="367">
        <f>G49</f>
        <v>12833891</v>
      </c>
      <c r="I27" s="367">
        <f>H49</f>
        <v>21349950</v>
      </c>
      <c r="J27" s="367">
        <f>I49</f>
        <v>19983950</v>
      </c>
      <c r="K27" s="367">
        <f>J49</f>
        <v>20783930</v>
      </c>
      <c r="L27" s="367">
        <f>K49</f>
        <v>7777602</v>
      </c>
      <c r="M27" s="367">
        <f>L49</f>
        <v>4265372</v>
      </c>
      <c r="N27" s="367">
        <f>M49</f>
        <v>1291000</v>
      </c>
      <c r="O27" s="364"/>
    </row>
    <row r="28" spans="1:16" s="15" customFormat="1" ht="27.75" customHeight="1" thickBot="1">
      <c r="A28" s="198"/>
      <c r="B28" s="198" t="s">
        <v>367</v>
      </c>
      <c r="C28" s="363">
        <f>SUM(C15:C27)</f>
        <v>5709077</v>
      </c>
      <c r="D28" s="363">
        <f>SUM(D15:D27)</f>
        <v>6481000</v>
      </c>
      <c r="E28" s="363">
        <f>SUM(E15:E27)</f>
        <v>10348000</v>
      </c>
      <c r="F28" s="363">
        <f>SUM(F15:F27)</f>
        <v>13658339</v>
      </c>
      <c r="G28" s="363">
        <f>SUM(G15:G27)</f>
        <v>54523040</v>
      </c>
      <c r="H28" s="363">
        <f>SUM(H15:H27)</f>
        <v>26315829</v>
      </c>
      <c r="I28" s="363">
        <f>SUM(I15:I27)</f>
        <v>24817311</v>
      </c>
      <c r="J28" s="363">
        <f>SUM(J15:J27)</f>
        <v>24000011</v>
      </c>
      <c r="K28" s="363">
        <f>SUM(K15:K27)</f>
        <v>26422550</v>
      </c>
      <c r="L28" s="363">
        <f>SUM(L15:L27)</f>
        <v>19291222</v>
      </c>
      <c r="M28" s="363">
        <f>SUM(M15:M27)</f>
        <v>8460372</v>
      </c>
      <c r="N28" s="363">
        <f>SUM(N15:N27)</f>
        <v>4901000</v>
      </c>
      <c r="O28" s="362">
        <f>SUM(O14:O27)</f>
        <v>119792587</v>
      </c>
      <c r="P28" s="104"/>
    </row>
    <row r="29" spans="1:15" ht="15.75">
      <c r="A29" s="199"/>
      <c r="B29" s="200" t="s">
        <v>368</v>
      </c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6"/>
    </row>
    <row r="30" spans="1:16" ht="15.75">
      <c r="A30" s="193" t="s">
        <v>278</v>
      </c>
      <c r="B30" s="195" t="s">
        <v>209</v>
      </c>
      <c r="C30" s="365">
        <f>1061000+37000</f>
        <v>1098000</v>
      </c>
      <c r="D30" s="365">
        <v>1223000</v>
      </c>
      <c r="E30" s="365">
        <v>1222000</v>
      </c>
      <c r="F30" s="365">
        <f>1416000+414339+181465</f>
        <v>2011804</v>
      </c>
      <c r="G30" s="365">
        <f>1416000+88670+266286+9200</f>
        <v>1780156</v>
      </c>
      <c r="H30" s="365">
        <f>1416000+9400</f>
        <v>1425400</v>
      </c>
      <c r="I30" s="365">
        <f>1416000+9400+154010+22877+154205</f>
        <v>1756492</v>
      </c>
      <c r="J30" s="365">
        <f>1416000+9400+154009+149376</f>
        <v>1728785</v>
      </c>
      <c r="K30" s="365">
        <f>1416000+158310+9400</f>
        <v>1583710</v>
      </c>
      <c r="L30" s="365">
        <f>1416000+158310+9400</f>
        <v>1583710</v>
      </c>
      <c r="M30" s="365">
        <v>1416000</v>
      </c>
      <c r="N30" s="365">
        <v>1416000</v>
      </c>
      <c r="O30" s="364">
        <f>SUM(C30:N30)</f>
        <v>18245057</v>
      </c>
      <c r="P30" s="205"/>
    </row>
    <row r="31" spans="1:15" ht="31.5">
      <c r="A31" s="193" t="s">
        <v>280</v>
      </c>
      <c r="B31" s="204" t="s">
        <v>369</v>
      </c>
      <c r="C31" s="365">
        <v>302000</v>
      </c>
      <c r="D31" s="365">
        <v>302000</v>
      </c>
      <c r="E31" s="365">
        <f>392000+118872</f>
        <v>510872</v>
      </c>
      <c r="F31" s="365">
        <f>392000+48995-46801</f>
        <v>394194</v>
      </c>
      <c r="G31" s="365">
        <f>392000+2484</f>
        <v>394484</v>
      </c>
      <c r="H31" s="365">
        <f>392000+23941+2538</f>
        <v>418479</v>
      </c>
      <c r="I31" s="365">
        <f>392000+2538+14551+41635</f>
        <v>450724</v>
      </c>
      <c r="J31" s="365">
        <f>392000+2538+14551+40332</f>
        <v>449421</v>
      </c>
      <c r="K31" s="365">
        <f>392000+2538</f>
        <v>394538</v>
      </c>
      <c r="L31" s="365">
        <f>392000+21372+2538</f>
        <v>415910</v>
      </c>
      <c r="M31" s="365">
        <f>392000+21372</f>
        <v>413372</v>
      </c>
      <c r="N31" s="365">
        <v>392000</v>
      </c>
      <c r="O31" s="364">
        <f>SUM(C31:N31)</f>
        <v>4837994</v>
      </c>
    </row>
    <row r="32" spans="1:15" ht="15.75">
      <c r="A32" s="193" t="s">
        <v>282</v>
      </c>
      <c r="B32" s="195" t="s">
        <v>211</v>
      </c>
      <c r="C32" s="365">
        <f>1827000+95000</f>
        <v>1922000</v>
      </c>
      <c r="D32" s="365">
        <f>1701000+95000</f>
        <v>1796000</v>
      </c>
      <c r="E32" s="365">
        <f>1890000+95000</f>
        <v>1985000</v>
      </c>
      <c r="F32" s="365">
        <f>1853000+95000</f>
        <v>1948000</v>
      </c>
      <c r="G32" s="365">
        <f>2215000+63508</f>
        <v>2278508</v>
      </c>
      <c r="H32" s="365">
        <f>1533000+95000</f>
        <v>1628000</v>
      </c>
      <c r="I32" s="365">
        <f>1428000+95000</f>
        <v>1523000</v>
      </c>
      <c r="J32" s="365">
        <f>1302000+95000+396875-1000000</f>
        <v>793875</v>
      </c>
      <c r="K32" s="365">
        <v>882000</v>
      </c>
      <c r="L32" s="365">
        <f>1787000+95000-332000</f>
        <v>1550000</v>
      </c>
      <c r="M32" s="365">
        <f>1886000+95000</f>
        <v>1981000</v>
      </c>
      <c r="N32" s="365">
        <f>2047000+99000</f>
        <v>2146000</v>
      </c>
      <c r="O32" s="364">
        <f>SUM(C32:N32)</f>
        <v>20433383</v>
      </c>
    </row>
    <row r="33" spans="1:15" ht="15.75">
      <c r="A33" s="193" t="s">
        <v>287</v>
      </c>
      <c r="B33" s="195" t="s">
        <v>212</v>
      </c>
      <c r="C33" s="365">
        <f>219000+4000</f>
        <v>223000</v>
      </c>
      <c r="D33" s="365">
        <f>219000</f>
        <v>219000</v>
      </c>
      <c r="E33" s="365">
        <f>219000+1000</f>
        <v>220000</v>
      </c>
      <c r="F33" s="365">
        <f>219000</f>
        <v>219000</v>
      </c>
      <c r="G33" s="365">
        <f>219000</f>
        <v>219000</v>
      </c>
      <c r="H33" s="365">
        <f>219000</f>
        <v>219000</v>
      </c>
      <c r="I33" s="365">
        <f>219000</f>
        <v>219000</v>
      </c>
      <c r="J33" s="365">
        <f>219000</f>
        <v>219000</v>
      </c>
      <c r="K33" s="365">
        <f>219000</f>
        <v>219000</v>
      </c>
      <c r="L33" s="365">
        <f>219000</f>
        <v>219000</v>
      </c>
      <c r="M33" s="365">
        <f>219000</f>
        <v>219000</v>
      </c>
      <c r="N33" s="365">
        <v>947000</v>
      </c>
      <c r="O33" s="364">
        <f>SUM(C33:N33)</f>
        <v>3361000</v>
      </c>
    </row>
    <row r="34" spans="1:15" ht="15.75">
      <c r="A34" s="193" t="s">
        <v>289</v>
      </c>
      <c r="B34" s="195" t="s">
        <v>370</v>
      </c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4"/>
    </row>
    <row r="35" spans="1:15" ht="15.75">
      <c r="A35" s="193"/>
      <c r="B35" s="195" t="s">
        <v>371</v>
      </c>
      <c r="C35" s="365"/>
      <c r="D35" s="365"/>
      <c r="E35" s="365"/>
      <c r="F35" s="365"/>
      <c r="G35" s="365"/>
      <c r="H35" s="365"/>
      <c r="I35" s="365">
        <v>884145</v>
      </c>
      <c r="J35" s="365"/>
      <c r="K35" s="365"/>
      <c r="L35" s="365"/>
      <c r="M35" s="365"/>
      <c r="N35" s="365"/>
      <c r="O35" s="364">
        <f>SUM(C35:N35)</f>
        <v>884145</v>
      </c>
    </row>
    <row r="36" spans="1:16" ht="15.75">
      <c r="A36" s="193"/>
      <c r="B36" s="195" t="s">
        <v>372</v>
      </c>
      <c r="C36" s="365">
        <v>50000</v>
      </c>
      <c r="D36" s="365"/>
      <c r="E36" s="365"/>
      <c r="F36" s="365">
        <v>112000</v>
      </c>
      <c r="G36" s="365">
        <v>200000</v>
      </c>
      <c r="H36" s="365">
        <v>675000</v>
      </c>
      <c r="I36" s="365"/>
      <c r="J36" s="365">
        <v>25000</v>
      </c>
      <c r="K36" s="365"/>
      <c r="L36" s="365">
        <f>65000+100000+116030</f>
        <v>281030</v>
      </c>
      <c r="M36" s="365"/>
      <c r="N36" s="365"/>
      <c r="O36" s="364">
        <f>SUM(C36:N36)</f>
        <v>1343030</v>
      </c>
      <c r="P36" s="205"/>
    </row>
    <row r="37" spans="1:15" ht="15.75">
      <c r="A37" s="193" t="s">
        <v>291</v>
      </c>
      <c r="B37" s="195" t="s">
        <v>215</v>
      </c>
      <c r="C37" s="365"/>
      <c r="D37" s="365"/>
      <c r="E37" s="365">
        <v>2000000</v>
      </c>
      <c r="F37" s="365">
        <v>450000</v>
      </c>
      <c r="G37" s="365">
        <v>225000</v>
      </c>
      <c r="H37" s="365"/>
      <c r="I37" s="365"/>
      <c r="J37" s="365"/>
      <c r="K37" s="365">
        <f>173000+11800+530900</f>
        <v>715700</v>
      </c>
      <c r="L37" s="365">
        <v>2596200</v>
      </c>
      <c r="M37" s="365">
        <v>2540000</v>
      </c>
      <c r="N37" s="365"/>
      <c r="O37" s="364">
        <f>SUM(C37:N37)</f>
        <v>8526900</v>
      </c>
    </row>
    <row r="38" spans="1:15" ht="15.75">
      <c r="A38" s="193" t="s">
        <v>298</v>
      </c>
      <c r="B38" s="195" t="s">
        <v>84</v>
      </c>
      <c r="C38" s="365"/>
      <c r="D38" s="365"/>
      <c r="E38" s="365"/>
      <c r="F38" s="365"/>
      <c r="G38" s="365">
        <v>400000</v>
      </c>
      <c r="H38" s="365"/>
      <c r="I38" s="365"/>
      <c r="J38" s="365"/>
      <c r="K38" s="365">
        <v>14850000</v>
      </c>
      <c r="L38" s="365">
        <f>8355000+25000</f>
        <v>8380000</v>
      </c>
      <c r="M38" s="365"/>
      <c r="N38" s="365"/>
      <c r="O38" s="364">
        <f>SUM(C38:N38)</f>
        <v>23630000</v>
      </c>
    </row>
    <row r="39" spans="1:15" ht="20.25" customHeight="1">
      <c r="A39" s="193" t="s">
        <v>301</v>
      </c>
      <c r="B39" s="195" t="s">
        <v>292</v>
      </c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4">
        <f>SUM(C39:N39)</f>
        <v>0</v>
      </c>
    </row>
    <row r="40" spans="1:15" ht="20.25" customHeight="1">
      <c r="A40" s="193"/>
      <c r="B40" s="195" t="s">
        <v>371</v>
      </c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4">
        <f>SUM(C40:N40)</f>
        <v>0</v>
      </c>
    </row>
    <row r="41" spans="1:15" ht="15.75">
      <c r="A41" s="193"/>
      <c r="B41" s="195" t="s">
        <v>372</v>
      </c>
      <c r="C41" s="365"/>
      <c r="D41" s="365"/>
      <c r="E41" s="365"/>
      <c r="F41" s="365"/>
      <c r="G41" s="365"/>
      <c r="H41" s="365">
        <v>600000</v>
      </c>
      <c r="I41" s="365"/>
      <c r="J41" s="365"/>
      <c r="K41" s="365"/>
      <c r="L41" s="365"/>
      <c r="M41" s="365">
        <v>600000</v>
      </c>
      <c r="N41" s="365"/>
      <c r="O41" s="364">
        <f>SUM(C41:N41)</f>
        <v>1200000</v>
      </c>
    </row>
    <row r="42" spans="1:15" ht="15.75">
      <c r="A42" s="193" t="s">
        <v>303</v>
      </c>
      <c r="B42" s="195" t="s">
        <v>208</v>
      </c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4">
        <f>SUM(C42:N42)</f>
        <v>0</v>
      </c>
    </row>
    <row r="43" spans="1:15" ht="15.75">
      <c r="A43" s="193"/>
      <c r="B43" s="287" t="s">
        <v>500</v>
      </c>
      <c r="C43" s="365">
        <v>1139077</v>
      </c>
      <c r="D43" s="365"/>
      <c r="E43" s="365"/>
      <c r="F43" s="365"/>
      <c r="G43" s="365">
        <v>179682</v>
      </c>
      <c r="H43" s="365"/>
      <c r="I43" s="365"/>
      <c r="J43" s="365"/>
      <c r="K43" s="365"/>
      <c r="L43" s="365"/>
      <c r="M43" s="365"/>
      <c r="N43" s="365"/>
      <c r="O43" s="364">
        <f>SUM(C43:N43)</f>
        <v>1318759</v>
      </c>
    </row>
    <row r="44" spans="1:15" ht="15.75">
      <c r="A44" s="193"/>
      <c r="B44" s="195" t="s">
        <v>373</v>
      </c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4">
        <f>SUM(C44:N44)</f>
        <v>0</v>
      </c>
    </row>
    <row r="45" spans="1:15" ht="15.75">
      <c r="A45" s="193"/>
      <c r="B45" s="195" t="s">
        <v>374</v>
      </c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4">
        <f>SUM(C45:N45)</f>
        <v>0</v>
      </c>
    </row>
    <row r="46" spans="1:16" ht="15.75">
      <c r="A46" s="193" t="s">
        <v>375</v>
      </c>
      <c r="B46" s="195" t="s">
        <v>376</v>
      </c>
      <c r="C46" s="365"/>
      <c r="D46" s="365"/>
      <c r="E46" s="365"/>
      <c r="F46" s="365"/>
      <c r="G46" s="365">
        <f>40789124-2596200-425000-11800-396875-100000-381000-600000-116030-149900</f>
        <v>36012319</v>
      </c>
      <c r="H46" s="365"/>
      <c r="I46" s="365"/>
      <c r="J46" s="365"/>
      <c r="K46" s="365"/>
      <c r="L46" s="365"/>
      <c r="M46" s="365"/>
      <c r="N46" s="365"/>
      <c r="O46" s="364">
        <f>SUM(C46:N46)</f>
        <v>36012319</v>
      </c>
      <c r="P46" s="205"/>
    </row>
    <row r="47" spans="1:15" ht="16.5" thickBot="1">
      <c r="A47" s="196" t="s">
        <v>377</v>
      </c>
      <c r="B47" s="197" t="s">
        <v>378</v>
      </c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4">
        <f>SUM(C47:N47)</f>
        <v>0</v>
      </c>
    </row>
    <row r="48" spans="1:19" s="15" customFormat="1" ht="24" customHeight="1" thickBot="1">
      <c r="A48" s="198"/>
      <c r="B48" s="198" t="s">
        <v>379</v>
      </c>
      <c r="C48" s="363">
        <f>SUM(C30:C47)</f>
        <v>4734077</v>
      </c>
      <c r="D48" s="363">
        <f>SUM(D30:D47)</f>
        <v>3540000</v>
      </c>
      <c r="E48" s="363">
        <f>SUM(E30:E47)</f>
        <v>5937872</v>
      </c>
      <c r="F48" s="363">
        <f>SUM(F30:F47)</f>
        <v>5134998</v>
      </c>
      <c r="G48" s="363">
        <f>SUM(G30:G47)</f>
        <v>41689149</v>
      </c>
      <c r="H48" s="363">
        <f>SUM(H30:H47)</f>
        <v>4965879</v>
      </c>
      <c r="I48" s="363">
        <f>SUM(I30:I47)</f>
        <v>4833361</v>
      </c>
      <c r="J48" s="363">
        <f>SUM(J30:J47)</f>
        <v>3216081</v>
      </c>
      <c r="K48" s="363">
        <f>SUM(K30:K47)</f>
        <v>18644948</v>
      </c>
      <c r="L48" s="363">
        <f>SUM(L30:L47)</f>
        <v>15025850</v>
      </c>
      <c r="M48" s="363">
        <f>SUM(M30:M47)</f>
        <v>7169372</v>
      </c>
      <c r="N48" s="363">
        <f>SUM(N30:N47)</f>
        <v>4901000</v>
      </c>
      <c r="O48" s="362">
        <f>SUM(O30:O47)</f>
        <v>119792587</v>
      </c>
      <c r="S48" s="201"/>
    </row>
    <row r="49" spans="1:15" ht="26.25" customHeight="1" thickBot="1">
      <c r="A49" s="202"/>
      <c r="B49" s="203" t="s">
        <v>380</v>
      </c>
      <c r="C49" s="361">
        <f>C28-C48</f>
        <v>975000</v>
      </c>
      <c r="D49" s="361">
        <f>D28-D48</f>
        <v>2941000</v>
      </c>
      <c r="E49" s="361">
        <f>E28-E48</f>
        <v>4410128</v>
      </c>
      <c r="F49" s="361">
        <f>F28-F48</f>
        <v>8523341</v>
      </c>
      <c r="G49" s="361">
        <f>G28-G48</f>
        <v>12833891</v>
      </c>
      <c r="H49" s="361">
        <f>H28-H48</f>
        <v>21349950</v>
      </c>
      <c r="I49" s="361">
        <f>I28-I48</f>
        <v>19983950</v>
      </c>
      <c r="J49" s="361">
        <f>J28-J48</f>
        <v>20783930</v>
      </c>
      <c r="K49" s="361">
        <f>K28-K48</f>
        <v>7777602</v>
      </c>
      <c r="L49" s="361">
        <f>L28-L48</f>
        <v>4265372</v>
      </c>
      <c r="M49" s="361">
        <f>M28-M48</f>
        <v>1291000</v>
      </c>
      <c r="N49" s="361">
        <f>N28-N48</f>
        <v>0</v>
      </c>
      <c r="O49" s="360"/>
    </row>
    <row r="51" spans="3:15" ht="15.75"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</row>
    <row r="52" ht="15.75">
      <c r="O52" s="359"/>
    </row>
    <row r="53" ht="15.75">
      <c r="O53" s="359"/>
    </row>
    <row r="54" ht="15.75">
      <c r="O54" s="359"/>
    </row>
    <row r="55" ht="15.75">
      <c r="O55" s="359"/>
    </row>
  </sheetData>
  <sheetProtection/>
  <mergeCells count="5">
    <mergeCell ref="B8:O8"/>
    <mergeCell ref="B5:O5"/>
    <mergeCell ref="B6:O6"/>
    <mergeCell ref="B7:O7"/>
    <mergeCell ref="A4:O4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4.75390625" style="20" customWidth="1"/>
    <col min="2" max="2" width="56.25390625" style="20" customWidth="1"/>
    <col min="3" max="3" width="17.875" style="20" customWidth="1"/>
    <col min="4" max="4" width="4.875" style="20" customWidth="1"/>
    <col min="5" max="16384" width="9.125" style="20" customWidth="1"/>
  </cols>
  <sheetData>
    <row r="1" spans="1:5" ht="15.75">
      <c r="A1" s="96" t="s">
        <v>526</v>
      </c>
      <c r="B1" s="96"/>
      <c r="C1" s="96"/>
      <c r="D1" s="96"/>
      <c r="E1" s="19"/>
    </row>
    <row r="2" spans="1:5" ht="15.75">
      <c r="A2" s="21"/>
      <c r="B2" s="21"/>
      <c r="C2" s="21"/>
      <c r="D2" s="22"/>
      <c r="E2" s="19"/>
    </row>
    <row r="3" spans="1:5" ht="12.75" customHeight="1">
      <c r="A3" s="22"/>
      <c r="B3" s="22"/>
      <c r="C3" s="22"/>
      <c r="D3" s="22"/>
      <c r="E3" s="19"/>
    </row>
    <row r="4" spans="1:5" ht="15.75">
      <c r="A4" s="573" t="s">
        <v>4</v>
      </c>
      <c r="B4" s="573"/>
      <c r="C4" s="573"/>
      <c r="D4" s="573"/>
      <c r="E4" s="19"/>
    </row>
    <row r="5" spans="1:5" ht="15.75">
      <c r="A5" s="573" t="s">
        <v>24</v>
      </c>
      <c r="B5" s="573"/>
      <c r="C5" s="573"/>
      <c r="D5" s="573"/>
      <c r="E5" s="19"/>
    </row>
    <row r="6" spans="1:5" ht="15.75">
      <c r="A6" s="573" t="s">
        <v>499</v>
      </c>
      <c r="B6" s="573"/>
      <c r="C6" s="573"/>
      <c r="D6" s="573"/>
      <c r="E6" s="19"/>
    </row>
    <row r="7" spans="1:5" ht="15.75">
      <c r="A7" s="21"/>
      <c r="B7" s="21"/>
      <c r="C7" s="21"/>
      <c r="D7" s="19"/>
      <c r="E7" s="19"/>
    </row>
    <row r="8" spans="1:5" ht="15.75">
      <c r="A8" s="21"/>
      <c r="B8" s="21"/>
      <c r="C8" s="21"/>
      <c r="D8" s="19"/>
      <c r="E8" s="19"/>
    </row>
    <row r="9" spans="1:5" ht="15.75">
      <c r="A9" s="21"/>
      <c r="B9" s="21"/>
      <c r="C9" s="21"/>
      <c r="D9" s="19"/>
      <c r="E9" s="19"/>
    </row>
    <row r="10" spans="1:5" ht="15.75">
      <c r="A10" s="21"/>
      <c r="B10" s="21"/>
      <c r="C10" s="21"/>
      <c r="D10" s="19"/>
      <c r="E10" s="19"/>
    </row>
    <row r="11" spans="1:5" ht="15.75">
      <c r="A11" s="21"/>
      <c r="B11" s="23" t="s">
        <v>12</v>
      </c>
      <c r="C11" s="21"/>
      <c r="D11" s="19"/>
      <c r="E11" s="19"/>
    </row>
    <row r="12" spans="1:5" ht="10.5" customHeight="1">
      <c r="A12" s="21"/>
      <c r="B12" s="23"/>
      <c r="C12" s="21"/>
      <c r="D12" s="19"/>
      <c r="E12" s="19"/>
    </row>
    <row r="13" spans="1:5" ht="12" customHeight="1">
      <c r="A13" s="21"/>
      <c r="B13" s="23"/>
      <c r="C13" s="24"/>
      <c r="D13" s="19"/>
      <c r="E13" s="19"/>
    </row>
    <row r="14" spans="1:3" s="28" customFormat="1" ht="15">
      <c r="A14" s="25"/>
      <c r="B14" s="26" t="s">
        <v>13</v>
      </c>
      <c r="C14" s="27"/>
    </row>
    <row r="15" spans="1:5" ht="19.5" customHeight="1">
      <c r="A15" s="29"/>
      <c r="B15" s="19" t="s">
        <v>14</v>
      </c>
      <c r="C15" s="30">
        <v>1845000</v>
      </c>
      <c r="D15" s="19" t="s">
        <v>1</v>
      </c>
      <c r="E15" s="19"/>
    </row>
    <row r="16" spans="1:5" ht="19.5" customHeight="1">
      <c r="A16" s="19"/>
      <c r="B16" s="22" t="s">
        <v>15</v>
      </c>
      <c r="C16" s="31">
        <f>SUM(C15)</f>
        <v>1845000</v>
      </c>
      <c r="D16" s="22" t="s">
        <v>1</v>
      </c>
      <c r="E16" s="19"/>
    </row>
    <row r="17" spans="1:5" ht="19.5" customHeight="1">
      <c r="A17" s="19"/>
      <c r="B17" s="22"/>
      <c r="C17" s="31"/>
      <c r="D17" s="22"/>
      <c r="E17" s="19"/>
    </row>
    <row r="18" spans="1:5" ht="19.5" customHeight="1">
      <c r="A18" s="19"/>
      <c r="B18" s="22"/>
      <c r="C18" s="31"/>
      <c r="D18" s="22"/>
      <c r="E18" s="19"/>
    </row>
    <row r="19" spans="1:5" ht="10.5" customHeight="1">
      <c r="A19" s="19"/>
      <c r="B19" s="22"/>
      <c r="C19" s="31"/>
      <c r="D19" s="22"/>
      <c r="E19" s="19"/>
    </row>
    <row r="20" spans="1:5" ht="15.75">
      <c r="A20" s="19"/>
      <c r="B20" s="83"/>
      <c r="C20" s="19"/>
      <c r="D20" s="19"/>
      <c r="E20" s="19"/>
    </row>
    <row r="21" spans="1:5" ht="15.75">
      <c r="A21" s="19"/>
      <c r="B21" s="19"/>
      <c r="C21" s="19"/>
      <c r="D21" s="19"/>
      <c r="E21" s="19"/>
    </row>
    <row r="22" spans="1:5" ht="15.75">
      <c r="A22" s="19"/>
      <c r="B22" s="19"/>
      <c r="C22" s="19"/>
      <c r="D22" s="19"/>
      <c r="E22" s="19"/>
    </row>
    <row r="23" spans="1:5" ht="15.75">
      <c r="A23" s="19"/>
      <c r="B23" s="19"/>
      <c r="C23" s="19"/>
      <c r="D23" s="19"/>
      <c r="E23" s="19"/>
    </row>
    <row r="24" spans="1:5" ht="15.75">
      <c r="A24" s="19"/>
      <c r="B24" s="19"/>
      <c r="C24" s="19"/>
      <c r="D24" s="19"/>
      <c r="E24" s="19"/>
    </row>
    <row r="25" spans="1:5" ht="15.75">
      <c r="A25" s="19"/>
      <c r="B25" s="19"/>
      <c r="C25" s="19"/>
      <c r="D25" s="19"/>
      <c r="E25" s="19"/>
    </row>
    <row r="26" spans="1:5" ht="15.75">
      <c r="A26" s="19"/>
      <c r="B26" s="19"/>
      <c r="C26" s="19"/>
      <c r="D26" s="19"/>
      <c r="E26" s="19"/>
    </row>
    <row r="27" spans="1:5" ht="15.75">
      <c r="A27" s="19"/>
      <c r="B27" s="19"/>
      <c r="C27" s="19"/>
      <c r="D27" s="19"/>
      <c r="E27" s="19"/>
    </row>
    <row r="28" spans="1:5" ht="15.75">
      <c r="A28" s="19"/>
      <c r="B28" s="19"/>
      <c r="C28" s="19"/>
      <c r="D28" s="19"/>
      <c r="E28" s="19"/>
    </row>
  </sheetData>
  <sheetProtection/>
  <mergeCells count="3">
    <mergeCell ref="A6:D6"/>
    <mergeCell ref="A4:D4"/>
    <mergeCell ref="A5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1" customWidth="1"/>
    <col min="2" max="2" width="45.00390625" style="1" customWidth="1"/>
    <col min="3" max="6" width="11.875" style="1" customWidth="1"/>
    <col min="7" max="7" width="12.375" style="1" customWidth="1"/>
    <col min="8" max="16384" width="9.125" style="1" customWidth="1"/>
  </cols>
  <sheetData>
    <row r="1" spans="1:7" ht="15.75">
      <c r="A1" s="96" t="s">
        <v>527</v>
      </c>
      <c r="C1" s="532"/>
      <c r="D1" s="532"/>
      <c r="E1" s="532"/>
      <c r="F1" s="532"/>
      <c r="G1" s="532"/>
    </row>
    <row r="3" spans="1:7" ht="12.75">
      <c r="A3" s="460"/>
      <c r="B3" s="460"/>
      <c r="C3" s="460"/>
      <c r="D3" s="460"/>
      <c r="E3" s="460"/>
      <c r="F3" s="460"/>
      <c r="G3" s="460"/>
    </row>
    <row r="4" spans="1:8" ht="14.25">
      <c r="A4" s="578"/>
      <c r="B4" s="578"/>
      <c r="C4" s="578"/>
      <c r="D4" s="578"/>
      <c r="E4" s="578"/>
      <c r="F4" s="578"/>
      <c r="G4" s="578"/>
      <c r="H4" s="61"/>
    </row>
    <row r="5" spans="1:8" ht="14.25">
      <c r="A5" s="578" t="s">
        <v>312</v>
      </c>
      <c r="B5" s="578"/>
      <c r="C5" s="578"/>
      <c r="D5" s="578"/>
      <c r="E5" s="578"/>
      <c r="F5" s="578"/>
      <c r="G5" s="578"/>
      <c r="H5" s="61"/>
    </row>
    <row r="6" spans="1:8" s="5" customFormat="1" ht="15.75">
      <c r="A6" s="461" t="s">
        <v>313</v>
      </c>
      <c r="B6" s="461"/>
      <c r="C6" s="461"/>
      <c r="D6" s="461"/>
      <c r="E6" s="461"/>
      <c r="F6" s="461"/>
      <c r="G6" s="461"/>
      <c r="H6" s="52"/>
    </row>
    <row r="7" spans="1:8" s="5" customFormat="1" ht="15.75">
      <c r="A7" s="461" t="s">
        <v>501</v>
      </c>
      <c r="B7" s="461"/>
      <c r="C7" s="461"/>
      <c r="D7" s="461"/>
      <c r="E7" s="461"/>
      <c r="F7" s="461"/>
      <c r="G7" s="461"/>
      <c r="H7" s="52"/>
    </row>
    <row r="8" spans="1:7" s="5" customFormat="1" ht="13.5" thickBot="1">
      <c r="A8" s="62"/>
      <c r="B8" s="62"/>
      <c r="C8" s="62"/>
      <c r="D8" s="62"/>
      <c r="E8" s="62"/>
      <c r="G8" s="63" t="s">
        <v>5</v>
      </c>
    </row>
    <row r="9" spans="1:7" s="66" customFormat="1" ht="22.5" customHeight="1" thickTop="1">
      <c r="A9" s="64" t="s">
        <v>47</v>
      </c>
      <c r="B9" s="65"/>
      <c r="C9" s="579" t="s">
        <v>68</v>
      </c>
      <c r="D9" s="579" t="s">
        <v>69</v>
      </c>
      <c r="E9" s="579" t="s">
        <v>70</v>
      </c>
      <c r="F9" s="579" t="s">
        <v>71</v>
      </c>
      <c r="G9" s="586" t="s">
        <v>72</v>
      </c>
    </row>
    <row r="10" spans="1:7" s="66" customFormat="1" ht="12.75">
      <c r="A10" s="67"/>
      <c r="B10" s="68" t="s">
        <v>73</v>
      </c>
      <c r="C10" s="580"/>
      <c r="D10" s="580"/>
      <c r="E10" s="580"/>
      <c r="F10" s="580"/>
      <c r="G10" s="587"/>
    </row>
    <row r="11" spans="1:7" s="66" customFormat="1" ht="13.5" thickBot="1">
      <c r="A11" s="69" t="s">
        <v>48</v>
      </c>
      <c r="B11" s="70"/>
      <c r="C11" s="581"/>
      <c r="D11" s="581"/>
      <c r="E11" s="581"/>
      <c r="F11" s="581"/>
      <c r="G11" s="588"/>
    </row>
    <row r="12" spans="1:7" s="66" customFormat="1" ht="12.75">
      <c r="A12" s="574" t="s">
        <v>49</v>
      </c>
      <c r="B12" s="576" t="s">
        <v>74</v>
      </c>
      <c r="C12" s="582">
        <v>1887</v>
      </c>
      <c r="D12" s="582">
        <v>1887</v>
      </c>
      <c r="E12" s="582">
        <v>1887</v>
      </c>
      <c r="F12" s="582">
        <v>1887</v>
      </c>
      <c r="G12" s="584">
        <f>SUM(C12:F17)</f>
        <v>7548</v>
      </c>
    </row>
    <row r="13" spans="1:7" s="66" customFormat="1" ht="15" customHeight="1">
      <c r="A13" s="575"/>
      <c r="B13" s="577"/>
      <c r="C13" s="583"/>
      <c r="D13" s="583"/>
      <c r="E13" s="583"/>
      <c r="F13" s="583"/>
      <c r="G13" s="585"/>
    </row>
    <row r="14" spans="1:7" s="66" customFormat="1" ht="15" customHeight="1">
      <c r="A14" s="575"/>
      <c r="B14" s="71" t="s">
        <v>75</v>
      </c>
      <c r="C14" s="583"/>
      <c r="D14" s="583"/>
      <c r="E14" s="583"/>
      <c r="F14" s="583"/>
      <c r="G14" s="585"/>
    </row>
    <row r="15" spans="1:7" s="66" customFormat="1" ht="25.5">
      <c r="A15" s="575"/>
      <c r="B15" s="71" t="s">
        <v>314</v>
      </c>
      <c r="C15" s="583"/>
      <c r="D15" s="583"/>
      <c r="E15" s="583"/>
      <c r="F15" s="583"/>
      <c r="G15" s="585"/>
    </row>
    <row r="16" spans="1:7" s="66" customFormat="1" ht="12.75">
      <c r="A16" s="575"/>
      <c r="B16" s="72" t="s">
        <v>76</v>
      </c>
      <c r="C16" s="583"/>
      <c r="D16" s="583"/>
      <c r="E16" s="583"/>
      <c r="F16" s="583"/>
      <c r="G16" s="585"/>
    </row>
    <row r="17" spans="1:7" s="66" customFormat="1" ht="13.5" thickBot="1">
      <c r="A17" s="575"/>
      <c r="B17" s="73" t="s">
        <v>77</v>
      </c>
      <c r="C17" s="583"/>
      <c r="D17" s="583"/>
      <c r="E17" s="583"/>
      <c r="F17" s="583"/>
      <c r="G17" s="585"/>
    </row>
    <row r="18" spans="1:8" s="79" customFormat="1" ht="40.5" customHeight="1" thickBot="1" thickTop="1">
      <c r="A18" s="74"/>
      <c r="B18" s="75" t="s">
        <v>78</v>
      </c>
      <c r="C18" s="76">
        <f>SUM(C12:C17)</f>
        <v>1887</v>
      </c>
      <c r="D18" s="76">
        <f>SUM(D12:D17)</f>
        <v>1887</v>
      </c>
      <c r="E18" s="76">
        <f>SUM(E12:E17)</f>
        <v>1887</v>
      </c>
      <c r="F18" s="76">
        <f>SUM(F12:F17)</f>
        <v>1887</v>
      </c>
      <c r="G18" s="77">
        <f>SUM(G12:G17)</f>
        <v>7548</v>
      </c>
      <c r="H18" s="78"/>
    </row>
    <row r="19" spans="1:6" s="79" customFormat="1" ht="27" customHeight="1">
      <c r="A19" s="80"/>
      <c r="B19" s="81"/>
      <c r="C19" s="82"/>
      <c r="D19" s="82"/>
      <c r="E19" s="82"/>
      <c r="F19" s="82"/>
    </row>
  </sheetData>
  <sheetProtection/>
  <mergeCells count="18">
    <mergeCell ref="C1:G1"/>
    <mergeCell ref="F12:F17"/>
    <mergeCell ref="G12:G17"/>
    <mergeCell ref="G9:G11"/>
    <mergeCell ref="C12:C17"/>
    <mergeCell ref="D12:D17"/>
    <mergeCell ref="D9:D11"/>
    <mergeCell ref="E12:E17"/>
    <mergeCell ref="A3:G3"/>
    <mergeCell ref="A4:G4"/>
    <mergeCell ref="A12:A17"/>
    <mergeCell ref="B12:B13"/>
    <mergeCell ref="A6:G6"/>
    <mergeCell ref="A7:G7"/>
    <mergeCell ref="A5:G5"/>
    <mergeCell ref="C9:C11"/>
    <mergeCell ref="F9:F11"/>
    <mergeCell ref="E9:E1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2:M3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875" style="45" customWidth="1"/>
    <col min="2" max="2" width="37.375" style="45" customWidth="1"/>
    <col min="3" max="3" width="9.625" style="45" customWidth="1"/>
    <col min="4" max="12" width="15.75390625" style="45" customWidth="1"/>
    <col min="13" max="13" width="13.625" style="45" bestFit="1" customWidth="1"/>
    <col min="14" max="16384" width="9.125" style="45" customWidth="1"/>
  </cols>
  <sheetData>
    <row r="2" spans="1:12" ht="15.75">
      <c r="A2" s="209" t="s">
        <v>528</v>
      </c>
      <c r="K2" s="619"/>
      <c r="L2" s="619"/>
    </row>
    <row r="3" spans="1:12" ht="15.75">
      <c r="A3" s="459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</row>
    <row r="4" spans="2:12" ht="15.75"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ht="15.7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2" ht="15.75">
      <c r="A6" s="459" t="s">
        <v>46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</row>
    <row r="7" spans="1:12" ht="15.75">
      <c r="A7" s="459" t="s">
        <v>389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</row>
    <row r="8" spans="1:12" ht="15.75">
      <c r="A8" s="459" t="s">
        <v>399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</row>
    <row r="9" spans="1:12" ht="15.75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2" ht="15.75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</row>
    <row r="11" ht="16.5" thickBot="1">
      <c r="L11" s="210" t="s">
        <v>5</v>
      </c>
    </row>
    <row r="12" spans="1:12" ht="32.25" customHeight="1" thickTop="1">
      <c r="A12" s="620" t="s">
        <v>390</v>
      </c>
      <c r="B12" s="623" t="s">
        <v>391</v>
      </c>
      <c r="C12" s="623" t="s">
        <v>392</v>
      </c>
      <c r="D12" s="626" t="s">
        <v>393</v>
      </c>
      <c r="E12" s="627"/>
      <c r="F12" s="626" t="s">
        <v>394</v>
      </c>
      <c r="G12" s="627"/>
      <c r="H12" s="626" t="s">
        <v>72</v>
      </c>
      <c r="I12" s="627"/>
      <c r="J12" s="634" t="s">
        <v>395</v>
      </c>
      <c r="K12" s="635"/>
      <c r="L12" s="636"/>
    </row>
    <row r="13" spans="1:12" ht="16.5" thickBot="1">
      <c r="A13" s="621"/>
      <c r="B13" s="621"/>
      <c r="C13" s="621"/>
      <c r="D13" s="628"/>
      <c r="E13" s="629"/>
      <c r="F13" s="628"/>
      <c r="G13" s="629"/>
      <c r="H13" s="628"/>
      <c r="I13" s="629"/>
      <c r="J13" s="637"/>
      <c r="K13" s="638"/>
      <c r="L13" s="633"/>
    </row>
    <row r="14" spans="1:12" ht="15.75">
      <c r="A14" s="621"/>
      <c r="B14" s="621"/>
      <c r="C14" s="621"/>
      <c r="D14" s="624" t="s">
        <v>400</v>
      </c>
      <c r="E14" s="624" t="s">
        <v>401</v>
      </c>
      <c r="F14" s="624" t="s">
        <v>400</v>
      </c>
      <c r="G14" s="624" t="s">
        <v>401</v>
      </c>
      <c r="H14" s="624" t="s">
        <v>400</v>
      </c>
      <c r="I14" s="624" t="s">
        <v>401</v>
      </c>
      <c r="J14" s="624" t="s">
        <v>396</v>
      </c>
      <c r="K14" s="630" t="s">
        <v>394</v>
      </c>
      <c r="L14" s="632" t="s">
        <v>397</v>
      </c>
    </row>
    <row r="15" spans="1:12" ht="16.5" thickBot="1">
      <c r="A15" s="622"/>
      <c r="B15" s="622"/>
      <c r="C15" s="622"/>
      <c r="D15" s="625"/>
      <c r="E15" s="625"/>
      <c r="F15" s="625"/>
      <c r="G15" s="625"/>
      <c r="H15" s="625"/>
      <c r="I15" s="625"/>
      <c r="J15" s="625"/>
      <c r="K15" s="631"/>
      <c r="L15" s="633"/>
    </row>
    <row r="16" spans="1:13" ht="26.25" customHeight="1">
      <c r="A16" s="605" t="s">
        <v>49</v>
      </c>
      <c r="B16" s="607" t="s">
        <v>404</v>
      </c>
      <c r="C16" s="616"/>
      <c r="D16" s="592">
        <f>12559-9743</f>
        <v>2816</v>
      </c>
      <c r="E16" s="592"/>
      <c r="F16" s="592"/>
      <c r="G16" s="592">
        <v>9743</v>
      </c>
      <c r="H16" s="592">
        <f>D16+F16</f>
        <v>2816</v>
      </c>
      <c r="I16" s="592">
        <f>E16+G16</f>
        <v>9743</v>
      </c>
      <c r="J16" s="613">
        <f>D16+E16</f>
        <v>2816</v>
      </c>
      <c r="K16" s="610">
        <f>F16+G16</f>
        <v>9743</v>
      </c>
      <c r="L16" s="639">
        <f>H16+I16</f>
        <v>12559</v>
      </c>
      <c r="M16" s="205"/>
    </row>
    <row r="17" spans="1:12" ht="26.25" customHeight="1">
      <c r="A17" s="596"/>
      <c r="B17" s="608"/>
      <c r="C17" s="617"/>
      <c r="D17" s="593"/>
      <c r="E17" s="593"/>
      <c r="F17" s="593"/>
      <c r="G17" s="593"/>
      <c r="H17" s="593"/>
      <c r="I17" s="593"/>
      <c r="J17" s="614"/>
      <c r="K17" s="611"/>
      <c r="L17" s="640"/>
    </row>
    <row r="18" spans="1:12" s="211" customFormat="1" ht="26.25" customHeight="1" thickBot="1">
      <c r="A18" s="606"/>
      <c r="B18" s="609"/>
      <c r="C18" s="618"/>
      <c r="D18" s="604"/>
      <c r="E18" s="604"/>
      <c r="F18" s="594"/>
      <c r="G18" s="594"/>
      <c r="H18" s="594"/>
      <c r="I18" s="594"/>
      <c r="J18" s="615"/>
      <c r="K18" s="612"/>
      <c r="L18" s="641"/>
    </row>
    <row r="19" spans="1:12" ht="26.25" customHeight="1" thickTop="1">
      <c r="A19" s="595"/>
      <c r="B19" s="598" t="s">
        <v>398</v>
      </c>
      <c r="C19" s="601"/>
      <c r="D19" s="589">
        <f>D16</f>
        <v>2816</v>
      </c>
      <c r="E19" s="589">
        <f aca="true" t="shared" si="0" ref="E19:L19">E16</f>
        <v>0</v>
      </c>
      <c r="F19" s="589">
        <f t="shared" si="0"/>
        <v>0</v>
      </c>
      <c r="G19" s="589">
        <f t="shared" si="0"/>
        <v>9743</v>
      </c>
      <c r="H19" s="589">
        <f t="shared" si="0"/>
        <v>2816</v>
      </c>
      <c r="I19" s="589">
        <f t="shared" si="0"/>
        <v>9743</v>
      </c>
      <c r="J19" s="589">
        <f t="shared" si="0"/>
        <v>2816</v>
      </c>
      <c r="K19" s="589">
        <f t="shared" si="0"/>
        <v>9743</v>
      </c>
      <c r="L19" s="589">
        <f t="shared" si="0"/>
        <v>12559</v>
      </c>
    </row>
    <row r="20" spans="1:12" ht="26.25" customHeight="1">
      <c r="A20" s="596"/>
      <c r="B20" s="599"/>
      <c r="C20" s="602"/>
      <c r="D20" s="590"/>
      <c r="E20" s="590"/>
      <c r="F20" s="590"/>
      <c r="G20" s="590"/>
      <c r="H20" s="590"/>
      <c r="I20" s="590"/>
      <c r="J20" s="590"/>
      <c r="K20" s="590"/>
      <c r="L20" s="590"/>
    </row>
    <row r="21" spans="1:12" s="211" customFormat="1" ht="26.25" customHeight="1" thickBot="1">
      <c r="A21" s="597"/>
      <c r="B21" s="600"/>
      <c r="C21" s="603"/>
      <c r="D21" s="591"/>
      <c r="E21" s="591"/>
      <c r="F21" s="591"/>
      <c r="G21" s="591"/>
      <c r="H21" s="591"/>
      <c r="I21" s="591"/>
      <c r="J21" s="591"/>
      <c r="K21" s="591"/>
      <c r="L21" s="591"/>
    </row>
    <row r="22" spans="1:12" ht="26.25" customHeight="1" thickTop="1">
      <c r="A22" s="212"/>
      <c r="B22" s="212"/>
      <c r="C22" s="212"/>
      <c r="D22" s="213"/>
      <c r="E22" s="213"/>
      <c r="F22" s="214"/>
      <c r="G22" s="214"/>
      <c r="H22" s="214"/>
      <c r="I22" s="214"/>
      <c r="J22" s="213"/>
      <c r="K22" s="214"/>
      <c r="L22" s="213"/>
    </row>
    <row r="23" spans="1:12" ht="26.25" customHeight="1">
      <c r="A23" s="212"/>
      <c r="B23" s="212"/>
      <c r="C23" s="212"/>
      <c r="D23" s="214"/>
      <c r="E23" s="214"/>
      <c r="F23" s="214"/>
      <c r="G23" s="214"/>
      <c r="H23" s="214"/>
      <c r="I23" s="214"/>
      <c r="J23" s="214"/>
      <c r="K23" s="214"/>
      <c r="L23" s="214"/>
    </row>
    <row r="24" spans="1:12" ht="26.25" customHeight="1">
      <c r="A24" s="212"/>
      <c r="B24" s="212"/>
      <c r="C24" s="212"/>
      <c r="D24" s="213"/>
      <c r="E24" s="213"/>
      <c r="F24" s="213"/>
      <c r="G24" s="213"/>
      <c r="H24" s="214"/>
      <c r="I24" s="214"/>
      <c r="J24" s="213"/>
      <c r="K24" s="213"/>
      <c r="L24" s="213"/>
    </row>
    <row r="25" spans="1:12" ht="26.25" customHeight="1">
      <c r="A25" s="212"/>
      <c r="B25" s="212"/>
      <c r="C25" s="212"/>
      <c r="D25" s="213"/>
      <c r="E25" s="213"/>
      <c r="F25" s="214"/>
      <c r="G25" s="214"/>
      <c r="H25" s="213"/>
      <c r="I25" s="213"/>
      <c r="J25" s="213"/>
      <c r="K25" s="213"/>
      <c r="L25" s="213"/>
    </row>
    <row r="26" spans="1:12" ht="26.25" customHeight="1">
      <c r="A26" s="212"/>
      <c r="B26" s="212"/>
      <c r="C26" s="212"/>
      <c r="D26" s="213"/>
      <c r="E26" s="213"/>
      <c r="F26" s="213"/>
      <c r="G26" s="213"/>
      <c r="H26" s="213"/>
      <c r="I26" s="213"/>
      <c r="J26" s="213"/>
      <c r="K26" s="213"/>
      <c r="L26" s="213"/>
    </row>
    <row r="30" spans="6:7" ht="15.75">
      <c r="F30" s="205"/>
      <c r="G30" s="205"/>
    </row>
  </sheetData>
  <sheetProtection/>
  <mergeCells count="45">
    <mergeCell ref="K14:K15"/>
    <mergeCell ref="L14:L15"/>
    <mergeCell ref="J12:L13"/>
    <mergeCell ref="J14:J15"/>
    <mergeCell ref="I16:I18"/>
    <mergeCell ref="L16:L18"/>
    <mergeCell ref="D14:D15"/>
    <mergeCell ref="E14:E15"/>
    <mergeCell ref="C12:C15"/>
    <mergeCell ref="D12:E13"/>
    <mergeCell ref="F12:G13"/>
    <mergeCell ref="H12:I13"/>
    <mergeCell ref="G14:G15"/>
    <mergeCell ref="H14:H15"/>
    <mergeCell ref="I14:I15"/>
    <mergeCell ref="F14:F15"/>
    <mergeCell ref="F19:F21"/>
    <mergeCell ref="C16:C18"/>
    <mergeCell ref="D16:D18"/>
    <mergeCell ref="K2:L2"/>
    <mergeCell ref="A3:L3"/>
    <mergeCell ref="A6:L6"/>
    <mergeCell ref="A7:L7"/>
    <mergeCell ref="A8:L8"/>
    <mergeCell ref="A12:A15"/>
    <mergeCell ref="B12:B15"/>
    <mergeCell ref="H19:H21"/>
    <mergeCell ref="H16:H18"/>
    <mergeCell ref="K19:K21"/>
    <mergeCell ref="K16:K18"/>
    <mergeCell ref="G19:G21"/>
    <mergeCell ref="G16:G18"/>
    <mergeCell ref="J16:J18"/>
    <mergeCell ref="I19:I21"/>
    <mergeCell ref="J19:J21"/>
    <mergeCell ref="L19:L21"/>
    <mergeCell ref="F16:F18"/>
    <mergeCell ref="A19:A21"/>
    <mergeCell ref="B19:B21"/>
    <mergeCell ref="C19:C21"/>
    <mergeCell ref="D19:D21"/>
    <mergeCell ref="E19:E21"/>
    <mergeCell ref="E16:E18"/>
    <mergeCell ref="A16:A18"/>
    <mergeCell ref="B16:B18"/>
  </mergeCells>
  <printOptions horizontalCentered="1"/>
  <pageMargins left="0" right="0" top="0" bottom="0.15748031496062992" header="0.31496062992125984" footer="0.31496062992125984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9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1:13" ht="12.75" customHeight="1">
      <c r="K1" s="619"/>
      <c r="L1" s="619"/>
      <c r="M1" s="619"/>
    </row>
    <row r="2" spans="1:13" ht="12.75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</row>
    <row r="3" spans="1:13" ht="15.75">
      <c r="A3" s="128" t="s">
        <v>529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3" ht="15.75">
      <c r="A4" s="128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3" s="45" customFormat="1" ht="15.75">
      <c r="A5" s="459" t="s">
        <v>46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</row>
    <row r="6" spans="1:13" s="45" customFormat="1" ht="15.75">
      <c r="A6" s="459" t="s">
        <v>405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</row>
    <row r="7" spans="1:13" s="45" customFormat="1" ht="15.75">
      <c r="A7" s="459" t="s">
        <v>472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</row>
    <row r="8" spans="1:13" ht="12" customHeight="1">
      <c r="A8" s="216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</row>
    <row r="9" spans="1:13" s="45" customFormat="1" ht="15.75">
      <c r="A9" s="217" t="s">
        <v>406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</row>
    <row r="10" spans="1:13" ht="12" customHeigh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</row>
    <row r="11" spans="1:13" ht="15.75">
      <c r="A11" s="218" t="s">
        <v>407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12" customHeight="1" thickBot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</row>
    <row r="13" spans="1:13" ht="16.5" thickBot="1">
      <c r="A13" s="677" t="s">
        <v>408</v>
      </c>
      <c r="B13" s="678"/>
      <c r="C13" s="678"/>
      <c r="D13" s="720" t="s">
        <v>409</v>
      </c>
      <c r="E13" s="721"/>
      <c r="F13" s="722"/>
      <c r="G13" s="720" t="s">
        <v>410</v>
      </c>
      <c r="H13" s="721"/>
      <c r="I13" s="722"/>
      <c r="J13" s="720" t="s">
        <v>411</v>
      </c>
      <c r="K13" s="721"/>
      <c r="L13" s="722"/>
      <c r="M13" s="683" t="s">
        <v>412</v>
      </c>
    </row>
    <row r="14" spans="1:13" ht="15.75">
      <c r="A14" s="679"/>
      <c r="B14" s="680"/>
      <c r="C14" s="680"/>
      <c r="D14" s="219" t="s">
        <v>413</v>
      </c>
      <c r="E14" s="220" t="s">
        <v>414</v>
      </c>
      <c r="F14" s="221" t="s">
        <v>415</v>
      </c>
      <c r="G14" s="220" t="s">
        <v>416</v>
      </c>
      <c r="H14" s="220" t="s">
        <v>414</v>
      </c>
      <c r="I14" s="221" t="s">
        <v>417</v>
      </c>
      <c r="J14" s="220" t="s">
        <v>416</v>
      </c>
      <c r="K14" s="221" t="s">
        <v>414</v>
      </c>
      <c r="L14" s="220" t="s">
        <v>417</v>
      </c>
      <c r="M14" s="684"/>
    </row>
    <row r="15" spans="1:13" ht="16.5" thickBot="1">
      <c r="A15" s="679"/>
      <c r="B15" s="680"/>
      <c r="C15" s="680"/>
      <c r="D15" s="222" t="s">
        <v>418</v>
      </c>
      <c r="E15" s="223" t="s">
        <v>419</v>
      </c>
      <c r="F15" s="224" t="s">
        <v>6</v>
      </c>
      <c r="G15" s="225" t="s">
        <v>418</v>
      </c>
      <c r="H15" s="223" t="s">
        <v>419</v>
      </c>
      <c r="I15" s="224" t="s">
        <v>6</v>
      </c>
      <c r="J15" s="225" t="s">
        <v>418</v>
      </c>
      <c r="K15" s="224" t="s">
        <v>419</v>
      </c>
      <c r="L15" s="223" t="s">
        <v>6</v>
      </c>
      <c r="M15" s="685"/>
    </row>
    <row r="16" spans="1:13" ht="7.5" customHeight="1">
      <c r="A16" s="725" t="s">
        <v>420</v>
      </c>
      <c r="B16" s="726"/>
      <c r="C16" s="727"/>
      <c r="D16" s="657"/>
      <c r="E16" s="642"/>
      <c r="F16" s="660"/>
      <c r="G16" s="734" t="s">
        <v>421</v>
      </c>
      <c r="H16" s="737"/>
      <c r="I16" s="723">
        <v>2196</v>
      </c>
      <c r="J16" s="642"/>
      <c r="K16" s="642"/>
      <c r="L16" s="642"/>
      <c r="M16" s="645">
        <v>2196</v>
      </c>
    </row>
    <row r="17" spans="1:13" ht="7.5" customHeight="1">
      <c r="A17" s="728"/>
      <c r="B17" s="729"/>
      <c r="C17" s="730"/>
      <c r="D17" s="716"/>
      <c r="E17" s="646"/>
      <c r="F17" s="686"/>
      <c r="G17" s="735"/>
      <c r="H17" s="738"/>
      <c r="I17" s="646"/>
      <c r="J17" s="646"/>
      <c r="K17" s="646"/>
      <c r="L17" s="646"/>
      <c r="M17" s="646"/>
    </row>
    <row r="18" spans="1:13" ht="15.75" customHeight="1" thickBot="1">
      <c r="A18" s="731"/>
      <c r="B18" s="732"/>
      <c r="C18" s="733"/>
      <c r="D18" s="717"/>
      <c r="E18" s="647"/>
      <c r="F18" s="706"/>
      <c r="G18" s="736"/>
      <c r="H18" s="739"/>
      <c r="I18" s="724"/>
      <c r="J18" s="647"/>
      <c r="K18" s="647"/>
      <c r="L18" s="647"/>
      <c r="M18" s="647"/>
    </row>
    <row r="19" spans="1:13" s="109" customFormat="1" ht="12.75" customHeight="1">
      <c r="A19" s="673" t="s">
        <v>2</v>
      </c>
      <c r="B19" s="697"/>
      <c r="C19" s="674"/>
      <c r="D19" s="700"/>
      <c r="E19" s="700"/>
      <c r="F19" s="704">
        <f>SUM(F16)</f>
        <v>0</v>
      </c>
      <c r="G19" s="700"/>
      <c r="H19" s="700"/>
      <c r="I19" s="700">
        <v>2196</v>
      </c>
      <c r="J19" s="700"/>
      <c r="K19" s="700"/>
      <c r="L19" s="700"/>
      <c r="M19" s="702">
        <f>M16</f>
        <v>2196</v>
      </c>
    </row>
    <row r="20" spans="1:13" s="109" customFormat="1" ht="13.5" customHeight="1" thickBot="1">
      <c r="A20" s="675"/>
      <c r="B20" s="698"/>
      <c r="C20" s="676"/>
      <c r="D20" s="701"/>
      <c r="E20" s="701"/>
      <c r="F20" s="705"/>
      <c r="G20" s="701"/>
      <c r="H20" s="701"/>
      <c r="I20" s="701"/>
      <c r="J20" s="701"/>
      <c r="K20" s="701"/>
      <c r="L20" s="701"/>
      <c r="M20" s="701"/>
    </row>
    <row r="21" spans="1:13" ht="12" customHeight="1">
      <c r="A21" s="216"/>
      <c r="B21" s="216"/>
      <c r="C21" s="216"/>
      <c r="D21" s="216"/>
      <c r="E21" s="216"/>
      <c r="F21" s="226"/>
      <c r="G21" s="216"/>
      <c r="H21" s="216"/>
      <c r="I21" s="216"/>
      <c r="J21" s="216"/>
      <c r="K21" s="216"/>
      <c r="L21" s="216"/>
      <c r="M21" s="216"/>
    </row>
    <row r="22" spans="1:6" s="218" customFormat="1" ht="12" customHeight="1">
      <c r="A22" s="218" t="s">
        <v>422</v>
      </c>
      <c r="F22" s="227"/>
    </row>
    <row r="23" spans="1:13" ht="13.5" customHeight="1">
      <c r="A23" s="228" t="s">
        <v>423</v>
      </c>
      <c r="B23" s="228"/>
      <c r="C23" s="228"/>
      <c r="D23" s="228"/>
      <c r="E23" s="228"/>
      <c r="F23" s="229"/>
      <c r="G23" s="230" t="s">
        <v>6</v>
      </c>
      <c r="H23" s="216"/>
      <c r="I23" s="216"/>
      <c r="J23" s="216"/>
      <c r="K23" s="216"/>
      <c r="L23" s="216"/>
      <c r="M23" s="216"/>
    </row>
    <row r="24" spans="1:13" ht="13.5" customHeight="1">
      <c r="A24" s="228" t="s">
        <v>424</v>
      </c>
      <c r="B24" s="228"/>
      <c r="C24" s="228"/>
      <c r="D24" s="228"/>
      <c r="E24" s="228"/>
      <c r="F24" s="229">
        <v>167</v>
      </c>
      <c r="G24" s="230" t="s">
        <v>6</v>
      </c>
      <c r="H24" s="216"/>
      <c r="I24" s="216"/>
      <c r="J24" s="216"/>
      <c r="K24" s="216"/>
      <c r="L24" s="216"/>
      <c r="M24" s="216"/>
    </row>
    <row r="25" spans="1:13" ht="13.5" customHeight="1">
      <c r="A25" s="228" t="s">
        <v>425</v>
      </c>
      <c r="B25" s="228"/>
      <c r="C25" s="228"/>
      <c r="D25" s="228"/>
      <c r="E25" s="228"/>
      <c r="F25" s="231">
        <v>51</v>
      </c>
      <c r="G25" s="232" t="s">
        <v>6</v>
      </c>
      <c r="H25" s="216"/>
      <c r="I25" s="216"/>
      <c r="J25" s="216"/>
      <c r="K25" s="216"/>
      <c r="L25" s="216"/>
      <c r="M25" s="216"/>
    </row>
    <row r="26" spans="1:13" ht="13.5" customHeight="1">
      <c r="A26" s="228" t="s">
        <v>426</v>
      </c>
      <c r="B26" s="228"/>
      <c r="C26" s="228"/>
      <c r="D26" s="228"/>
      <c r="E26" s="228"/>
      <c r="F26" s="233">
        <f>SUM(F23:F25)</f>
        <v>218</v>
      </c>
      <c r="G26" s="234" t="s">
        <v>6</v>
      </c>
      <c r="H26" s="216"/>
      <c r="I26" s="216"/>
      <c r="J26" s="216"/>
      <c r="K26" s="216"/>
      <c r="L26" s="216"/>
      <c r="M26" s="216"/>
    </row>
    <row r="27" spans="1:13" ht="13.5" customHeight="1">
      <c r="A27" s="228"/>
      <c r="B27" s="228"/>
      <c r="C27" s="228"/>
      <c r="D27" s="228"/>
      <c r="E27" s="228"/>
      <c r="F27" s="233"/>
      <c r="G27" s="234"/>
      <c r="H27" s="216"/>
      <c r="I27" s="216"/>
      <c r="J27" s="216"/>
      <c r="K27" s="216"/>
      <c r="L27" s="216"/>
      <c r="M27" s="216"/>
    </row>
    <row r="28" spans="1:13" ht="15.75">
      <c r="A28" s="218" t="s">
        <v>427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13.5" customHeight="1">
      <c r="A29" s="228"/>
      <c r="B29" s="228"/>
      <c r="C29" s="228"/>
      <c r="D29" s="228"/>
      <c r="E29" s="228"/>
      <c r="F29" s="233"/>
      <c r="G29" s="234"/>
      <c r="H29" s="216"/>
      <c r="I29" s="216"/>
      <c r="J29" s="216"/>
      <c r="K29" s="216"/>
      <c r="L29" s="216"/>
      <c r="M29" s="216"/>
    </row>
    <row r="30" spans="1:13" ht="13.5" customHeight="1" thickBot="1">
      <c r="A30" s="228"/>
      <c r="B30" s="228"/>
      <c r="C30" s="228"/>
      <c r="D30" s="228"/>
      <c r="E30" s="228"/>
      <c r="F30" s="233"/>
      <c r="G30" s="234"/>
      <c r="H30" s="216"/>
      <c r="I30" s="216"/>
      <c r="J30" s="216"/>
      <c r="K30" s="216"/>
      <c r="L30" s="216"/>
      <c r="M30" s="216"/>
    </row>
    <row r="31" spans="1:13" ht="16.5" thickBot="1">
      <c r="A31" s="677" t="s">
        <v>408</v>
      </c>
      <c r="B31" s="678"/>
      <c r="C31" s="678"/>
      <c r="D31" s="720" t="s">
        <v>409</v>
      </c>
      <c r="E31" s="721"/>
      <c r="F31" s="722"/>
      <c r="G31" s="720" t="s">
        <v>410</v>
      </c>
      <c r="H31" s="721"/>
      <c r="I31" s="722"/>
      <c r="J31" s="720" t="s">
        <v>411</v>
      </c>
      <c r="K31" s="721"/>
      <c r="L31" s="722"/>
      <c r="M31" s="683" t="s">
        <v>412</v>
      </c>
    </row>
    <row r="32" spans="1:13" ht="15.75">
      <c r="A32" s="679"/>
      <c r="B32" s="680"/>
      <c r="C32" s="680"/>
      <c r="D32" s="219" t="s">
        <v>413</v>
      </c>
      <c r="E32" s="220" t="s">
        <v>414</v>
      </c>
      <c r="F32" s="221" t="s">
        <v>415</v>
      </c>
      <c r="G32" s="220" t="s">
        <v>416</v>
      </c>
      <c r="H32" s="220" t="s">
        <v>414</v>
      </c>
      <c r="I32" s="221" t="s">
        <v>417</v>
      </c>
      <c r="J32" s="220" t="s">
        <v>416</v>
      </c>
      <c r="K32" s="221" t="s">
        <v>414</v>
      </c>
      <c r="L32" s="220" t="s">
        <v>417</v>
      </c>
      <c r="M32" s="684"/>
    </row>
    <row r="33" spans="1:13" ht="16.5" thickBot="1">
      <c r="A33" s="679"/>
      <c r="B33" s="680"/>
      <c r="C33" s="680"/>
      <c r="D33" s="222" t="s">
        <v>418</v>
      </c>
      <c r="E33" s="223" t="s">
        <v>419</v>
      </c>
      <c r="F33" s="224" t="s">
        <v>6</v>
      </c>
      <c r="G33" s="225" t="s">
        <v>418</v>
      </c>
      <c r="H33" s="223" t="s">
        <v>419</v>
      </c>
      <c r="I33" s="224" t="s">
        <v>6</v>
      </c>
      <c r="J33" s="225" t="s">
        <v>418</v>
      </c>
      <c r="K33" s="224" t="s">
        <v>419</v>
      </c>
      <c r="L33" s="223" t="s">
        <v>6</v>
      </c>
      <c r="M33" s="685"/>
    </row>
    <row r="34" spans="1:13" ht="7.5" customHeight="1">
      <c r="A34" s="707" t="s">
        <v>428</v>
      </c>
      <c r="B34" s="708"/>
      <c r="C34" s="709"/>
      <c r="D34" s="657" t="s">
        <v>429</v>
      </c>
      <c r="E34" s="642"/>
      <c r="F34" s="660">
        <v>6</v>
      </c>
      <c r="G34" s="718"/>
      <c r="H34" s="718"/>
      <c r="I34" s="718"/>
      <c r="J34" s="642"/>
      <c r="K34" s="642"/>
      <c r="L34" s="642"/>
      <c r="M34" s="645">
        <f>L34+I34+F34</f>
        <v>6</v>
      </c>
    </row>
    <row r="35" spans="1:13" ht="7.5" customHeight="1">
      <c r="A35" s="710"/>
      <c r="B35" s="711"/>
      <c r="C35" s="712"/>
      <c r="D35" s="716"/>
      <c r="E35" s="646"/>
      <c r="F35" s="686"/>
      <c r="G35" s="718"/>
      <c r="H35" s="718"/>
      <c r="I35" s="718"/>
      <c r="J35" s="646"/>
      <c r="K35" s="646"/>
      <c r="L35" s="646"/>
      <c r="M35" s="646"/>
    </row>
    <row r="36" spans="1:13" ht="7.5" customHeight="1">
      <c r="A36" s="713"/>
      <c r="B36" s="714"/>
      <c r="C36" s="715"/>
      <c r="D36" s="717"/>
      <c r="E36" s="647"/>
      <c r="F36" s="706"/>
      <c r="G36" s="718"/>
      <c r="H36" s="718"/>
      <c r="I36" s="718"/>
      <c r="J36" s="647"/>
      <c r="K36" s="647"/>
      <c r="L36" s="647"/>
      <c r="M36" s="647"/>
    </row>
    <row r="37" spans="1:13" ht="7.5" customHeight="1">
      <c r="A37" s="648" t="s">
        <v>510</v>
      </c>
      <c r="B37" s="649"/>
      <c r="C37" s="650"/>
      <c r="D37" s="657" t="s">
        <v>511</v>
      </c>
      <c r="E37" s="642"/>
      <c r="F37" s="660">
        <v>45</v>
      </c>
      <c r="G37" s="642"/>
      <c r="H37" s="642"/>
      <c r="I37" s="642"/>
      <c r="J37" s="642"/>
      <c r="K37" s="642"/>
      <c r="L37" s="642"/>
      <c r="M37" s="645">
        <f>L37+I37+F37</f>
        <v>45</v>
      </c>
    </row>
    <row r="38" spans="1:13" ht="7.5" customHeight="1">
      <c r="A38" s="651"/>
      <c r="B38" s="652"/>
      <c r="C38" s="653"/>
      <c r="D38" s="658"/>
      <c r="E38" s="643"/>
      <c r="F38" s="643"/>
      <c r="G38" s="643"/>
      <c r="H38" s="643"/>
      <c r="I38" s="643"/>
      <c r="J38" s="643"/>
      <c r="K38" s="643"/>
      <c r="L38" s="643"/>
      <c r="M38" s="646"/>
    </row>
    <row r="39" spans="1:13" ht="7.5" customHeight="1">
      <c r="A39" s="654"/>
      <c r="B39" s="655"/>
      <c r="C39" s="656"/>
      <c r="D39" s="659"/>
      <c r="E39" s="644"/>
      <c r="F39" s="644"/>
      <c r="G39" s="644"/>
      <c r="H39" s="644"/>
      <c r="I39" s="644"/>
      <c r="J39" s="644"/>
      <c r="K39" s="644"/>
      <c r="L39" s="644"/>
      <c r="M39" s="647"/>
    </row>
    <row r="40" spans="1:13" ht="7.5" customHeight="1">
      <c r="A40" s="707" t="s">
        <v>430</v>
      </c>
      <c r="B40" s="708"/>
      <c r="C40" s="709"/>
      <c r="D40" s="657"/>
      <c r="E40" s="642"/>
      <c r="F40" s="660"/>
      <c r="G40" s="703" t="s">
        <v>431</v>
      </c>
      <c r="H40" s="718">
        <v>50</v>
      </c>
      <c r="I40" s="719">
        <v>167</v>
      </c>
      <c r="J40" s="642"/>
      <c r="K40" s="642"/>
      <c r="L40" s="642"/>
      <c r="M40" s="645">
        <f>L40+I40+F40</f>
        <v>167</v>
      </c>
    </row>
    <row r="41" spans="1:13" ht="7.5" customHeight="1">
      <c r="A41" s="710"/>
      <c r="B41" s="711"/>
      <c r="C41" s="712"/>
      <c r="D41" s="716"/>
      <c r="E41" s="646"/>
      <c r="F41" s="686"/>
      <c r="G41" s="703"/>
      <c r="H41" s="718"/>
      <c r="I41" s="719"/>
      <c r="J41" s="646"/>
      <c r="K41" s="646"/>
      <c r="L41" s="646"/>
      <c r="M41" s="646"/>
    </row>
    <row r="42" spans="1:13" ht="7.5" customHeight="1" thickBot="1">
      <c r="A42" s="713"/>
      <c r="B42" s="714"/>
      <c r="C42" s="715"/>
      <c r="D42" s="717"/>
      <c r="E42" s="647"/>
      <c r="F42" s="706"/>
      <c r="G42" s="703"/>
      <c r="H42" s="718"/>
      <c r="I42" s="719"/>
      <c r="J42" s="647"/>
      <c r="K42" s="647"/>
      <c r="L42" s="647"/>
      <c r="M42" s="647"/>
    </row>
    <row r="43" spans="1:13" s="109" customFormat="1" ht="12.75" customHeight="1">
      <c r="A43" s="673" t="s">
        <v>2</v>
      </c>
      <c r="B43" s="697"/>
      <c r="C43" s="674"/>
      <c r="D43" s="700"/>
      <c r="E43" s="700"/>
      <c r="F43" s="704">
        <f>SUM(F34:F42)</f>
        <v>51</v>
      </c>
      <c r="G43" s="700"/>
      <c r="H43" s="700"/>
      <c r="I43" s="702">
        <f>SUM(I40:I42)</f>
        <v>167</v>
      </c>
      <c r="J43" s="700"/>
      <c r="K43" s="700"/>
      <c r="L43" s="700"/>
      <c r="M43" s="702">
        <f>SUM(M34:M42)</f>
        <v>218</v>
      </c>
    </row>
    <row r="44" spans="1:13" s="109" customFormat="1" ht="13.5" customHeight="1" thickBot="1">
      <c r="A44" s="675"/>
      <c r="B44" s="698"/>
      <c r="C44" s="676"/>
      <c r="D44" s="701"/>
      <c r="E44" s="701"/>
      <c r="F44" s="705"/>
      <c r="G44" s="701"/>
      <c r="H44" s="701"/>
      <c r="I44" s="701"/>
      <c r="J44" s="701"/>
      <c r="K44" s="701"/>
      <c r="L44" s="701"/>
      <c r="M44" s="701"/>
    </row>
    <row r="45" spans="1:13" ht="13.5" customHeight="1">
      <c r="A45" s="228"/>
      <c r="B45" s="228"/>
      <c r="C45" s="228"/>
      <c r="D45" s="228"/>
      <c r="E45" s="228"/>
      <c r="F45" s="233"/>
      <c r="G45" s="234"/>
      <c r="H45" s="216"/>
      <c r="I45" s="216"/>
      <c r="J45" s="216"/>
      <c r="K45" s="216"/>
      <c r="L45" s="216"/>
      <c r="M45" s="216"/>
    </row>
    <row r="46" spans="1:13" ht="13.5" customHeight="1">
      <c r="A46" s="228"/>
      <c r="B46" s="228"/>
      <c r="C46" s="228"/>
      <c r="D46" s="228"/>
      <c r="E46" s="228"/>
      <c r="F46" s="233"/>
      <c r="G46" s="234"/>
      <c r="H46" s="216"/>
      <c r="I46" s="216"/>
      <c r="J46" s="216"/>
      <c r="K46" s="216"/>
      <c r="L46" s="216"/>
      <c r="M46" s="216"/>
    </row>
    <row r="47" spans="1:13" ht="13.5" customHeight="1">
      <c r="A47" s="228"/>
      <c r="B47" s="228"/>
      <c r="C47" s="228"/>
      <c r="D47" s="228"/>
      <c r="E47" s="228"/>
      <c r="F47" s="233"/>
      <c r="G47" s="234"/>
      <c r="H47" s="216"/>
      <c r="I47" s="216"/>
      <c r="J47" s="216"/>
      <c r="K47" s="216"/>
      <c r="L47" s="216"/>
      <c r="M47" s="216"/>
    </row>
    <row r="48" spans="1:13" ht="13.5" customHeight="1">
      <c r="A48" s="228"/>
      <c r="B48" s="228"/>
      <c r="C48" s="228"/>
      <c r="D48" s="228"/>
      <c r="E48" s="228"/>
      <c r="F48" s="233"/>
      <c r="G48" s="234"/>
      <c r="H48" s="216"/>
      <c r="I48" s="216"/>
      <c r="J48" s="216"/>
      <c r="K48" s="216"/>
      <c r="L48" s="216"/>
      <c r="M48" s="216"/>
    </row>
    <row r="49" spans="1:13" ht="13.5" customHeight="1">
      <c r="A49" s="228"/>
      <c r="B49" s="228"/>
      <c r="C49" s="228"/>
      <c r="D49" s="228"/>
      <c r="E49" s="228"/>
      <c r="F49" s="233"/>
      <c r="G49" s="234"/>
      <c r="H49" s="216"/>
      <c r="I49" s="216"/>
      <c r="J49" s="216"/>
      <c r="K49" s="216"/>
      <c r="L49" s="216"/>
      <c r="M49" s="216"/>
    </row>
    <row r="50" spans="1:13" ht="13.5" customHeight="1">
      <c r="A50" s="228"/>
      <c r="B50" s="228"/>
      <c r="C50" s="228"/>
      <c r="D50" s="228"/>
      <c r="E50" s="228"/>
      <c r="F50" s="233"/>
      <c r="G50" s="234"/>
      <c r="H50" s="216"/>
      <c r="I50" s="216"/>
      <c r="J50" s="216"/>
      <c r="K50" s="216"/>
      <c r="L50" s="216"/>
      <c r="M50" s="216"/>
    </row>
    <row r="51" spans="1:13" ht="13.5" customHeight="1">
      <c r="A51" s="228"/>
      <c r="B51" s="228"/>
      <c r="C51" s="228"/>
      <c r="D51" s="228"/>
      <c r="E51" s="228"/>
      <c r="F51" s="233"/>
      <c r="G51" s="234"/>
      <c r="H51" s="216"/>
      <c r="I51" s="216"/>
      <c r="J51" s="216"/>
      <c r="K51" s="216"/>
      <c r="L51" s="216"/>
      <c r="M51" s="216"/>
    </row>
    <row r="52" spans="1:13" ht="13.5" customHeight="1">
      <c r="A52" s="228"/>
      <c r="B52" s="228"/>
      <c r="C52" s="228"/>
      <c r="D52" s="228"/>
      <c r="E52" s="228"/>
      <c r="F52" s="233"/>
      <c r="G52" s="234"/>
      <c r="H52" s="216"/>
      <c r="I52" s="216"/>
      <c r="J52" s="216"/>
      <c r="K52" s="216"/>
      <c r="L52" s="216"/>
      <c r="M52" s="216"/>
    </row>
    <row r="53" spans="1:13" ht="13.5" customHeight="1">
      <c r="A53" s="228"/>
      <c r="B53" s="228"/>
      <c r="C53" s="228"/>
      <c r="D53" s="228"/>
      <c r="E53" s="228"/>
      <c r="F53" s="233"/>
      <c r="G53" s="234"/>
      <c r="H53" s="216"/>
      <c r="I53" s="216"/>
      <c r="J53" s="216"/>
      <c r="K53" s="216"/>
      <c r="L53" s="216"/>
      <c r="M53" s="216"/>
    </row>
    <row r="54" spans="1:13" ht="13.5" customHeight="1">
      <c r="A54" s="228"/>
      <c r="B54" s="228"/>
      <c r="C54" s="228"/>
      <c r="D54" s="228"/>
      <c r="E54" s="228"/>
      <c r="F54" s="233"/>
      <c r="G54" s="234"/>
      <c r="H54" s="216"/>
      <c r="I54" s="216"/>
      <c r="J54" s="216"/>
      <c r="K54" s="216"/>
      <c r="L54" s="216"/>
      <c r="M54" s="216"/>
    </row>
    <row r="55" spans="1:13" ht="13.5" customHeight="1">
      <c r="A55" s="228"/>
      <c r="B55" s="228"/>
      <c r="C55" s="228"/>
      <c r="D55" s="228"/>
      <c r="E55" s="228"/>
      <c r="F55" s="233"/>
      <c r="G55" s="234"/>
      <c r="H55" s="216"/>
      <c r="I55" s="216"/>
      <c r="J55" s="216"/>
      <c r="K55" s="216"/>
      <c r="L55" s="216"/>
      <c r="M55" s="216"/>
    </row>
    <row r="56" spans="1:13" ht="13.5" customHeight="1">
      <c r="A56" s="228"/>
      <c r="B56" s="228"/>
      <c r="C56" s="228"/>
      <c r="D56" s="228"/>
      <c r="E56" s="228"/>
      <c r="F56" s="233"/>
      <c r="G56" s="234"/>
      <c r="H56" s="216"/>
      <c r="I56" s="216"/>
      <c r="J56" s="216"/>
      <c r="K56" s="216"/>
      <c r="L56" s="216"/>
      <c r="M56" s="216"/>
    </row>
    <row r="57" spans="1:13" ht="15.75">
      <c r="A57" s="7" t="s">
        <v>432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12" customHeight="1">
      <c r="A58" s="216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</row>
    <row r="59" spans="1:13" ht="15.75">
      <c r="A59" s="7" t="s">
        <v>433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ht="12" customHeight="1" thickBot="1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</row>
    <row r="61" spans="1:11" ht="12.75" customHeight="1">
      <c r="A61" s="677" t="s">
        <v>408</v>
      </c>
      <c r="B61" s="678"/>
      <c r="C61" s="678"/>
      <c r="D61" s="677" t="s">
        <v>434</v>
      </c>
      <c r="E61" s="683"/>
      <c r="F61" s="677" t="s">
        <v>435</v>
      </c>
      <c r="G61" s="683"/>
      <c r="H61" s="677" t="s">
        <v>436</v>
      </c>
      <c r="I61" s="683"/>
      <c r="J61" s="677" t="s">
        <v>437</v>
      </c>
      <c r="K61" s="683"/>
    </row>
    <row r="62" spans="1:11" ht="12.75" customHeight="1">
      <c r="A62" s="679"/>
      <c r="B62" s="680"/>
      <c r="C62" s="680"/>
      <c r="D62" s="679"/>
      <c r="E62" s="684"/>
      <c r="F62" s="679"/>
      <c r="G62" s="684"/>
      <c r="H62" s="679"/>
      <c r="I62" s="684"/>
      <c r="J62" s="679"/>
      <c r="K62" s="684"/>
    </row>
    <row r="63" spans="1:11" ht="13.5" customHeight="1" thickBot="1">
      <c r="A63" s="681"/>
      <c r="B63" s="682"/>
      <c r="C63" s="682"/>
      <c r="D63" s="681"/>
      <c r="E63" s="685"/>
      <c r="F63" s="681"/>
      <c r="G63" s="685"/>
      <c r="H63" s="681"/>
      <c r="I63" s="685"/>
      <c r="J63" s="681"/>
      <c r="K63" s="685"/>
    </row>
    <row r="64" spans="1:12" s="45" customFormat="1" ht="25.5" customHeight="1" thickBot="1">
      <c r="A64" s="646" t="s">
        <v>438</v>
      </c>
      <c r="B64" s="646"/>
      <c r="C64" s="646"/>
      <c r="D64" s="646" t="s">
        <v>439</v>
      </c>
      <c r="E64" s="646"/>
      <c r="F64" s="670" t="s">
        <v>439</v>
      </c>
      <c r="G64" s="671"/>
      <c r="H64" s="670" t="s">
        <v>439</v>
      </c>
      <c r="I64" s="671"/>
      <c r="J64" s="646" t="s">
        <v>439</v>
      </c>
      <c r="K64" s="646"/>
      <c r="L64" s="235"/>
    </row>
    <row r="65" spans="1:13" s="109" customFormat="1" ht="12.75" customHeight="1">
      <c r="A65" s="673" t="s">
        <v>2</v>
      </c>
      <c r="B65" s="697"/>
      <c r="C65" s="674"/>
      <c r="D65" s="673"/>
      <c r="E65" s="674"/>
      <c r="F65" s="673"/>
      <c r="G65" s="674"/>
      <c r="H65" s="673"/>
      <c r="I65" s="674"/>
      <c r="J65" s="673" t="s">
        <v>439</v>
      </c>
      <c r="K65" s="674"/>
      <c r="L65" s="699"/>
      <c r="M65" s="699"/>
    </row>
    <row r="66" spans="1:13" s="109" customFormat="1" ht="13.5" customHeight="1" thickBot="1">
      <c r="A66" s="675"/>
      <c r="B66" s="698"/>
      <c r="C66" s="676"/>
      <c r="D66" s="675"/>
      <c r="E66" s="676"/>
      <c r="F66" s="675"/>
      <c r="G66" s="676"/>
      <c r="H66" s="675"/>
      <c r="I66" s="676"/>
      <c r="J66" s="675"/>
      <c r="K66" s="676"/>
      <c r="L66" s="699"/>
      <c r="M66" s="699"/>
    </row>
    <row r="68" spans="1:13" ht="15.75">
      <c r="A68" s="7" t="s">
        <v>440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ht="13.5" thickBot="1"/>
    <row r="70" spans="1:11" ht="12.75" customHeight="1">
      <c r="A70" s="677" t="s">
        <v>408</v>
      </c>
      <c r="B70" s="678"/>
      <c r="C70" s="678"/>
      <c r="D70" s="677" t="s">
        <v>434</v>
      </c>
      <c r="E70" s="683"/>
      <c r="F70" s="677" t="s">
        <v>441</v>
      </c>
      <c r="G70" s="683"/>
      <c r="H70" s="677" t="s">
        <v>436</v>
      </c>
      <c r="I70" s="683"/>
      <c r="J70" s="677" t="s">
        <v>437</v>
      </c>
      <c r="K70" s="683"/>
    </row>
    <row r="71" spans="1:11" ht="12.75" customHeight="1">
      <c r="A71" s="679"/>
      <c r="B71" s="680"/>
      <c r="C71" s="680"/>
      <c r="D71" s="679"/>
      <c r="E71" s="684"/>
      <c r="F71" s="679"/>
      <c r="G71" s="684"/>
      <c r="H71" s="679"/>
      <c r="I71" s="684"/>
      <c r="J71" s="679"/>
      <c r="K71" s="684"/>
    </row>
    <row r="72" spans="1:11" ht="13.5" customHeight="1" thickBot="1">
      <c r="A72" s="681"/>
      <c r="B72" s="682"/>
      <c r="C72" s="682"/>
      <c r="D72" s="681"/>
      <c r="E72" s="685"/>
      <c r="F72" s="681"/>
      <c r="G72" s="685"/>
      <c r="H72" s="681"/>
      <c r="I72" s="685"/>
      <c r="J72" s="681"/>
      <c r="K72" s="685"/>
    </row>
    <row r="73" spans="1:12" s="45" customFormat="1" ht="25.5" customHeight="1" thickBot="1">
      <c r="A73" s="646" t="s">
        <v>442</v>
      </c>
      <c r="B73" s="646"/>
      <c r="C73" s="646"/>
      <c r="D73" s="646" t="s">
        <v>443</v>
      </c>
      <c r="E73" s="646"/>
      <c r="F73" s="695" t="s">
        <v>439</v>
      </c>
      <c r="G73" s="696"/>
      <c r="H73" s="695"/>
      <c r="I73" s="696"/>
      <c r="J73" s="686"/>
      <c r="K73" s="686"/>
      <c r="L73" s="235"/>
    </row>
    <row r="74" spans="1:13" ht="12.75" customHeight="1">
      <c r="A74" s="661" t="s">
        <v>2</v>
      </c>
      <c r="B74" s="662"/>
      <c r="C74" s="663"/>
      <c r="D74" s="667"/>
      <c r="E74" s="668"/>
      <c r="F74" s="687">
        <f>SUM(F73)</f>
        <v>0</v>
      </c>
      <c r="G74" s="688"/>
      <c r="H74" s="691">
        <f>SUM(H73)</f>
        <v>0</v>
      </c>
      <c r="I74" s="692"/>
      <c r="J74" s="691">
        <f>SUM(J73)</f>
        <v>0</v>
      </c>
      <c r="K74" s="692"/>
      <c r="L74" s="672"/>
      <c r="M74" s="672"/>
    </row>
    <row r="75" spans="1:13" ht="13.5" customHeight="1" thickBot="1">
      <c r="A75" s="664"/>
      <c r="B75" s="665"/>
      <c r="C75" s="666"/>
      <c r="D75" s="669"/>
      <c r="E75" s="629"/>
      <c r="F75" s="689"/>
      <c r="G75" s="690"/>
      <c r="H75" s="693"/>
      <c r="I75" s="694"/>
      <c r="J75" s="693"/>
      <c r="K75" s="694"/>
      <c r="L75" s="672"/>
      <c r="M75" s="672"/>
    </row>
    <row r="77" spans="1:13" ht="15.75">
      <c r="A77" s="7" t="s">
        <v>444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ht="13.5" thickBot="1"/>
    <row r="79" spans="1:11" ht="12.75" customHeight="1">
      <c r="A79" s="677" t="s">
        <v>408</v>
      </c>
      <c r="B79" s="678"/>
      <c r="C79" s="678"/>
      <c r="D79" s="677" t="s">
        <v>434</v>
      </c>
      <c r="E79" s="683"/>
      <c r="F79" s="677" t="s">
        <v>435</v>
      </c>
      <c r="G79" s="683"/>
      <c r="H79" s="677" t="s">
        <v>436</v>
      </c>
      <c r="I79" s="683"/>
      <c r="J79" s="677" t="s">
        <v>437</v>
      </c>
      <c r="K79" s="683"/>
    </row>
    <row r="80" spans="1:11" ht="12.75" customHeight="1">
      <c r="A80" s="679"/>
      <c r="B80" s="680"/>
      <c r="C80" s="680"/>
      <c r="D80" s="679"/>
      <c r="E80" s="684"/>
      <c r="F80" s="679"/>
      <c r="G80" s="684"/>
      <c r="H80" s="679"/>
      <c r="I80" s="684"/>
      <c r="J80" s="679"/>
      <c r="K80" s="684"/>
    </row>
    <row r="81" spans="1:11" ht="13.5" customHeight="1" thickBot="1">
      <c r="A81" s="681"/>
      <c r="B81" s="682"/>
      <c r="C81" s="682"/>
      <c r="D81" s="681"/>
      <c r="E81" s="685"/>
      <c r="F81" s="681"/>
      <c r="G81" s="685"/>
      <c r="H81" s="681"/>
      <c r="I81" s="685"/>
      <c r="J81" s="681"/>
      <c r="K81" s="685"/>
    </row>
    <row r="82" spans="1:12" s="45" customFormat="1" ht="25.5" customHeight="1" thickBot="1">
      <c r="A82" s="646" t="s">
        <v>442</v>
      </c>
      <c r="B82" s="646"/>
      <c r="C82" s="646"/>
      <c r="D82" s="646" t="s">
        <v>445</v>
      </c>
      <c r="E82" s="646"/>
      <c r="F82" s="670" t="s">
        <v>439</v>
      </c>
      <c r="G82" s="671"/>
      <c r="H82" s="670"/>
      <c r="I82" s="671"/>
      <c r="J82" s="646"/>
      <c r="K82" s="646"/>
      <c r="L82" s="235"/>
    </row>
    <row r="83" spans="1:13" ht="12.75" customHeight="1">
      <c r="A83" s="661" t="s">
        <v>2</v>
      </c>
      <c r="B83" s="662"/>
      <c r="C83" s="663"/>
      <c r="D83" s="667"/>
      <c r="E83" s="668"/>
      <c r="F83" s="667"/>
      <c r="G83" s="668"/>
      <c r="H83" s="673">
        <f>SUM(H82)</f>
        <v>0</v>
      </c>
      <c r="I83" s="674"/>
      <c r="J83" s="673">
        <f>SUM(J82)</f>
        <v>0</v>
      </c>
      <c r="K83" s="674"/>
      <c r="L83" s="672"/>
      <c r="M83" s="672"/>
    </row>
    <row r="84" spans="1:13" ht="13.5" customHeight="1" thickBot="1">
      <c r="A84" s="664"/>
      <c r="B84" s="665"/>
      <c r="C84" s="666"/>
      <c r="D84" s="669"/>
      <c r="E84" s="629"/>
      <c r="F84" s="669"/>
      <c r="G84" s="629"/>
      <c r="H84" s="675"/>
      <c r="I84" s="676"/>
      <c r="J84" s="675"/>
      <c r="K84" s="676"/>
      <c r="L84" s="672"/>
      <c r="M84" s="672"/>
    </row>
    <row r="86" spans="1:13" ht="15.75">
      <c r="A86" s="7" t="s">
        <v>446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</row>
    <row r="87" ht="13.5" thickBot="1"/>
    <row r="88" spans="1:11" ht="12.75" customHeight="1">
      <c r="A88" s="677" t="s">
        <v>408</v>
      </c>
      <c r="B88" s="678"/>
      <c r="C88" s="678"/>
      <c r="D88" s="677" t="s">
        <v>434</v>
      </c>
      <c r="E88" s="683"/>
      <c r="F88" s="677" t="s">
        <v>435</v>
      </c>
      <c r="G88" s="683"/>
      <c r="H88" s="677" t="s">
        <v>436</v>
      </c>
      <c r="I88" s="683"/>
      <c r="J88" s="677" t="s">
        <v>437</v>
      </c>
      <c r="K88" s="683"/>
    </row>
    <row r="89" spans="1:11" ht="12.75" customHeight="1">
      <c r="A89" s="679"/>
      <c r="B89" s="680"/>
      <c r="C89" s="680"/>
      <c r="D89" s="679"/>
      <c r="E89" s="684"/>
      <c r="F89" s="679"/>
      <c r="G89" s="684"/>
      <c r="H89" s="679"/>
      <c r="I89" s="684"/>
      <c r="J89" s="679"/>
      <c r="K89" s="684"/>
    </row>
    <row r="90" spans="1:11" ht="13.5" customHeight="1" thickBot="1">
      <c r="A90" s="681"/>
      <c r="B90" s="682"/>
      <c r="C90" s="682"/>
      <c r="D90" s="681"/>
      <c r="E90" s="685"/>
      <c r="F90" s="681"/>
      <c r="G90" s="685"/>
      <c r="H90" s="681"/>
      <c r="I90" s="685"/>
      <c r="J90" s="681"/>
      <c r="K90" s="685"/>
    </row>
    <row r="91" spans="1:12" s="45" customFormat="1" ht="25.5" customHeight="1" thickBot="1">
      <c r="A91" s="646" t="s">
        <v>442</v>
      </c>
      <c r="B91" s="646"/>
      <c r="C91" s="646"/>
      <c r="D91" s="646"/>
      <c r="E91" s="646"/>
      <c r="F91" s="670" t="s">
        <v>439</v>
      </c>
      <c r="G91" s="671"/>
      <c r="H91" s="670"/>
      <c r="I91" s="671"/>
      <c r="J91" s="646"/>
      <c r="K91" s="646"/>
      <c r="L91" s="235"/>
    </row>
    <row r="92" spans="1:13" ht="12.75" customHeight="1">
      <c r="A92" s="661" t="s">
        <v>2</v>
      </c>
      <c r="B92" s="662"/>
      <c r="C92" s="663"/>
      <c r="D92" s="667"/>
      <c r="E92" s="668"/>
      <c r="F92" s="667"/>
      <c r="G92" s="668"/>
      <c r="H92" s="673">
        <f>SUM(H91)</f>
        <v>0</v>
      </c>
      <c r="I92" s="674"/>
      <c r="J92" s="673">
        <f>SUM(J91)</f>
        <v>0</v>
      </c>
      <c r="K92" s="674"/>
      <c r="L92" s="672"/>
      <c r="M92" s="672"/>
    </row>
    <row r="93" spans="1:13" ht="13.5" customHeight="1" thickBot="1">
      <c r="A93" s="664"/>
      <c r="B93" s="665"/>
      <c r="C93" s="666"/>
      <c r="D93" s="669"/>
      <c r="E93" s="629"/>
      <c r="F93" s="669"/>
      <c r="G93" s="629"/>
      <c r="H93" s="675"/>
      <c r="I93" s="676"/>
      <c r="J93" s="675"/>
      <c r="K93" s="676"/>
      <c r="L93" s="672"/>
      <c r="M93" s="672"/>
    </row>
  </sheetData>
  <sheetProtection/>
  <mergeCells count="149">
    <mergeCell ref="A16:C18"/>
    <mergeCell ref="D16:D18"/>
    <mergeCell ref="E16:E18"/>
    <mergeCell ref="F16:F18"/>
    <mergeCell ref="G16:G18"/>
    <mergeCell ref="H16:H18"/>
    <mergeCell ref="K1:M1"/>
    <mergeCell ref="A2:M2"/>
    <mergeCell ref="A5:M5"/>
    <mergeCell ref="A6:M6"/>
    <mergeCell ref="A7:M7"/>
    <mergeCell ref="A13:C15"/>
    <mergeCell ref="D13:F13"/>
    <mergeCell ref="G13:I13"/>
    <mergeCell ref="J13:L13"/>
    <mergeCell ref="M13:M15"/>
    <mergeCell ref="M19:M20"/>
    <mergeCell ref="I16:I18"/>
    <mergeCell ref="J16:J18"/>
    <mergeCell ref="K16:K18"/>
    <mergeCell ref="L16:L18"/>
    <mergeCell ref="M16:M18"/>
    <mergeCell ref="J19:J20"/>
    <mergeCell ref="K19:K20"/>
    <mergeCell ref="L19:L20"/>
    <mergeCell ref="K34:K36"/>
    <mergeCell ref="A19:C20"/>
    <mergeCell ref="D19:D20"/>
    <mergeCell ref="E19:E20"/>
    <mergeCell ref="F19:F20"/>
    <mergeCell ref="F34:F36"/>
    <mergeCell ref="G34:G36"/>
    <mergeCell ref="H19:H20"/>
    <mergeCell ref="G19:G20"/>
    <mergeCell ref="I19:I20"/>
    <mergeCell ref="L34:L36"/>
    <mergeCell ref="M34:M36"/>
    <mergeCell ref="A31:C33"/>
    <mergeCell ref="D31:F31"/>
    <mergeCell ref="G31:I31"/>
    <mergeCell ref="J31:L31"/>
    <mergeCell ref="M31:M33"/>
    <mergeCell ref="A34:C36"/>
    <mergeCell ref="D34:D36"/>
    <mergeCell ref="H34:H36"/>
    <mergeCell ref="I34:I36"/>
    <mergeCell ref="J34:J36"/>
    <mergeCell ref="I40:I42"/>
    <mergeCell ref="J40:J42"/>
    <mergeCell ref="E34:E36"/>
    <mergeCell ref="E40:E42"/>
    <mergeCell ref="H40:H42"/>
    <mergeCell ref="I37:I39"/>
    <mergeCell ref="J37:J39"/>
    <mergeCell ref="G43:G44"/>
    <mergeCell ref="G40:G42"/>
    <mergeCell ref="A43:C44"/>
    <mergeCell ref="D43:D44"/>
    <mergeCell ref="E43:E44"/>
    <mergeCell ref="F43:F44"/>
    <mergeCell ref="F40:F42"/>
    <mergeCell ref="A40:C42"/>
    <mergeCell ref="D40:D42"/>
    <mergeCell ref="H43:H44"/>
    <mergeCell ref="I43:I44"/>
    <mergeCell ref="J43:J44"/>
    <mergeCell ref="L43:L44"/>
    <mergeCell ref="M43:M44"/>
    <mergeCell ref="K43:K44"/>
    <mergeCell ref="K40:K42"/>
    <mergeCell ref="L40:L42"/>
    <mergeCell ref="J65:K66"/>
    <mergeCell ref="L65:L66"/>
    <mergeCell ref="J61:K63"/>
    <mergeCell ref="M40:M42"/>
    <mergeCell ref="J64:K64"/>
    <mergeCell ref="A64:C64"/>
    <mergeCell ref="D64:E64"/>
    <mergeCell ref="F64:G64"/>
    <mergeCell ref="M65:M66"/>
    <mergeCell ref="A61:C63"/>
    <mergeCell ref="D61:E63"/>
    <mergeCell ref="F61:G63"/>
    <mergeCell ref="H61:I63"/>
    <mergeCell ref="H64:I64"/>
    <mergeCell ref="J70:K72"/>
    <mergeCell ref="A65:C66"/>
    <mergeCell ref="D65:E66"/>
    <mergeCell ref="F65:G66"/>
    <mergeCell ref="H65:I66"/>
    <mergeCell ref="A70:C72"/>
    <mergeCell ref="D70:E72"/>
    <mergeCell ref="F70:G72"/>
    <mergeCell ref="H70:I72"/>
    <mergeCell ref="J73:K73"/>
    <mergeCell ref="A74:C75"/>
    <mergeCell ref="D74:E75"/>
    <mergeCell ref="F74:G75"/>
    <mergeCell ref="H74:I75"/>
    <mergeCell ref="J74:K75"/>
    <mergeCell ref="A73:C73"/>
    <mergeCell ref="D73:E73"/>
    <mergeCell ref="F73:G73"/>
    <mergeCell ref="H73:I73"/>
    <mergeCell ref="L74:L75"/>
    <mergeCell ref="M74:M75"/>
    <mergeCell ref="A79:C81"/>
    <mergeCell ref="D79:E81"/>
    <mergeCell ref="F79:G81"/>
    <mergeCell ref="H79:I81"/>
    <mergeCell ref="J79:K81"/>
    <mergeCell ref="J82:K82"/>
    <mergeCell ref="J83:K84"/>
    <mergeCell ref="A83:C84"/>
    <mergeCell ref="D83:E84"/>
    <mergeCell ref="F83:G84"/>
    <mergeCell ref="H83:I84"/>
    <mergeCell ref="A82:C82"/>
    <mergeCell ref="D82:E82"/>
    <mergeCell ref="F82:G82"/>
    <mergeCell ref="H82:I82"/>
    <mergeCell ref="A88:C90"/>
    <mergeCell ref="D88:E90"/>
    <mergeCell ref="F88:G90"/>
    <mergeCell ref="H88:I90"/>
    <mergeCell ref="M83:M84"/>
    <mergeCell ref="J88:K90"/>
    <mergeCell ref="L83:L84"/>
    <mergeCell ref="L92:L93"/>
    <mergeCell ref="M92:M93"/>
    <mergeCell ref="J91:K91"/>
    <mergeCell ref="H91:I91"/>
    <mergeCell ref="H92:I93"/>
    <mergeCell ref="J92:K93"/>
    <mergeCell ref="A92:C93"/>
    <mergeCell ref="D92:E93"/>
    <mergeCell ref="F92:G93"/>
    <mergeCell ref="A91:C91"/>
    <mergeCell ref="D91:E91"/>
    <mergeCell ref="F91:G91"/>
    <mergeCell ref="K37:K39"/>
    <mergeCell ref="L37:L39"/>
    <mergeCell ref="M37:M39"/>
    <mergeCell ref="A37:C39"/>
    <mergeCell ref="D37:D39"/>
    <mergeCell ref="E37:E39"/>
    <mergeCell ref="F37:F39"/>
    <mergeCell ref="G37:G39"/>
    <mergeCell ref="H37:H39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5.75390625" style="19" customWidth="1"/>
    <col min="2" max="2" width="65.75390625" style="19" customWidth="1"/>
    <col min="3" max="5" width="15.75390625" style="19" bestFit="1" customWidth="1"/>
    <col min="6" max="6" width="18.00390625" style="19" bestFit="1" customWidth="1"/>
    <col min="7" max="7" width="11.375" style="45" bestFit="1" customWidth="1"/>
    <col min="8" max="16384" width="9.125" style="45" customWidth="1"/>
  </cols>
  <sheetData>
    <row r="1" spans="1:6" ht="15.75">
      <c r="A1" s="128" t="s">
        <v>530</v>
      </c>
      <c r="C1" s="740"/>
      <c r="D1" s="740"/>
      <c r="E1" s="740"/>
      <c r="F1" s="740"/>
    </row>
    <row r="2" spans="1:6" ht="15.75">
      <c r="A2" s="21"/>
      <c r="B2" s="21"/>
      <c r="C2" s="21"/>
      <c r="D2" s="21"/>
      <c r="E2" s="21"/>
      <c r="F2" s="21"/>
    </row>
    <row r="3" spans="1:6" ht="15.75">
      <c r="A3" s="573" t="s">
        <v>447</v>
      </c>
      <c r="B3" s="573"/>
      <c r="C3" s="573"/>
      <c r="D3" s="573"/>
      <c r="E3" s="573"/>
      <c r="F3" s="573"/>
    </row>
    <row r="4" spans="1:6" ht="15.75">
      <c r="A4" s="573" t="s">
        <v>448</v>
      </c>
      <c r="B4" s="573"/>
      <c r="C4" s="573"/>
      <c r="D4" s="573"/>
      <c r="E4" s="573"/>
      <c r="F4" s="573"/>
    </row>
    <row r="5" spans="1:6" ht="15.75">
      <c r="A5" s="573" t="s">
        <v>486</v>
      </c>
      <c r="B5" s="573"/>
      <c r="C5" s="573"/>
      <c r="D5" s="573"/>
      <c r="E5" s="573"/>
      <c r="F5" s="573"/>
    </row>
    <row r="6" spans="1:6" ht="16.5" thickBot="1">
      <c r="A6" s="21"/>
      <c r="B6" s="21"/>
      <c r="C6" s="45"/>
      <c r="D6" s="237"/>
      <c r="E6" s="45"/>
      <c r="F6" s="237" t="s">
        <v>5</v>
      </c>
    </row>
    <row r="7" spans="1:6" ht="15.75">
      <c r="A7" s="238" t="s">
        <v>47</v>
      </c>
      <c r="B7" s="741" t="s">
        <v>449</v>
      </c>
      <c r="C7" s="744" t="s">
        <v>450</v>
      </c>
      <c r="D7" s="745"/>
      <c r="E7" s="745"/>
      <c r="F7" s="741" t="s">
        <v>332</v>
      </c>
    </row>
    <row r="8" spans="1:6" ht="16.5" thickBot="1">
      <c r="A8" s="239"/>
      <c r="B8" s="742"/>
      <c r="C8" s="746"/>
      <c r="D8" s="747"/>
      <c r="E8" s="747"/>
      <c r="F8" s="742"/>
    </row>
    <row r="9" spans="1:6" ht="16.5" thickBot="1">
      <c r="A9" s="239"/>
      <c r="B9" s="742"/>
      <c r="C9" s="240" t="s">
        <v>402</v>
      </c>
      <c r="D9" s="240" t="s">
        <v>403</v>
      </c>
      <c r="E9" s="240" t="s">
        <v>487</v>
      </c>
      <c r="F9" s="742"/>
    </row>
    <row r="10" spans="1:6" ht="16.5" thickBot="1">
      <c r="A10" s="241" t="s">
        <v>48</v>
      </c>
      <c r="B10" s="743"/>
      <c r="C10" s="748" t="s">
        <v>451</v>
      </c>
      <c r="D10" s="749"/>
      <c r="E10" s="749"/>
      <c r="F10" s="743"/>
    </row>
    <row r="11" spans="1:6" ht="15.75">
      <c r="A11" s="236" t="s">
        <v>49</v>
      </c>
      <c r="B11" s="266" t="s">
        <v>457</v>
      </c>
      <c r="C11" s="242">
        <v>7733</v>
      </c>
      <c r="D11" s="242">
        <v>7733</v>
      </c>
      <c r="E11" s="242">
        <v>7733</v>
      </c>
      <c r="F11" s="242">
        <f>SUM(C11:E11)</f>
        <v>23199</v>
      </c>
    </row>
    <row r="12" spans="1:6" ht="31.5">
      <c r="A12" s="236" t="s">
        <v>29</v>
      </c>
      <c r="B12" s="267" t="s">
        <v>458</v>
      </c>
      <c r="C12" s="243"/>
      <c r="D12" s="243"/>
      <c r="E12" s="243"/>
      <c r="F12" s="242">
        <f>SUM(C12:E12)</f>
        <v>0</v>
      </c>
    </row>
    <row r="13" spans="1:2" s="213" customFormat="1" ht="15.75">
      <c r="A13" s="236" t="s">
        <v>50</v>
      </c>
      <c r="B13" s="266" t="s">
        <v>459</v>
      </c>
    </row>
    <row r="14" spans="1:6" s="213" customFormat="1" ht="31.5">
      <c r="A14" s="236" t="s">
        <v>113</v>
      </c>
      <c r="B14" s="267" t="s">
        <v>460</v>
      </c>
      <c r="C14" s="244"/>
      <c r="D14" s="244"/>
      <c r="E14" s="244"/>
      <c r="F14" s="242">
        <f>SUM(C14:E14)</f>
        <v>0</v>
      </c>
    </row>
    <row r="15" spans="1:6" s="213" customFormat="1" ht="15.75">
      <c r="A15" s="236" t="s">
        <v>115</v>
      </c>
      <c r="B15" s="266" t="s">
        <v>452</v>
      </c>
      <c r="C15" s="244">
        <v>75</v>
      </c>
      <c r="D15" s="244">
        <v>75</v>
      </c>
      <c r="E15" s="244">
        <v>75</v>
      </c>
      <c r="F15" s="242">
        <f>SUM(C15:E15)</f>
        <v>225</v>
      </c>
    </row>
    <row r="16" spans="1:6" s="213" customFormat="1" ht="15.75">
      <c r="A16" s="236" t="s">
        <v>121</v>
      </c>
      <c r="B16" s="266" t="s">
        <v>461</v>
      </c>
      <c r="C16" s="245"/>
      <c r="D16" s="245"/>
      <c r="E16" s="245"/>
      <c r="F16" s="245"/>
    </row>
    <row r="17" spans="1:6" s="249" customFormat="1" ht="15.75">
      <c r="A17" s="246" t="s">
        <v>268</v>
      </c>
      <c r="B17" s="247" t="s">
        <v>453</v>
      </c>
      <c r="C17" s="248">
        <f>SUM(C11:C16)</f>
        <v>7808</v>
      </c>
      <c r="D17" s="248">
        <f>SUM(D11:D16)</f>
        <v>7808</v>
      </c>
      <c r="E17" s="248">
        <f>SUM(E11:E16)</f>
        <v>7808</v>
      </c>
      <c r="F17" s="248">
        <f>SUM(F11:F16)</f>
        <v>23424</v>
      </c>
    </row>
    <row r="18" spans="1:6" s="254" customFormat="1" ht="18.75">
      <c r="A18" s="250" t="s">
        <v>272</v>
      </c>
      <c r="B18" s="251" t="s">
        <v>454</v>
      </c>
      <c r="C18" s="252">
        <f>C17*0.5</f>
        <v>3904</v>
      </c>
      <c r="D18" s="252">
        <f>D17*0.5</f>
        <v>3904</v>
      </c>
      <c r="E18" s="252">
        <f>E17*0.5</f>
        <v>3904</v>
      </c>
      <c r="F18" s="253">
        <f>SUM(C18:E18)</f>
        <v>11712</v>
      </c>
    </row>
    <row r="19" spans="1:6" s="213" customFormat="1" ht="31.5">
      <c r="A19" s="255" t="s">
        <v>278</v>
      </c>
      <c r="B19" s="267" t="s">
        <v>462</v>
      </c>
      <c r="C19" s="244"/>
      <c r="D19" s="244"/>
      <c r="E19" s="244"/>
      <c r="F19" s="244">
        <f>SUM(C19:E19)</f>
        <v>0</v>
      </c>
    </row>
    <row r="20" spans="1:6" s="213" customFormat="1" ht="31.5">
      <c r="A20" s="255" t="s">
        <v>280</v>
      </c>
      <c r="B20" s="267" t="s">
        <v>463</v>
      </c>
      <c r="C20" s="244"/>
      <c r="D20" s="244"/>
      <c r="E20" s="244"/>
      <c r="F20" s="244">
        <f>SUM(C20:E20)</f>
        <v>0</v>
      </c>
    </row>
    <row r="21" spans="1:6" s="213" customFormat="1" ht="15.75">
      <c r="A21" s="255" t="s">
        <v>282</v>
      </c>
      <c r="B21" s="266" t="s">
        <v>464</v>
      </c>
      <c r="C21" s="244"/>
      <c r="D21" s="244"/>
      <c r="E21" s="244"/>
      <c r="F21" s="244"/>
    </row>
    <row r="22" spans="1:6" s="213" customFormat="1" ht="31.5">
      <c r="A22" s="255" t="s">
        <v>287</v>
      </c>
      <c r="B22" s="256" t="s">
        <v>465</v>
      </c>
      <c r="C22" s="244"/>
      <c r="D22" s="244"/>
      <c r="E22" s="244"/>
      <c r="F22" s="244"/>
    </row>
    <row r="23" spans="1:6" s="213" customFormat="1" ht="47.25">
      <c r="A23" s="255" t="s">
        <v>289</v>
      </c>
      <c r="B23" s="256" t="s">
        <v>466</v>
      </c>
      <c r="C23" s="244"/>
      <c r="D23" s="244"/>
      <c r="E23" s="244"/>
      <c r="F23" s="244"/>
    </row>
    <row r="24" spans="1:6" s="213" customFormat="1" ht="31.5">
      <c r="A24" s="255" t="s">
        <v>291</v>
      </c>
      <c r="B24" s="256" t="s">
        <v>467</v>
      </c>
      <c r="C24" s="244"/>
      <c r="D24" s="244"/>
      <c r="E24" s="244"/>
      <c r="F24" s="244"/>
    </row>
    <row r="25" spans="1:6" s="213" customFormat="1" ht="31.5">
      <c r="A25" s="255" t="s">
        <v>298</v>
      </c>
      <c r="B25" s="256" t="s">
        <v>468</v>
      </c>
      <c r="C25" s="257"/>
      <c r="D25" s="257"/>
      <c r="E25" s="257"/>
      <c r="F25" s="257"/>
    </row>
    <row r="26" spans="1:6" s="249" customFormat="1" ht="15.75">
      <c r="A26" s="246" t="s">
        <v>301</v>
      </c>
      <c r="B26" s="258" t="s">
        <v>455</v>
      </c>
      <c r="C26" s="259">
        <f>SUM(C19:C24)</f>
        <v>0</v>
      </c>
      <c r="D26" s="259">
        <f>SUM(D19:D24)</f>
        <v>0</v>
      </c>
      <c r="E26" s="259">
        <f>SUM(E19:E24)</f>
        <v>0</v>
      </c>
      <c r="F26" s="259">
        <f>SUM(F19:F24)</f>
        <v>0</v>
      </c>
    </row>
    <row r="27" spans="1:6" s="262" customFormat="1" ht="37.5">
      <c r="A27" s="250" t="s">
        <v>303</v>
      </c>
      <c r="B27" s="260" t="s">
        <v>456</v>
      </c>
      <c r="C27" s="261">
        <f>C18-C26</f>
        <v>3904</v>
      </c>
      <c r="D27" s="261">
        <f>D18-D26</f>
        <v>3904</v>
      </c>
      <c r="E27" s="261">
        <f>E18-E26</f>
        <v>3904</v>
      </c>
      <c r="F27" s="261">
        <f>SUM(C27:E27)</f>
        <v>11712</v>
      </c>
    </row>
    <row r="28" spans="1:6" s="213" customFormat="1" ht="15.75">
      <c r="A28" s="263"/>
      <c r="B28" s="264"/>
      <c r="C28" s="244"/>
      <c r="D28" s="244"/>
      <c r="E28" s="244"/>
      <c r="F28" s="244"/>
    </row>
    <row r="29" spans="1:7" s="213" customFormat="1" ht="15.75">
      <c r="A29" s="263"/>
      <c r="B29" s="264"/>
      <c r="C29" s="244"/>
      <c r="D29" s="244"/>
      <c r="E29" s="244"/>
      <c r="F29" s="244"/>
      <c r="G29" s="244"/>
    </row>
    <row r="30" spans="1:6" s="213" customFormat="1" ht="15.75">
      <c r="A30" s="264"/>
      <c r="B30" s="264"/>
      <c r="C30" s="244"/>
      <c r="D30" s="244"/>
      <c r="E30" s="244"/>
      <c r="F30" s="244"/>
    </row>
    <row r="31" spans="1:6" s="213" customFormat="1" ht="15.75">
      <c r="A31" s="264"/>
      <c r="B31" s="264"/>
      <c r="C31" s="244"/>
      <c r="D31" s="244"/>
      <c r="E31" s="244"/>
      <c r="F31" s="244"/>
    </row>
    <row r="32" spans="1:6" s="213" customFormat="1" ht="15.75">
      <c r="A32" s="264"/>
      <c r="B32" s="264"/>
      <c r="C32" s="244"/>
      <c r="D32" s="244"/>
      <c r="E32" s="244"/>
      <c r="F32" s="244"/>
    </row>
    <row r="33" spans="1:6" s="213" customFormat="1" ht="15.75">
      <c r="A33" s="264"/>
      <c r="B33" s="265"/>
      <c r="C33" s="244"/>
      <c r="D33" s="244"/>
      <c r="E33" s="244"/>
      <c r="F33" s="244"/>
    </row>
    <row r="34" spans="1:6" s="213" customFormat="1" ht="15.75">
      <c r="A34" s="264"/>
      <c r="B34" s="264"/>
      <c r="C34" s="244"/>
      <c r="D34" s="244"/>
      <c r="E34" s="244"/>
      <c r="F34" s="244"/>
    </row>
    <row r="35" spans="1:6" s="213" customFormat="1" ht="15.75">
      <c r="A35" s="264"/>
      <c r="B35" s="264"/>
      <c r="C35" s="244"/>
      <c r="D35" s="244"/>
      <c r="E35" s="244"/>
      <c r="F35" s="244"/>
    </row>
  </sheetData>
  <sheetProtection/>
  <mergeCells count="8">
    <mergeCell ref="C1:F1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64.625" style="4" customWidth="1"/>
    <col min="2" max="2" width="14.125" style="300" customWidth="1"/>
    <col min="3" max="3" width="4.875" style="4" customWidth="1"/>
    <col min="4" max="4" width="17.75390625" style="300" customWidth="1"/>
    <col min="5" max="5" width="5.25390625" style="4" customWidth="1"/>
    <col min="6" max="6" width="9.125" style="4" customWidth="1"/>
    <col min="7" max="7" width="14.25390625" style="4" bestFit="1" customWidth="1"/>
    <col min="8" max="16384" width="9.125" style="4" customWidth="1"/>
  </cols>
  <sheetData>
    <row r="1" spans="1:5" ht="15">
      <c r="A1" s="457"/>
      <c r="B1" s="457"/>
      <c r="C1" s="457"/>
      <c r="D1" s="457"/>
      <c r="E1" s="457"/>
    </row>
    <row r="2" spans="1:5" ht="15">
      <c r="A2" s="299"/>
      <c r="B2" s="299"/>
      <c r="C2" s="299"/>
      <c r="D2" s="299"/>
      <c r="E2" s="299"/>
    </row>
    <row r="3" spans="1:5" ht="15">
      <c r="A3" s="457" t="s">
        <v>515</v>
      </c>
      <c r="B3" s="457"/>
      <c r="C3" s="457"/>
      <c r="D3" s="457"/>
      <c r="E3" s="457"/>
    </row>
    <row r="4" spans="1:5" ht="15">
      <c r="A4" s="299"/>
      <c r="B4" s="299"/>
      <c r="C4" s="299"/>
      <c r="D4" s="299"/>
      <c r="E4" s="299"/>
    </row>
    <row r="5" spans="1:5" s="45" customFormat="1" ht="15.75">
      <c r="A5" s="460"/>
      <c r="B5" s="460"/>
      <c r="C5" s="460"/>
      <c r="D5" s="460"/>
      <c r="E5" s="460"/>
    </row>
    <row r="6" spans="1:5" s="45" customFormat="1" ht="15.75">
      <c r="A6" s="459" t="s">
        <v>46</v>
      </c>
      <c r="B6" s="459"/>
      <c r="C6" s="459"/>
      <c r="D6" s="459"/>
      <c r="E6" s="459"/>
    </row>
    <row r="7" spans="1:5" ht="15.75">
      <c r="A7" s="459" t="s">
        <v>181</v>
      </c>
      <c r="B7" s="459"/>
      <c r="C7" s="459"/>
      <c r="D7" s="459"/>
      <c r="E7" s="459"/>
    </row>
    <row r="8" spans="1:5" ht="12.75" customHeight="1">
      <c r="A8" s="458" t="s">
        <v>471</v>
      </c>
      <c r="B8" s="458"/>
      <c r="C8" s="458"/>
      <c r="D8" s="458"/>
      <c r="E8" s="458"/>
    </row>
    <row r="9" spans="1:5" s="1" customFormat="1" ht="15">
      <c r="A9" s="4"/>
      <c r="B9" s="300"/>
      <c r="C9" s="4"/>
      <c r="D9" s="305"/>
      <c r="E9" s="4"/>
    </row>
    <row r="10" spans="1:4" s="1" customFormat="1" ht="18.75">
      <c r="A10" s="108" t="s">
        <v>182</v>
      </c>
      <c r="B10" s="303"/>
      <c r="D10" s="109"/>
    </row>
    <row r="11" spans="1:5" ht="15.75">
      <c r="A11" s="7" t="s">
        <v>183</v>
      </c>
      <c r="B11" s="303"/>
      <c r="C11" s="1"/>
      <c r="D11" s="396">
        <f>B12+B13</f>
        <v>30605587</v>
      </c>
      <c r="E11" s="1" t="s">
        <v>531</v>
      </c>
    </row>
    <row r="12" spans="1:7" ht="15.75">
      <c r="A12" s="110" t="s">
        <v>184</v>
      </c>
      <c r="B12" s="395">
        <f>'2.mell - bevétel (2)'!H68</f>
        <v>28893846</v>
      </c>
      <c r="C12" s="4" t="s">
        <v>531</v>
      </c>
      <c r="D12" s="305"/>
      <c r="G12" s="84"/>
    </row>
    <row r="13" spans="1:5" s="1" customFormat="1" ht="15.75" customHeight="1">
      <c r="A13" s="110" t="s">
        <v>185</v>
      </c>
      <c r="B13" s="395">
        <f>'2.mell - bevétel (2)'!H74</f>
        <v>1711741</v>
      </c>
      <c r="C13" s="4" t="s">
        <v>531</v>
      </c>
      <c r="D13" s="305"/>
      <c r="E13" s="4"/>
    </row>
    <row r="14" spans="1:4" s="1" customFormat="1" ht="15.75">
      <c r="A14" s="7"/>
      <c r="B14" s="303"/>
      <c r="D14" s="312"/>
    </row>
    <row r="15" spans="1:5" s="1" customFormat="1" ht="15.75">
      <c r="A15" s="7" t="s">
        <v>186</v>
      </c>
      <c r="B15" s="303"/>
      <c r="D15" s="312">
        <f>'2.mell - bevétel (2)'!H86</f>
        <v>0</v>
      </c>
      <c r="E15" s="1" t="s">
        <v>531</v>
      </c>
    </row>
    <row r="16" spans="1:4" s="1" customFormat="1" ht="15.75">
      <c r="A16" s="7"/>
      <c r="B16" s="303"/>
      <c r="D16" s="312"/>
    </row>
    <row r="17" spans="1:5" s="1" customFormat="1" ht="15.75">
      <c r="A17" s="7" t="s">
        <v>133</v>
      </c>
      <c r="B17" s="303"/>
      <c r="D17" s="311">
        <f>'2.mell - bevétel (2)'!H113</f>
        <v>7813000</v>
      </c>
      <c r="E17" s="1" t="s">
        <v>531</v>
      </c>
    </row>
    <row r="18" spans="1:7" s="1" customFormat="1" ht="15.75">
      <c r="A18" s="7"/>
      <c r="B18" s="303"/>
      <c r="D18" s="311"/>
      <c r="G18" s="85"/>
    </row>
    <row r="19" spans="1:5" s="1" customFormat="1" ht="15.75">
      <c r="A19" s="7" t="s">
        <v>62</v>
      </c>
      <c r="B19" s="303"/>
      <c r="D19" s="311">
        <f>'2.mell - bevétel (2)'!H137</f>
        <v>10908000</v>
      </c>
      <c r="E19" s="1" t="s">
        <v>531</v>
      </c>
    </row>
    <row r="20" spans="1:4" s="1" customFormat="1" ht="15.75">
      <c r="A20" s="8"/>
      <c r="B20" s="310"/>
      <c r="D20" s="311"/>
    </row>
    <row r="21" spans="1:5" s="1" customFormat="1" ht="15.75">
      <c r="A21" s="7" t="s">
        <v>187</v>
      </c>
      <c r="B21" s="303"/>
      <c r="D21" s="311">
        <v>0</v>
      </c>
      <c r="E21" s="1" t="s">
        <v>531</v>
      </c>
    </row>
    <row r="22" spans="1:4" s="1" customFormat="1" ht="15.75">
      <c r="A22" s="8"/>
      <c r="B22" s="303"/>
      <c r="D22" s="311"/>
    </row>
    <row r="23" spans="1:5" s="1" customFormat="1" ht="15.75">
      <c r="A23" s="7" t="s">
        <v>188</v>
      </c>
      <c r="D23" s="311">
        <f>B24+B25</f>
        <v>0</v>
      </c>
      <c r="E23" s="1" t="s">
        <v>531</v>
      </c>
    </row>
    <row r="24" spans="1:7" s="6" customFormat="1" ht="32.25">
      <c r="A24" s="110" t="s">
        <v>189</v>
      </c>
      <c r="B24" s="310">
        <v>0</v>
      </c>
      <c r="C24" s="1" t="s">
        <v>531</v>
      </c>
      <c r="D24" s="311"/>
      <c r="E24" s="1"/>
      <c r="F24" s="1"/>
      <c r="G24" s="86"/>
    </row>
    <row r="25" spans="1:7" ht="18.75">
      <c r="A25" s="45" t="s">
        <v>190</v>
      </c>
      <c r="B25" s="303">
        <v>0</v>
      </c>
      <c r="C25" s="1" t="s">
        <v>531</v>
      </c>
      <c r="D25" s="311"/>
      <c r="E25" s="1"/>
      <c r="F25" s="6"/>
      <c r="G25" s="87"/>
    </row>
    <row r="26" spans="1:7" s="1" customFormat="1" ht="18.75">
      <c r="A26" s="54"/>
      <c r="B26" s="300"/>
      <c r="C26" s="4"/>
      <c r="D26" s="394"/>
      <c r="E26" s="6"/>
      <c r="G26" s="88"/>
    </row>
    <row r="27" spans="1:5" s="1" customFormat="1" ht="15.75">
      <c r="A27" s="7" t="s">
        <v>161</v>
      </c>
      <c r="B27" s="303"/>
      <c r="D27" s="311">
        <f>B28+B29</f>
        <v>62000</v>
      </c>
      <c r="E27" s="1" t="s">
        <v>531</v>
      </c>
    </row>
    <row r="28" spans="1:4" s="1" customFormat="1" ht="31.5">
      <c r="A28" s="110" t="s">
        <v>191</v>
      </c>
      <c r="B28" s="391">
        <f>'2.mell - bevétel (2)'!H144</f>
        <v>62000</v>
      </c>
      <c r="C28" s="1" t="s">
        <v>531</v>
      </c>
      <c r="D28" s="311"/>
    </row>
    <row r="29" spans="1:4" s="1" customFormat="1" ht="15.75">
      <c r="A29" s="45" t="s">
        <v>192</v>
      </c>
      <c r="B29" s="391">
        <v>0</v>
      </c>
      <c r="C29" s="1" t="s">
        <v>531</v>
      </c>
      <c r="D29" s="311"/>
    </row>
    <row r="30" spans="1:4" s="1" customFormat="1" ht="15.75">
      <c r="A30" s="54"/>
      <c r="B30" s="393"/>
      <c r="D30" s="392"/>
    </row>
    <row r="31" spans="1:5" s="1" customFormat="1" ht="15.75">
      <c r="A31" s="7" t="s">
        <v>51</v>
      </c>
      <c r="B31" s="393"/>
      <c r="D31" s="392">
        <f>SUM(D11:D30)</f>
        <v>49388587</v>
      </c>
      <c r="E31" s="1" t="s">
        <v>531</v>
      </c>
    </row>
    <row r="32" spans="1:4" s="1" customFormat="1" ht="15.75">
      <c r="A32" s="45"/>
      <c r="B32" s="393"/>
      <c r="D32" s="392"/>
    </row>
    <row r="33" spans="1:4" s="1" customFormat="1" ht="18.75">
      <c r="A33" s="108" t="s">
        <v>193</v>
      </c>
      <c r="B33" s="393"/>
      <c r="D33" s="392"/>
    </row>
    <row r="34" spans="1:5" s="1" customFormat="1" ht="15.75">
      <c r="A34" s="9" t="s">
        <v>17</v>
      </c>
      <c r="B34" s="391"/>
      <c r="D34" s="311">
        <f>B36+B37+B38+B39+B40</f>
        <v>85116928</v>
      </c>
      <c r="E34" s="1" t="s">
        <v>531</v>
      </c>
    </row>
    <row r="35" spans="1:4" s="1" customFormat="1" ht="15.75">
      <c r="A35" s="8" t="s">
        <v>16</v>
      </c>
      <c r="B35" s="391"/>
      <c r="D35" s="311"/>
    </row>
    <row r="36" spans="1:4" s="1" customFormat="1" ht="15.75">
      <c r="A36" s="45" t="s">
        <v>194</v>
      </c>
      <c r="B36" s="391">
        <f>'4.mell. - kiadás (2)'!D43</f>
        <v>18245057</v>
      </c>
      <c r="C36" s="1" t="s">
        <v>531</v>
      </c>
      <c r="D36" s="311"/>
    </row>
    <row r="37" spans="1:4" s="1" customFormat="1" ht="15.75">
      <c r="A37" s="45" t="s">
        <v>195</v>
      </c>
      <c r="B37" s="391">
        <f>'4.mell. - kiadás (2)'!E43</f>
        <v>4837994</v>
      </c>
      <c r="C37" s="1" t="s">
        <v>531</v>
      </c>
      <c r="D37" s="311"/>
    </row>
    <row r="38" spans="1:4" s="1" customFormat="1" ht="15.75">
      <c r="A38" s="45" t="s">
        <v>196</v>
      </c>
      <c r="B38" s="391">
        <f>'4.mell. - kiadás (2)'!F43</f>
        <v>20433383</v>
      </c>
      <c r="C38" s="1" t="s">
        <v>531</v>
      </c>
      <c r="D38" s="311"/>
    </row>
    <row r="39" spans="1:4" s="1" customFormat="1" ht="15.75">
      <c r="A39" s="111" t="s">
        <v>197</v>
      </c>
      <c r="B39" s="391">
        <f>'4.mell. - kiadás (2)'!G43</f>
        <v>3361000</v>
      </c>
      <c r="C39" s="1" t="s">
        <v>531</v>
      </c>
      <c r="D39" s="311"/>
    </row>
    <row r="40" spans="1:4" s="1" customFormat="1" ht="15.75">
      <c r="A40" s="45" t="s">
        <v>89</v>
      </c>
      <c r="B40" s="391">
        <f>'4.mell. - kiadás (2)'!H43</f>
        <v>38239494</v>
      </c>
      <c r="C40" s="1" t="s">
        <v>531</v>
      </c>
      <c r="D40" s="311"/>
    </row>
    <row r="41" spans="1:4" s="1" customFormat="1" ht="15.75">
      <c r="A41" s="45"/>
      <c r="B41" s="390"/>
      <c r="D41" s="311"/>
    </row>
    <row r="42" spans="1:5" s="1" customFormat="1" ht="15.75">
      <c r="A42" s="9" t="s">
        <v>18</v>
      </c>
      <c r="B42" s="391"/>
      <c r="D42" s="309">
        <f>B44+B45+B46</f>
        <v>33356900</v>
      </c>
      <c r="E42" s="1" t="s">
        <v>531</v>
      </c>
    </row>
    <row r="43" spans="1:4" s="1" customFormat="1" ht="15.75">
      <c r="A43" s="8" t="s">
        <v>16</v>
      </c>
      <c r="B43" s="391"/>
      <c r="D43" s="311"/>
    </row>
    <row r="44" spans="1:4" s="1" customFormat="1" ht="15.75">
      <c r="A44" s="45" t="s">
        <v>198</v>
      </c>
      <c r="B44" s="390">
        <f>'4.mell. - kiadás (2)'!J43</f>
        <v>8526900</v>
      </c>
      <c r="C44" s="1" t="s">
        <v>531</v>
      </c>
      <c r="D44" s="311"/>
    </row>
    <row r="45" spans="1:4" s="1" customFormat="1" ht="15.75">
      <c r="A45" s="45" t="s">
        <v>199</v>
      </c>
      <c r="B45" s="390">
        <f>'4.mell. - kiadás (2)'!K43</f>
        <v>23630000</v>
      </c>
      <c r="C45" s="1" t="s">
        <v>531</v>
      </c>
      <c r="D45" s="311"/>
    </row>
    <row r="46" spans="1:6" ht="15.75">
      <c r="A46" s="45" t="s">
        <v>90</v>
      </c>
      <c r="B46" s="390">
        <f>'4.mell. - kiadás (2)'!L43</f>
        <v>1200000</v>
      </c>
      <c r="C46" s="1" t="s">
        <v>531</v>
      </c>
      <c r="D46" s="311"/>
      <c r="E46" s="1"/>
      <c r="F46" s="1"/>
    </row>
    <row r="47" spans="1:4" s="1" customFormat="1" ht="15.75">
      <c r="A47" s="45"/>
      <c r="B47" s="390"/>
      <c r="D47" s="311"/>
    </row>
    <row r="48" spans="1:5" s="1" customFormat="1" ht="15.75">
      <c r="A48" s="15" t="s">
        <v>200</v>
      </c>
      <c r="B48" s="390"/>
      <c r="D48" s="311">
        <f>B49+B50+B51</f>
        <v>1318759</v>
      </c>
      <c r="E48" s="1" t="s">
        <v>531</v>
      </c>
    </row>
    <row r="49" spans="1:4" s="1" customFormat="1" ht="15.75">
      <c r="A49" s="45" t="s">
        <v>201</v>
      </c>
      <c r="B49" s="391"/>
      <c r="C49" s="1" t="s">
        <v>531</v>
      </c>
      <c r="D49" s="311"/>
    </row>
    <row r="50" spans="1:6" s="6" customFormat="1" ht="18.75">
      <c r="A50" s="45" t="s">
        <v>202</v>
      </c>
      <c r="B50" s="391"/>
      <c r="C50" s="1" t="s">
        <v>531</v>
      </c>
      <c r="D50" s="311"/>
      <c r="E50" s="1"/>
      <c r="F50" s="4"/>
    </row>
    <row r="51" spans="1:6" ht="15.75">
      <c r="A51" s="45" t="s">
        <v>498</v>
      </c>
      <c r="B51" s="390">
        <v>1318759</v>
      </c>
      <c r="C51" s="1" t="s">
        <v>531</v>
      </c>
      <c r="D51" s="311"/>
      <c r="E51" s="1"/>
      <c r="F51" s="1"/>
    </row>
    <row r="52" spans="1:6" ht="15.75">
      <c r="A52" s="7" t="s">
        <v>54</v>
      </c>
      <c r="B52" s="390"/>
      <c r="C52" s="1"/>
      <c r="D52" s="308">
        <f>SUM(D34:D51)</f>
        <v>119792587</v>
      </c>
      <c r="E52" s="4" t="s">
        <v>531</v>
      </c>
      <c r="F52" s="1"/>
    </row>
    <row r="53" spans="1:6" ht="15.75">
      <c r="A53" s="45"/>
      <c r="B53" s="303"/>
      <c r="C53" s="1"/>
      <c r="D53" s="309"/>
      <c r="E53" s="1"/>
      <c r="F53" s="1"/>
    </row>
    <row r="54" spans="1:6" ht="18.75">
      <c r="A54" s="7" t="s">
        <v>55</v>
      </c>
      <c r="B54" s="303"/>
      <c r="C54" s="1"/>
      <c r="D54" s="308">
        <f>D31-D52</f>
        <v>-70404000</v>
      </c>
      <c r="E54" s="4" t="s">
        <v>531</v>
      </c>
      <c r="F54" s="6"/>
    </row>
    <row r="55" spans="1:4" ht="15.75">
      <c r="A55" s="45"/>
      <c r="B55" s="303"/>
      <c r="C55" s="1"/>
      <c r="D55" s="308"/>
    </row>
    <row r="56" spans="1:5" ht="48">
      <c r="A56" s="112" t="s">
        <v>549</v>
      </c>
      <c r="B56" s="307"/>
      <c r="C56" s="6"/>
      <c r="D56" s="308">
        <v>29614876</v>
      </c>
      <c r="E56" s="4" t="s">
        <v>531</v>
      </c>
    </row>
    <row r="57" spans="1:6" s="1" customFormat="1" ht="15.75">
      <c r="A57" s="306" t="s">
        <v>532</v>
      </c>
      <c r="B57" s="300"/>
      <c r="C57" s="4"/>
      <c r="D57" s="308">
        <v>40789124</v>
      </c>
      <c r="E57" s="4"/>
      <c r="F57" s="4"/>
    </row>
    <row r="58" spans="1:5" ht="15.75">
      <c r="A58" s="7" t="s">
        <v>88</v>
      </c>
      <c r="D58" s="304">
        <f>D54+D56+D57</f>
        <v>0</v>
      </c>
      <c r="E58" s="4" t="s">
        <v>531</v>
      </c>
    </row>
    <row r="59" spans="1:4" s="1" customFormat="1" ht="10.5" customHeight="1">
      <c r="A59" s="5"/>
      <c r="B59" s="303"/>
      <c r="D59" s="302"/>
    </row>
    <row r="60" spans="1:5" ht="15.75">
      <c r="A60" s="5"/>
      <c r="B60" s="303"/>
      <c r="C60" s="1"/>
      <c r="D60" s="302"/>
      <c r="E60" s="7"/>
    </row>
    <row r="61" spans="1:5" ht="15.75">
      <c r="A61" s="7"/>
      <c r="D61" s="301"/>
      <c r="E61" s="7"/>
    </row>
  </sheetData>
  <sheetProtection/>
  <mergeCells count="6">
    <mergeCell ref="A1:E1"/>
    <mergeCell ref="A8:E8"/>
    <mergeCell ref="A6:E6"/>
    <mergeCell ref="A5:E5"/>
    <mergeCell ref="A7:E7"/>
    <mergeCell ref="A3:E3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25390625" style="53" customWidth="1"/>
    <col min="2" max="5" width="3.125" style="51" customWidth="1"/>
    <col min="6" max="6" width="52.125" style="8" customWidth="1"/>
    <col min="7" max="7" width="14.00390625" style="8" customWidth="1"/>
    <col min="8" max="8" width="16.75390625" style="8" customWidth="1"/>
    <col min="9" max="9" width="9.375" style="8" customWidth="1"/>
    <col min="10" max="16384" width="9.125" style="8" customWidth="1"/>
  </cols>
  <sheetData>
    <row r="1" spans="1:9" ht="15.75">
      <c r="A1" s="175"/>
      <c r="B1" s="175"/>
      <c r="C1" s="175"/>
      <c r="D1" s="175"/>
      <c r="E1" s="175"/>
      <c r="F1" s="89"/>
      <c r="G1" s="89"/>
      <c r="H1" s="89"/>
      <c r="I1" s="89"/>
    </row>
    <row r="2" spans="1:9" ht="15.75">
      <c r="A2" s="175"/>
      <c r="B2" s="175"/>
      <c r="C2" s="175"/>
      <c r="D2" s="175"/>
      <c r="E2" s="175"/>
      <c r="F2" s="89"/>
      <c r="G2" s="89"/>
      <c r="H2" s="89"/>
      <c r="I2" s="89"/>
    </row>
    <row r="3" spans="1:9" ht="15.75">
      <c r="A3" s="175" t="s">
        <v>516</v>
      </c>
      <c r="B3" s="175"/>
      <c r="C3" s="175"/>
      <c r="D3" s="175"/>
      <c r="E3" s="175"/>
      <c r="F3" s="89"/>
      <c r="G3" s="89"/>
      <c r="H3" s="89"/>
      <c r="I3" s="89"/>
    </row>
    <row r="4" spans="1:9" ht="15.75">
      <c r="A4" s="175"/>
      <c r="B4" s="175"/>
      <c r="C4" s="175"/>
      <c r="D4" s="175"/>
      <c r="E4" s="175"/>
      <c r="F4" s="89"/>
      <c r="G4" s="89"/>
      <c r="H4" s="89"/>
      <c r="I4" s="89"/>
    </row>
    <row r="5" spans="1:9" ht="15.75">
      <c r="A5" s="463"/>
      <c r="B5" s="463"/>
      <c r="C5" s="463"/>
      <c r="D5" s="463"/>
      <c r="E5" s="463"/>
      <c r="F5" s="463"/>
      <c r="G5" s="463"/>
      <c r="H5" s="463"/>
      <c r="I5" s="463"/>
    </row>
    <row r="6" spans="1:9" s="9" customFormat="1" ht="15.75">
      <c r="A6" s="461" t="s">
        <v>4</v>
      </c>
      <c r="B6" s="461"/>
      <c r="C6" s="461"/>
      <c r="D6" s="461"/>
      <c r="E6" s="461"/>
      <c r="F6" s="461"/>
      <c r="G6" s="461"/>
      <c r="H6" s="461"/>
      <c r="I6" s="461"/>
    </row>
    <row r="7" spans="1:9" s="9" customFormat="1" ht="15.75">
      <c r="A7" s="461" t="s">
        <v>43</v>
      </c>
      <c r="B7" s="461"/>
      <c r="C7" s="461"/>
      <c r="D7" s="461"/>
      <c r="E7" s="461"/>
      <c r="F7" s="461"/>
      <c r="G7" s="461"/>
      <c r="H7" s="461"/>
      <c r="I7" s="461"/>
    </row>
    <row r="8" spans="1:9" ht="15.75">
      <c r="A8" s="461" t="s">
        <v>472</v>
      </c>
      <c r="B8" s="461"/>
      <c r="C8" s="461"/>
      <c r="D8" s="461"/>
      <c r="E8" s="461"/>
      <c r="F8" s="461"/>
      <c r="G8" s="461"/>
      <c r="H8" s="461"/>
      <c r="I8" s="461"/>
    </row>
    <row r="9" ht="15.75" hidden="1"/>
    <row r="10" spans="8:9" ht="16.5" thickBot="1">
      <c r="H10" s="55"/>
      <c r="I10" s="56" t="s">
        <v>534</v>
      </c>
    </row>
    <row r="11" spans="1:9" ht="15.75">
      <c r="A11" s="466" t="s">
        <v>21</v>
      </c>
      <c r="B11" s="467"/>
      <c r="C11" s="467"/>
      <c r="D11" s="467"/>
      <c r="E11" s="467"/>
      <c r="F11" s="468"/>
      <c r="G11" s="57" t="s">
        <v>19</v>
      </c>
      <c r="H11" s="57" t="s">
        <v>19</v>
      </c>
      <c r="I11" s="57" t="s">
        <v>20</v>
      </c>
    </row>
    <row r="12" spans="1:9" ht="15.75">
      <c r="A12" s="469"/>
      <c r="B12" s="470"/>
      <c r="C12" s="470"/>
      <c r="D12" s="470"/>
      <c r="E12" s="470"/>
      <c r="F12" s="471"/>
      <c r="G12" s="58" t="s">
        <v>10</v>
      </c>
      <c r="H12" s="58" t="s">
        <v>10</v>
      </c>
      <c r="I12" s="58"/>
    </row>
    <row r="13" spans="1:9" ht="16.5" thickBot="1">
      <c r="A13" s="472"/>
      <c r="B13" s="473"/>
      <c r="C13" s="473"/>
      <c r="D13" s="473"/>
      <c r="E13" s="473"/>
      <c r="F13" s="474"/>
      <c r="G13" s="59" t="s">
        <v>171</v>
      </c>
      <c r="H13" s="59" t="s">
        <v>472</v>
      </c>
      <c r="I13" s="59" t="s">
        <v>22</v>
      </c>
    </row>
    <row r="14" spans="1:9" ht="15.75">
      <c r="A14" s="270"/>
      <c r="B14" s="270"/>
      <c r="C14" s="270"/>
      <c r="D14" s="270"/>
      <c r="E14" s="270"/>
      <c r="F14" s="270"/>
      <c r="G14" s="270"/>
      <c r="H14" s="270"/>
      <c r="I14" s="270"/>
    </row>
    <row r="15" spans="1:9" ht="15.75">
      <c r="A15" s="270"/>
      <c r="B15" s="270"/>
      <c r="C15" s="270"/>
      <c r="D15" s="270"/>
      <c r="E15" s="270"/>
      <c r="F15" s="270"/>
      <c r="G15" s="270"/>
      <c r="H15" s="270"/>
      <c r="I15" s="270"/>
    </row>
    <row r="16" spans="1:9" ht="15.75">
      <c r="A16" s="15" t="s">
        <v>56</v>
      </c>
      <c r="B16" s="462" t="s">
        <v>94</v>
      </c>
      <c r="C16" s="462"/>
      <c r="D16" s="462"/>
      <c r="E16" s="462"/>
      <c r="F16" s="462"/>
      <c r="G16" s="92"/>
      <c r="H16" s="323"/>
      <c r="I16" s="92"/>
    </row>
    <row r="17" spans="1:9" ht="15.75">
      <c r="A17" s="15"/>
      <c r="B17" s="15" t="s">
        <v>56</v>
      </c>
      <c r="C17" s="15" t="s">
        <v>95</v>
      </c>
      <c r="D17" s="15"/>
      <c r="E17" s="15"/>
      <c r="F17" s="15"/>
      <c r="G17" s="318"/>
      <c r="H17" s="318"/>
      <c r="I17" s="15"/>
    </row>
    <row r="18" spans="1:9" ht="33" customHeight="1">
      <c r="A18" s="15"/>
      <c r="B18" s="15"/>
      <c r="C18" s="15" t="s">
        <v>49</v>
      </c>
      <c r="D18" s="462" t="s">
        <v>96</v>
      </c>
      <c r="E18" s="462"/>
      <c r="F18" s="462"/>
      <c r="G18" s="323"/>
      <c r="H18" s="323"/>
      <c r="I18" s="92"/>
    </row>
    <row r="19" spans="1:9" ht="33.75" customHeight="1">
      <c r="A19" s="15"/>
      <c r="B19" s="15"/>
      <c r="C19" s="15"/>
      <c r="D19" s="15" t="s">
        <v>49</v>
      </c>
      <c r="E19" s="462" t="s">
        <v>97</v>
      </c>
      <c r="F19" s="462"/>
      <c r="G19" s="323"/>
      <c r="H19" s="323"/>
      <c r="I19" s="92"/>
    </row>
    <row r="20" spans="1:9" ht="15.75">
      <c r="A20" s="18"/>
      <c r="B20" s="18"/>
      <c r="C20" s="18"/>
      <c r="D20" s="18"/>
      <c r="E20" s="18" t="s">
        <v>63</v>
      </c>
      <c r="F20" s="18" t="s">
        <v>57</v>
      </c>
      <c r="G20" s="319"/>
      <c r="H20" s="319"/>
      <c r="I20" s="93"/>
    </row>
    <row r="21" spans="1:9" ht="15.75">
      <c r="A21" s="18"/>
      <c r="B21" s="18"/>
      <c r="C21" s="18"/>
      <c r="D21" s="18"/>
      <c r="E21" s="18"/>
      <c r="F21" s="18" t="s">
        <v>98</v>
      </c>
      <c r="G21" s="319"/>
      <c r="I21" s="93"/>
    </row>
    <row r="22" spans="1:9" ht="31.5">
      <c r="A22" s="18"/>
      <c r="B22" s="18"/>
      <c r="C22" s="18"/>
      <c r="D22" s="18"/>
      <c r="E22" s="18" t="s">
        <v>64</v>
      </c>
      <c r="F22" s="94" t="s">
        <v>58</v>
      </c>
      <c r="G22" s="317"/>
      <c r="I22" s="93"/>
    </row>
    <row r="23" spans="1:9" ht="31.5">
      <c r="A23" s="18"/>
      <c r="B23" s="18"/>
      <c r="C23" s="18"/>
      <c r="D23" s="18"/>
      <c r="E23" s="18" t="s">
        <v>99</v>
      </c>
      <c r="F23" s="94" t="s">
        <v>100</v>
      </c>
      <c r="G23" s="314">
        <v>2553000</v>
      </c>
      <c r="H23" s="327">
        <v>2553350</v>
      </c>
      <c r="I23" s="93">
        <f>H23/G23*100</f>
        <v>100.01370936153545</v>
      </c>
    </row>
    <row r="24" spans="1:9" ht="15.75">
      <c r="A24" s="18"/>
      <c r="B24" s="18"/>
      <c r="C24" s="18"/>
      <c r="D24" s="18"/>
      <c r="E24" s="18"/>
      <c r="F24" s="18" t="s">
        <v>98</v>
      </c>
      <c r="G24" s="314"/>
      <c r="H24" s="327"/>
      <c r="I24" s="93"/>
    </row>
    <row r="25" spans="1:9" ht="15.75">
      <c r="A25" s="18"/>
      <c r="B25" s="18"/>
      <c r="C25" s="18"/>
      <c r="D25" s="18"/>
      <c r="E25" s="18" t="s">
        <v>101</v>
      </c>
      <c r="F25" s="94" t="s">
        <v>102</v>
      </c>
      <c r="G25" s="314">
        <v>3392000</v>
      </c>
      <c r="H25" s="327">
        <v>3648000</v>
      </c>
      <c r="I25" s="93">
        <f>H25/G25*100</f>
        <v>107.54716981132076</v>
      </c>
    </row>
    <row r="26" spans="1:9" ht="15.75">
      <c r="A26" s="18"/>
      <c r="B26" s="18"/>
      <c r="C26" s="18"/>
      <c r="D26" s="18"/>
      <c r="E26" s="18"/>
      <c r="F26" s="18" t="s">
        <v>98</v>
      </c>
      <c r="G26" s="314"/>
      <c r="H26" s="327"/>
      <c r="I26" s="93"/>
    </row>
    <row r="27" spans="1:9" ht="33" customHeight="1">
      <c r="A27" s="18"/>
      <c r="B27" s="18"/>
      <c r="C27" s="18"/>
      <c r="D27" s="18"/>
      <c r="E27" s="18" t="s">
        <v>103</v>
      </c>
      <c r="F27" s="94" t="s">
        <v>104</v>
      </c>
      <c r="G27" s="314">
        <v>100000</v>
      </c>
      <c r="H27" s="327">
        <v>100000</v>
      </c>
      <c r="I27" s="93">
        <f>H27/G27*100</f>
        <v>100</v>
      </c>
    </row>
    <row r="28" spans="1:9" ht="15.75">
      <c r="A28" s="18"/>
      <c r="B28" s="18"/>
      <c r="C28" s="18"/>
      <c r="D28" s="18"/>
      <c r="E28" s="18"/>
      <c r="F28" s="18" t="s">
        <v>98</v>
      </c>
      <c r="G28" s="314"/>
      <c r="H28" s="327"/>
      <c r="I28" s="93"/>
    </row>
    <row r="29" spans="1:9" ht="15.75">
      <c r="A29" s="18"/>
      <c r="B29" s="18"/>
      <c r="C29" s="18"/>
      <c r="D29" s="18"/>
      <c r="E29" s="18" t="s">
        <v>105</v>
      </c>
      <c r="F29" s="94" t="s">
        <v>106</v>
      </c>
      <c r="G29" s="314">
        <v>7507000</v>
      </c>
      <c r="H29" s="327">
        <v>7506890</v>
      </c>
      <c r="I29" s="93">
        <f>H29/G29*100</f>
        <v>99.99853470094578</v>
      </c>
    </row>
    <row r="30" spans="1:9" s="46" customFormat="1" ht="15.75">
      <c r="A30" s="18"/>
      <c r="B30" s="18"/>
      <c r="C30" s="18"/>
      <c r="D30" s="18"/>
      <c r="E30" s="18"/>
      <c r="F30" s="18" t="s">
        <v>98</v>
      </c>
      <c r="G30" s="314"/>
      <c r="H30" s="418"/>
      <c r="I30" s="93"/>
    </row>
    <row r="31" spans="1:9" ht="15.75">
      <c r="A31" s="18"/>
      <c r="B31" s="18"/>
      <c r="C31" s="18"/>
      <c r="D31" s="18" t="s">
        <v>65</v>
      </c>
      <c r="E31" s="18" t="s">
        <v>107</v>
      </c>
      <c r="F31" s="18"/>
      <c r="G31" s="314">
        <v>4000000</v>
      </c>
      <c r="H31" s="327">
        <v>5000000</v>
      </c>
      <c r="I31" s="93">
        <f>H31/G31*100</f>
        <v>125</v>
      </c>
    </row>
    <row r="32" spans="1:9" ht="15.75">
      <c r="A32" s="18"/>
      <c r="B32" s="18"/>
      <c r="C32" s="18"/>
      <c r="D32" s="18"/>
      <c r="E32" s="18"/>
      <c r="F32" s="18" t="s">
        <v>98</v>
      </c>
      <c r="G32" s="416">
        <v>-239000</v>
      </c>
      <c r="H32" s="327">
        <v>-267242</v>
      </c>
      <c r="I32" s="93">
        <f>H32/G32*100</f>
        <v>111.81673640167364</v>
      </c>
    </row>
    <row r="33" spans="1:9" ht="15.75">
      <c r="A33" s="18"/>
      <c r="B33" s="18"/>
      <c r="C33" s="18"/>
      <c r="D33" s="18" t="s">
        <v>66</v>
      </c>
      <c r="E33" s="18" t="s">
        <v>173</v>
      </c>
      <c r="F33" s="18"/>
      <c r="G33" s="314">
        <v>20000</v>
      </c>
      <c r="H33" s="327">
        <v>20400</v>
      </c>
      <c r="I33" s="93">
        <f>H33/G33*100</f>
        <v>102</v>
      </c>
    </row>
    <row r="34" spans="1:9" ht="15.75">
      <c r="A34" s="18"/>
      <c r="B34" s="18"/>
      <c r="C34" s="18"/>
      <c r="D34" s="18" t="s">
        <v>174</v>
      </c>
      <c r="E34" s="18" t="s">
        <v>123</v>
      </c>
      <c r="F34" s="18"/>
      <c r="G34" s="314">
        <v>682000</v>
      </c>
      <c r="H34" s="327">
        <v>206150</v>
      </c>
      <c r="I34" s="93">
        <f>H34/G34*100</f>
        <v>30.227272727272727</v>
      </c>
    </row>
    <row r="35" spans="1:9" ht="15.75">
      <c r="A35" s="18"/>
      <c r="B35" s="18"/>
      <c r="C35" s="18" t="s">
        <v>29</v>
      </c>
      <c r="D35" s="464" t="s">
        <v>109</v>
      </c>
      <c r="E35" s="464"/>
      <c r="F35" s="464"/>
      <c r="G35" s="314">
        <v>6000</v>
      </c>
      <c r="H35" s="327">
        <v>3200</v>
      </c>
      <c r="I35" s="93">
        <f>H35/G35*100</f>
        <v>53.333333333333336</v>
      </c>
    </row>
    <row r="36" spans="1:9" ht="15.75">
      <c r="A36" s="18"/>
      <c r="B36" s="18"/>
      <c r="C36" s="18" t="s">
        <v>121</v>
      </c>
      <c r="D36" s="18" t="s">
        <v>175</v>
      </c>
      <c r="E36" s="18"/>
      <c r="F36" s="18"/>
      <c r="G36" s="314">
        <v>48000</v>
      </c>
      <c r="H36" s="327">
        <v>33909</v>
      </c>
      <c r="I36" s="93">
        <f>H36/G36*100</f>
        <v>70.64375000000001</v>
      </c>
    </row>
    <row r="37" spans="1:9" s="46" customFormat="1" ht="15.75">
      <c r="A37" s="18"/>
      <c r="B37" s="18"/>
      <c r="C37" s="18"/>
      <c r="D37" s="18" t="s">
        <v>29</v>
      </c>
      <c r="E37" s="18" t="s">
        <v>108</v>
      </c>
      <c r="F37" s="18"/>
      <c r="G37" s="314"/>
      <c r="H37" s="418"/>
      <c r="I37" s="93"/>
    </row>
    <row r="38" spans="1:9" ht="15.75">
      <c r="A38" s="18"/>
      <c r="B38" s="18"/>
      <c r="C38" s="18"/>
      <c r="D38" s="18"/>
      <c r="E38" s="18"/>
      <c r="F38" s="18" t="s">
        <v>98</v>
      </c>
      <c r="G38" s="314"/>
      <c r="H38" s="327"/>
      <c r="I38" s="93"/>
    </row>
    <row r="39" spans="1:9" ht="15.75">
      <c r="A39" s="18"/>
      <c r="B39" s="18"/>
      <c r="C39" s="18"/>
      <c r="D39" s="18"/>
      <c r="E39" s="18"/>
      <c r="F39" s="18"/>
      <c r="G39" s="314"/>
      <c r="H39" s="327"/>
      <c r="I39" s="93"/>
    </row>
    <row r="40" spans="1:9" ht="31.5" customHeight="1">
      <c r="A40" s="96"/>
      <c r="B40" s="96"/>
      <c r="C40" s="97"/>
      <c r="D40" s="465" t="s">
        <v>110</v>
      </c>
      <c r="E40" s="465"/>
      <c r="F40" s="465"/>
      <c r="G40" s="419">
        <f>SUM(G20:G39)</f>
        <v>18069000</v>
      </c>
      <c r="H40" s="419">
        <f>SUM(H20:H39)</f>
        <v>18804657</v>
      </c>
      <c r="I40" s="107">
        <f>H40/G40*100</f>
        <v>104.07137639050308</v>
      </c>
    </row>
    <row r="41" spans="1:9" s="46" customFormat="1" ht="15.75">
      <c r="A41" s="15"/>
      <c r="B41" s="15"/>
      <c r="C41" s="15"/>
      <c r="D41" s="91"/>
      <c r="E41" s="91"/>
      <c r="F41" s="91"/>
      <c r="G41" s="414"/>
      <c r="H41" s="418"/>
      <c r="I41" s="93"/>
    </row>
    <row r="42" spans="1:9" ht="15.75">
      <c r="A42" s="18"/>
      <c r="B42" s="18"/>
      <c r="C42" s="15" t="s">
        <v>50</v>
      </c>
      <c r="D42" s="462" t="s">
        <v>111</v>
      </c>
      <c r="E42" s="462"/>
      <c r="F42" s="462"/>
      <c r="G42" s="414"/>
      <c r="H42" s="327"/>
      <c r="I42" s="93"/>
    </row>
    <row r="43" spans="1:9" ht="15.75">
      <c r="A43" s="18"/>
      <c r="B43" s="18"/>
      <c r="C43" s="18"/>
      <c r="D43" s="18" t="s">
        <v>49</v>
      </c>
      <c r="E43" s="18" t="s">
        <v>176</v>
      </c>
      <c r="F43" s="18"/>
      <c r="G43" s="314">
        <v>327000</v>
      </c>
      <c r="H43" s="327"/>
      <c r="I43" s="93">
        <f>H43/G43*100</f>
        <v>0</v>
      </c>
    </row>
    <row r="44" spans="1:9" ht="30.75" customHeight="1">
      <c r="A44" s="18"/>
      <c r="B44" s="18"/>
      <c r="C44" s="18"/>
      <c r="D44" s="18" t="s">
        <v>29</v>
      </c>
      <c r="E44" s="464" t="s">
        <v>177</v>
      </c>
      <c r="F44" s="464"/>
      <c r="G44" s="314">
        <v>1990000</v>
      </c>
      <c r="H44" s="327">
        <v>3855289</v>
      </c>
      <c r="I44" s="93"/>
    </row>
    <row r="45" spans="1:9" ht="15.75">
      <c r="A45" s="18"/>
      <c r="B45" s="18"/>
      <c r="C45" s="18"/>
      <c r="D45" s="18" t="s">
        <v>50</v>
      </c>
      <c r="E45" s="18" t="s">
        <v>112</v>
      </c>
      <c r="F45" s="18"/>
      <c r="G45" s="314">
        <v>1052000</v>
      </c>
      <c r="H45" s="327">
        <v>830400</v>
      </c>
      <c r="I45" s="93">
        <f>H45/G45*100</f>
        <v>78.93536121673004</v>
      </c>
    </row>
    <row r="46" spans="1:9" ht="15.75">
      <c r="A46" s="18"/>
      <c r="B46" s="18"/>
      <c r="C46" s="18"/>
      <c r="D46" s="18" t="s">
        <v>113</v>
      </c>
      <c r="E46" s="18" t="s">
        <v>114</v>
      </c>
      <c r="F46" s="18"/>
      <c r="G46" s="314"/>
      <c r="H46" s="327"/>
      <c r="I46" s="93"/>
    </row>
    <row r="47" spans="1:9" ht="15.75">
      <c r="A47" s="18"/>
      <c r="B47" s="18"/>
      <c r="C47" s="18"/>
      <c r="D47" s="18" t="s">
        <v>115</v>
      </c>
      <c r="E47" s="18" t="s">
        <v>116</v>
      </c>
      <c r="F47" s="18"/>
      <c r="G47" s="314">
        <v>3128000</v>
      </c>
      <c r="H47" s="327">
        <f>195840+3823675</f>
        <v>4019515</v>
      </c>
      <c r="I47" s="93">
        <f>H47/G47*100</f>
        <v>128.5011189258312</v>
      </c>
    </row>
    <row r="48" spans="1:9" ht="15.75">
      <c r="A48" s="18"/>
      <c r="B48" s="18"/>
      <c r="C48" s="18"/>
      <c r="D48" s="18"/>
      <c r="E48" s="18"/>
      <c r="F48" s="18"/>
      <c r="G48" s="314"/>
      <c r="H48" s="327"/>
      <c r="I48" s="93"/>
    </row>
    <row r="49" spans="1:9" ht="33.75" customHeight="1">
      <c r="A49" s="96"/>
      <c r="B49" s="96"/>
      <c r="C49" s="465" t="s">
        <v>117</v>
      </c>
      <c r="D49" s="465"/>
      <c r="E49" s="465"/>
      <c r="F49" s="465"/>
      <c r="G49" s="326">
        <f>SUM(G43:G48)</f>
        <v>6497000</v>
      </c>
      <c r="H49" s="326">
        <f>SUM(H43:H48)</f>
        <v>8705204</v>
      </c>
      <c r="I49" s="107">
        <f>H49/G49*100</f>
        <v>133.98805602585807</v>
      </c>
    </row>
    <row r="50" spans="1:9" ht="33.75" customHeight="1">
      <c r="A50" s="96"/>
      <c r="B50" s="96"/>
      <c r="C50" s="268"/>
      <c r="D50" s="268"/>
      <c r="E50" s="268"/>
      <c r="F50" s="268"/>
      <c r="G50" s="326"/>
      <c r="H50" s="326"/>
      <c r="I50" s="107"/>
    </row>
    <row r="51" spans="1:9" ht="33.75" customHeight="1">
      <c r="A51" s="96"/>
      <c r="B51" s="96"/>
      <c r="C51" s="268"/>
      <c r="D51" s="268"/>
      <c r="E51" s="268"/>
      <c r="F51" s="268"/>
      <c r="G51" s="326"/>
      <c r="H51" s="326"/>
      <c r="I51" s="107"/>
    </row>
    <row r="52" spans="1:9" ht="16.5" thickBot="1">
      <c r="A52" s="96"/>
      <c r="B52" s="96"/>
      <c r="C52" s="268"/>
      <c r="D52" s="268"/>
      <c r="E52" s="268"/>
      <c r="F52" s="268"/>
      <c r="G52" s="324"/>
      <c r="H52" s="324"/>
      <c r="I52" s="107"/>
    </row>
    <row r="53" spans="1:9" ht="15.75">
      <c r="A53" s="477" t="s">
        <v>21</v>
      </c>
      <c r="B53" s="478"/>
      <c r="C53" s="478"/>
      <c r="D53" s="478"/>
      <c r="E53" s="478"/>
      <c r="F53" s="479"/>
      <c r="G53" s="57" t="s">
        <v>19</v>
      </c>
      <c r="H53" s="57" t="s">
        <v>19</v>
      </c>
      <c r="I53" s="57" t="s">
        <v>20</v>
      </c>
    </row>
    <row r="54" spans="1:9" ht="15.75">
      <c r="A54" s="480"/>
      <c r="B54" s="481"/>
      <c r="C54" s="481"/>
      <c r="D54" s="481"/>
      <c r="E54" s="481"/>
      <c r="F54" s="482"/>
      <c r="G54" s="58" t="s">
        <v>10</v>
      </c>
      <c r="H54" s="58" t="s">
        <v>10</v>
      </c>
      <c r="I54" s="58"/>
    </row>
    <row r="55" spans="1:9" ht="16.5" thickBot="1">
      <c r="A55" s="483"/>
      <c r="B55" s="484"/>
      <c r="C55" s="484"/>
      <c r="D55" s="484"/>
      <c r="E55" s="484"/>
      <c r="F55" s="485"/>
      <c r="G55" s="59" t="s">
        <v>171</v>
      </c>
      <c r="H55" s="59" t="s">
        <v>472</v>
      </c>
      <c r="I55" s="59" t="s">
        <v>22</v>
      </c>
    </row>
    <row r="56" spans="1:9" ht="12" customHeight="1">
      <c r="A56" s="18"/>
      <c r="B56" s="18"/>
      <c r="C56" s="18"/>
      <c r="D56" s="18"/>
      <c r="E56" s="18"/>
      <c r="F56" s="18"/>
      <c r="G56" s="319"/>
      <c r="H56" s="319"/>
      <c r="I56" s="93"/>
    </row>
    <row r="57" spans="1:9" ht="31.5" customHeight="1">
      <c r="A57" s="18"/>
      <c r="B57" s="18"/>
      <c r="C57" s="15" t="s">
        <v>113</v>
      </c>
      <c r="D57" s="462" t="s">
        <v>118</v>
      </c>
      <c r="E57" s="462"/>
      <c r="F57" s="462"/>
      <c r="G57" s="323"/>
      <c r="H57" s="323"/>
      <c r="I57" s="92"/>
    </row>
    <row r="58" spans="1:9" ht="15.75">
      <c r="A58" s="18"/>
      <c r="B58" s="18"/>
      <c r="C58" s="18"/>
      <c r="D58" s="18" t="s">
        <v>49</v>
      </c>
      <c r="E58" s="464" t="s">
        <v>61</v>
      </c>
      <c r="F58" s="464"/>
      <c r="G58" s="317"/>
      <c r="H58" s="317"/>
      <c r="I58" s="94"/>
    </row>
    <row r="59" spans="1:9" ht="31.5">
      <c r="A59" s="18"/>
      <c r="B59" s="18"/>
      <c r="C59" s="18"/>
      <c r="D59" s="18"/>
      <c r="E59" s="18" t="s">
        <v>66</v>
      </c>
      <c r="F59" s="94" t="s">
        <v>119</v>
      </c>
      <c r="G59" s="416">
        <v>1200000</v>
      </c>
      <c r="H59" s="417">
        <v>1200000</v>
      </c>
      <c r="I59" s="93">
        <f>H59/G59*100</f>
        <v>100</v>
      </c>
    </row>
    <row r="60" spans="1:9" ht="12" customHeight="1">
      <c r="A60" s="18"/>
      <c r="B60" s="18"/>
      <c r="C60" s="18"/>
      <c r="D60" s="18"/>
      <c r="E60" s="18"/>
      <c r="F60" s="18"/>
      <c r="G60" s="314"/>
      <c r="H60" s="314"/>
      <c r="I60" s="93"/>
    </row>
    <row r="61" spans="1:9" ht="15.75">
      <c r="A61" s="96"/>
      <c r="B61" s="96"/>
      <c r="C61" s="475" t="s">
        <v>120</v>
      </c>
      <c r="D61" s="475"/>
      <c r="E61" s="475"/>
      <c r="F61" s="475"/>
      <c r="G61" s="326">
        <f>SUM(G59:G60)</f>
        <v>1200000</v>
      </c>
      <c r="H61" s="326">
        <f>SUM(H59:H60)</f>
        <v>1200000</v>
      </c>
      <c r="I61" s="325">
        <f>H61/G61*100</f>
        <v>100</v>
      </c>
    </row>
    <row r="62" spans="1:9" ht="12" customHeight="1">
      <c r="A62" s="18"/>
      <c r="B62" s="18"/>
      <c r="C62" s="18"/>
      <c r="D62" s="18"/>
      <c r="E62" s="18"/>
      <c r="F62" s="18"/>
      <c r="G62" s="314"/>
      <c r="H62" s="314"/>
      <c r="I62" s="93"/>
    </row>
    <row r="63" spans="1:9" ht="15.75">
      <c r="A63" s="99"/>
      <c r="B63" s="99"/>
      <c r="C63" s="101" t="s">
        <v>121</v>
      </c>
      <c r="D63" s="15" t="s">
        <v>122</v>
      </c>
      <c r="E63" s="99"/>
      <c r="F63" s="99"/>
      <c r="G63" s="405"/>
      <c r="H63" s="405"/>
      <c r="I63" s="93"/>
    </row>
    <row r="64" spans="1:9" ht="15.75">
      <c r="A64" s="99"/>
      <c r="B64" s="99"/>
      <c r="C64" s="99"/>
      <c r="D64" s="99" t="s">
        <v>49</v>
      </c>
      <c r="E64" s="476" t="s">
        <v>533</v>
      </c>
      <c r="F64" s="476"/>
      <c r="G64" s="405"/>
      <c r="H64" s="402">
        <f>112611+47498+23876</f>
        <v>183985</v>
      </c>
      <c r="I64" s="93"/>
    </row>
    <row r="65" spans="1:9" ht="12" customHeight="1">
      <c r="A65" s="18"/>
      <c r="B65" s="18"/>
      <c r="C65" s="18"/>
      <c r="D65" s="18"/>
      <c r="E65" s="18"/>
      <c r="F65" s="18"/>
      <c r="G65" s="314"/>
      <c r="H65" s="314"/>
      <c r="I65" s="93"/>
    </row>
    <row r="66" spans="1:9" ht="15.75">
      <c r="A66" s="18"/>
      <c r="B66" s="18"/>
      <c r="C66" s="96" t="s">
        <v>172</v>
      </c>
      <c r="D66" s="18"/>
      <c r="E66" s="18"/>
      <c r="F66" s="18"/>
      <c r="G66" s="326"/>
      <c r="H66" s="326"/>
      <c r="I66" s="93"/>
    </row>
    <row r="67" spans="1:9" ht="12" customHeight="1">
      <c r="A67" s="18"/>
      <c r="B67" s="18"/>
      <c r="C67" s="15"/>
      <c r="D67" s="18"/>
      <c r="E67" s="18"/>
      <c r="F67" s="18"/>
      <c r="G67" s="314"/>
      <c r="H67" s="314"/>
      <c r="I67" s="93"/>
    </row>
    <row r="68" spans="1:9" ht="15.75">
      <c r="A68" s="99"/>
      <c r="B68" s="462" t="s">
        <v>124</v>
      </c>
      <c r="C68" s="462"/>
      <c r="D68" s="462"/>
      <c r="E68" s="462"/>
      <c r="F68" s="462"/>
      <c r="G68" s="407">
        <f>G40+G49+G61+G66</f>
        <v>25766000</v>
      </c>
      <c r="H68" s="407">
        <f>H40+H49+H61+H64</f>
        <v>28893846</v>
      </c>
      <c r="I68" s="103">
        <f>H68/G68*100</f>
        <v>112.13943180936117</v>
      </c>
    </row>
    <row r="69" spans="1:9" ht="12" customHeight="1">
      <c r="A69" s="18"/>
      <c r="B69" s="18"/>
      <c r="C69" s="18"/>
      <c r="D69" s="18"/>
      <c r="E69" s="18"/>
      <c r="F69" s="18"/>
      <c r="G69" s="314"/>
      <c r="H69" s="314"/>
      <c r="I69" s="93"/>
    </row>
    <row r="70" spans="1:9" ht="15.75">
      <c r="A70" s="99"/>
      <c r="B70" s="15" t="s">
        <v>59</v>
      </c>
      <c r="C70" s="462" t="s">
        <v>125</v>
      </c>
      <c r="D70" s="462"/>
      <c r="E70" s="462"/>
      <c r="F70" s="462"/>
      <c r="G70" s="415"/>
      <c r="H70" s="414"/>
      <c r="I70" s="93"/>
    </row>
    <row r="71" spans="1:9" ht="15.75">
      <c r="A71" s="18"/>
      <c r="B71" s="18"/>
      <c r="C71" s="18" t="s">
        <v>49</v>
      </c>
      <c r="D71" s="18" t="s">
        <v>126</v>
      </c>
      <c r="E71" s="18"/>
      <c r="F71" s="18"/>
      <c r="G71" s="405"/>
      <c r="H71" s="314">
        <f>756671+359998+359364</f>
        <v>1476033</v>
      </c>
      <c r="I71" s="93"/>
    </row>
    <row r="72" spans="1:9" ht="30" customHeight="1">
      <c r="A72" s="18"/>
      <c r="B72" s="18"/>
      <c r="C72" s="18" t="s">
        <v>29</v>
      </c>
      <c r="D72" s="486" t="s">
        <v>387</v>
      </c>
      <c r="E72" s="486"/>
      <c r="F72" s="486"/>
      <c r="G72" s="406">
        <v>46000</v>
      </c>
      <c r="H72" s="314">
        <v>46000</v>
      </c>
      <c r="I72" s="93"/>
    </row>
    <row r="73" spans="1:9" ht="15.75" customHeight="1">
      <c r="A73" s="18"/>
      <c r="B73" s="18"/>
      <c r="C73" s="18" t="s">
        <v>50</v>
      </c>
      <c r="D73" s="18" t="s">
        <v>550</v>
      </c>
      <c r="E73" s="18"/>
      <c r="F73" s="18"/>
      <c r="G73" s="416"/>
      <c r="H73" s="314">
        <v>189708</v>
      </c>
      <c r="I73" s="93"/>
    </row>
    <row r="74" spans="1:9" ht="15.75" customHeight="1">
      <c r="A74" s="99"/>
      <c r="B74" s="462" t="s">
        <v>127</v>
      </c>
      <c r="C74" s="462"/>
      <c r="D74" s="462"/>
      <c r="E74" s="462"/>
      <c r="F74" s="462"/>
      <c r="G74" s="407">
        <f>SUM(G71:G73)</f>
        <v>46000</v>
      </c>
      <c r="H74" s="408">
        <f>SUM(H71:H73)</f>
        <v>1711741</v>
      </c>
      <c r="I74" s="103"/>
    </row>
    <row r="75" spans="1:9" ht="12" customHeight="1">
      <c r="A75" s="18"/>
      <c r="B75" s="18"/>
      <c r="C75" s="18"/>
      <c r="D75" s="18"/>
      <c r="E75" s="18"/>
      <c r="F75" s="18"/>
      <c r="G75" s="314"/>
      <c r="H75" s="314"/>
      <c r="I75" s="93"/>
    </row>
    <row r="76" spans="1:9" ht="36" customHeight="1">
      <c r="A76" s="462" t="s">
        <v>128</v>
      </c>
      <c r="B76" s="462"/>
      <c r="C76" s="462"/>
      <c r="D76" s="462"/>
      <c r="E76" s="462"/>
      <c r="F76" s="462"/>
      <c r="G76" s="415">
        <f>G74+G68</f>
        <v>25812000</v>
      </c>
      <c r="H76" s="415">
        <f>H74+H68</f>
        <v>30605587</v>
      </c>
      <c r="I76" s="93">
        <f>H76/G76*100</f>
        <v>118.57115682628235</v>
      </c>
    </row>
    <row r="77" spans="1:9" ht="36" customHeight="1">
      <c r="A77" s="91"/>
      <c r="B77" s="91"/>
      <c r="C77" s="91"/>
      <c r="D77" s="91"/>
      <c r="E77" s="91"/>
      <c r="F77" s="91"/>
      <c r="G77" s="415"/>
      <c r="H77" s="415"/>
      <c r="I77" s="93"/>
    </row>
    <row r="78" spans="1:9" ht="12" customHeight="1">
      <c r="A78" s="18"/>
      <c r="B78" s="18"/>
      <c r="C78" s="18"/>
      <c r="D78" s="18"/>
      <c r="E78" s="18"/>
      <c r="F78" s="18"/>
      <c r="G78" s="314"/>
      <c r="H78" s="314"/>
      <c r="I78" s="93"/>
    </row>
    <row r="79" spans="1:9" s="60" customFormat="1" ht="15.75" customHeight="1">
      <c r="A79" s="15" t="s">
        <v>59</v>
      </c>
      <c r="B79" s="462" t="s">
        <v>129</v>
      </c>
      <c r="C79" s="462"/>
      <c r="D79" s="462"/>
      <c r="E79" s="462"/>
      <c r="F79" s="462"/>
      <c r="G79" s="415"/>
      <c r="H79" s="414"/>
      <c r="I79" s="93"/>
    </row>
    <row r="80" spans="1:9" ht="12" customHeight="1">
      <c r="A80" s="18"/>
      <c r="B80" s="18"/>
      <c r="C80" s="18"/>
      <c r="D80" s="18"/>
      <c r="E80" s="18"/>
      <c r="F80" s="18"/>
      <c r="G80" s="314"/>
      <c r="H80" s="314"/>
      <c r="I80" s="93"/>
    </row>
    <row r="81" spans="1:9" s="60" customFormat="1" ht="27.75" customHeight="1">
      <c r="A81" s="18"/>
      <c r="B81" s="15" t="s">
        <v>49</v>
      </c>
      <c r="C81" s="462" t="s">
        <v>130</v>
      </c>
      <c r="D81" s="462"/>
      <c r="E81" s="462"/>
      <c r="F81" s="462"/>
      <c r="G81" s="415"/>
      <c r="H81" s="414"/>
      <c r="I81" s="93"/>
    </row>
    <row r="82" spans="3:9" ht="35.25" customHeight="1">
      <c r="C82" s="51" t="s">
        <v>29</v>
      </c>
      <c r="D82" s="486" t="s">
        <v>178</v>
      </c>
      <c r="E82" s="486"/>
      <c r="F82" s="486"/>
      <c r="G82" s="413">
        <v>9743000</v>
      </c>
      <c r="H82" s="413"/>
      <c r="I82" s="10"/>
    </row>
    <row r="83" spans="1:9" ht="12" customHeight="1">
      <c r="A83" s="18"/>
      <c r="B83" s="18"/>
      <c r="C83" s="18"/>
      <c r="D83" s="18"/>
      <c r="E83" s="18"/>
      <c r="F83" s="18"/>
      <c r="G83" s="314"/>
      <c r="H83" s="314"/>
      <c r="I83" s="93"/>
    </row>
    <row r="84" spans="1:9" ht="15.75" customHeight="1">
      <c r="A84" s="99"/>
      <c r="B84" s="462" t="s">
        <v>131</v>
      </c>
      <c r="C84" s="462"/>
      <c r="D84" s="462"/>
      <c r="E84" s="462"/>
      <c r="F84" s="462"/>
      <c r="G84" s="412">
        <f>SUM(G82:G83)</f>
        <v>9743000</v>
      </c>
      <c r="H84" s="411">
        <f>SUM(H82:H83)</f>
        <v>0</v>
      </c>
      <c r="I84" s="93">
        <f>H84/G84*100</f>
        <v>0</v>
      </c>
    </row>
    <row r="85" spans="1:9" ht="12" customHeight="1">
      <c r="A85" s="18"/>
      <c r="B85" s="18"/>
      <c r="C85" s="18"/>
      <c r="D85" s="18"/>
      <c r="E85" s="18"/>
      <c r="F85" s="18"/>
      <c r="G85" s="314"/>
      <c r="H85" s="314"/>
      <c r="I85" s="93"/>
    </row>
    <row r="86" spans="1:9" ht="34.5" customHeight="1">
      <c r="A86" s="462" t="s">
        <v>132</v>
      </c>
      <c r="B86" s="462"/>
      <c r="C86" s="462"/>
      <c r="D86" s="462"/>
      <c r="E86" s="462"/>
      <c r="F86" s="462"/>
      <c r="G86" s="407">
        <f>G84</f>
        <v>9743000</v>
      </c>
      <c r="H86" s="410">
        <f>H84</f>
        <v>0</v>
      </c>
      <c r="I86" s="103">
        <f>H86/G86*100</f>
        <v>0</v>
      </c>
    </row>
    <row r="87" spans="1:9" ht="11.25" customHeight="1">
      <c r="A87" s="91"/>
      <c r="B87" s="91"/>
      <c r="C87" s="91"/>
      <c r="D87" s="91"/>
      <c r="E87" s="91"/>
      <c r="F87" s="91"/>
      <c r="G87" s="410"/>
      <c r="H87" s="410"/>
      <c r="I87" s="103"/>
    </row>
    <row r="88" spans="1:9" ht="12" customHeight="1">
      <c r="A88" s="18"/>
      <c r="B88" s="18"/>
      <c r="C88" s="18"/>
      <c r="D88" s="18"/>
      <c r="E88" s="18"/>
      <c r="F88" s="18"/>
      <c r="G88" s="314"/>
      <c r="H88" s="314"/>
      <c r="I88" s="93"/>
    </row>
    <row r="89" spans="1:9" ht="15.75">
      <c r="A89" s="15" t="s">
        <v>60</v>
      </c>
      <c r="B89" s="15" t="s">
        <v>133</v>
      </c>
      <c r="C89" s="15"/>
      <c r="D89" s="15"/>
      <c r="E89" s="15"/>
      <c r="F89" s="15"/>
      <c r="G89" s="16"/>
      <c r="H89" s="404"/>
      <c r="I89" s="93"/>
    </row>
    <row r="90" spans="1:9" ht="12" customHeight="1">
      <c r="A90" s="18"/>
      <c r="B90" s="18"/>
      <c r="C90" s="18"/>
      <c r="D90" s="18"/>
      <c r="E90" s="18"/>
      <c r="F90" s="18"/>
      <c r="G90" s="314"/>
      <c r="H90" s="314"/>
      <c r="I90" s="93"/>
    </row>
    <row r="91" spans="1:9" ht="15.75">
      <c r="A91" s="18"/>
      <c r="B91" s="18" t="s">
        <v>49</v>
      </c>
      <c r="C91" s="18" t="s">
        <v>134</v>
      </c>
      <c r="D91" s="18"/>
      <c r="E91" s="18"/>
      <c r="F91" s="18"/>
      <c r="G91" s="313"/>
      <c r="H91" s="314"/>
      <c r="I91" s="93"/>
    </row>
    <row r="92" spans="1:9" ht="15.75">
      <c r="A92" s="18"/>
      <c r="B92" s="18"/>
      <c r="C92" s="18" t="s">
        <v>49</v>
      </c>
      <c r="D92" s="18" t="s">
        <v>135</v>
      </c>
      <c r="E92" s="18"/>
      <c r="F92" s="18"/>
      <c r="G92" s="406">
        <v>1500000</v>
      </c>
      <c r="H92" s="314">
        <v>1500000</v>
      </c>
      <c r="I92" s="93">
        <f>H92/G92*100</f>
        <v>100</v>
      </c>
    </row>
    <row r="93" spans="1:9" ht="15.75">
      <c r="A93" s="15"/>
      <c r="B93" s="15" t="s">
        <v>29</v>
      </c>
      <c r="C93" s="15" t="s">
        <v>136</v>
      </c>
      <c r="D93" s="15"/>
      <c r="E93" s="15"/>
      <c r="F93" s="15"/>
      <c r="G93" s="409"/>
      <c r="H93" s="404"/>
      <c r="I93" s="93"/>
    </row>
    <row r="94" spans="1:9" s="9" customFormat="1" ht="15.75">
      <c r="A94" s="18"/>
      <c r="B94" s="18"/>
      <c r="C94" s="18" t="s">
        <v>49</v>
      </c>
      <c r="D94" s="18" t="s">
        <v>137</v>
      </c>
      <c r="E94" s="18"/>
      <c r="F94" s="18"/>
      <c r="G94" s="406">
        <v>3900000</v>
      </c>
      <c r="H94" s="314">
        <v>3900000</v>
      </c>
      <c r="I94" s="93">
        <f>H94/G94*100</f>
        <v>100</v>
      </c>
    </row>
    <row r="95" spans="1:9" ht="15.75">
      <c r="A95" s="15"/>
      <c r="B95" s="15" t="s">
        <v>50</v>
      </c>
      <c r="C95" s="15" t="s">
        <v>138</v>
      </c>
      <c r="D95" s="15"/>
      <c r="E95" s="15"/>
      <c r="F95" s="15"/>
      <c r="G95" s="406"/>
      <c r="H95" s="404"/>
      <c r="I95" s="93"/>
    </row>
    <row r="96" spans="1:9" ht="15.75">
      <c r="A96" s="18"/>
      <c r="B96" s="18"/>
      <c r="C96" s="18" t="s">
        <v>49</v>
      </c>
      <c r="D96" s="18" t="s">
        <v>139</v>
      </c>
      <c r="E96" s="18"/>
      <c r="F96" s="18"/>
      <c r="G96" s="406">
        <v>1913000</v>
      </c>
      <c r="H96" s="314">
        <v>1913000</v>
      </c>
      <c r="I96" s="93">
        <f>H96/G96*100</f>
        <v>100</v>
      </c>
    </row>
    <row r="97" spans="1:9" ht="15.75">
      <c r="A97" s="18"/>
      <c r="B97" s="15" t="s">
        <v>113</v>
      </c>
      <c r="C97" s="15" t="s">
        <v>140</v>
      </c>
      <c r="D97" s="18"/>
      <c r="E97" s="18"/>
      <c r="F97" s="18"/>
      <c r="G97" s="406"/>
      <c r="H97" s="314"/>
      <c r="I97" s="93"/>
    </row>
    <row r="98" spans="1:9" ht="15.75">
      <c r="A98" s="18"/>
      <c r="B98" s="18"/>
      <c r="C98" s="18" t="s">
        <v>49</v>
      </c>
      <c r="D98" s="18" t="s">
        <v>141</v>
      </c>
      <c r="E98" s="18"/>
      <c r="F98" s="18"/>
      <c r="G98" s="406">
        <v>140000</v>
      </c>
      <c r="H98" s="314">
        <v>140000</v>
      </c>
      <c r="I98" s="93">
        <f>H98/G98*100</f>
        <v>100</v>
      </c>
    </row>
    <row r="99" spans="1:9" ht="15.75">
      <c r="A99" s="18"/>
      <c r="B99" s="18"/>
      <c r="C99" s="18"/>
      <c r="D99" s="18"/>
      <c r="E99" s="18"/>
      <c r="F99" s="18"/>
      <c r="G99" s="405"/>
      <c r="H99" s="314"/>
      <c r="I99" s="93"/>
    </row>
    <row r="100" spans="1:9" ht="15.75">
      <c r="A100" s="18"/>
      <c r="B100" s="18"/>
      <c r="C100" s="18"/>
      <c r="D100" s="18"/>
      <c r="E100" s="18"/>
      <c r="F100" s="18"/>
      <c r="G100" s="405"/>
      <c r="H100" s="314"/>
      <c r="I100" s="93"/>
    </row>
    <row r="101" spans="1:9" ht="15.75">
      <c r="A101" s="18"/>
      <c r="B101" s="18"/>
      <c r="C101" s="18"/>
      <c r="D101" s="18"/>
      <c r="E101" s="18"/>
      <c r="F101" s="18"/>
      <c r="G101" s="405"/>
      <c r="H101" s="314"/>
      <c r="I101" s="93"/>
    </row>
    <row r="102" spans="1:9" ht="15.75">
      <c r="A102" s="18"/>
      <c r="B102" s="18"/>
      <c r="C102" s="18"/>
      <c r="D102" s="18"/>
      <c r="E102" s="18"/>
      <c r="F102" s="18"/>
      <c r="G102" s="405"/>
      <c r="H102" s="314"/>
      <c r="I102" s="93"/>
    </row>
    <row r="103" spans="1:9" ht="16.5" thickBot="1">
      <c r="A103" s="18"/>
      <c r="B103" s="18"/>
      <c r="C103" s="18"/>
      <c r="D103" s="18"/>
      <c r="E103" s="18"/>
      <c r="F103" s="18"/>
      <c r="G103" s="316"/>
      <c r="H103" s="319"/>
      <c r="I103" s="93"/>
    </row>
    <row r="104" spans="1:9" ht="15.75" customHeight="1">
      <c r="A104" s="294" t="s">
        <v>21</v>
      </c>
      <c r="B104" s="271"/>
      <c r="C104" s="271"/>
      <c r="D104" s="271"/>
      <c r="E104" s="271"/>
      <c r="F104" s="272"/>
      <c r="G104" s="322" t="s">
        <v>19</v>
      </c>
      <c r="H104" s="322" t="s">
        <v>19</v>
      </c>
      <c r="I104" s="98" t="s">
        <v>20</v>
      </c>
    </row>
    <row r="105" spans="1:9" ht="15.75">
      <c r="A105" s="273"/>
      <c r="B105" s="99"/>
      <c r="C105" s="99"/>
      <c r="D105" s="99"/>
      <c r="E105" s="99"/>
      <c r="F105" s="274"/>
      <c r="G105" s="321" t="s">
        <v>10</v>
      </c>
      <c r="H105" s="321" t="s">
        <v>10</v>
      </c>
      <c r="I105" s="58"/>
    </row>
    <row r="106" spans="1:9" s="60" customFormat="1" ht="15.75" customHeight="1" thickBot="1">
      <c r="A106" s="277"/>
      <c r="B106" s="275"/>
      <c r="C106" s="275"/>
      <c r="D106" s="275"/>
      <c r="E106" s="275"/>
      <c r="F106" s="276"/>
      <c r="G106" s="320" t="s">
        <v>171</v>
      </c>
      <c r="H106" s="320" t="s">
        <v>497</v>
      </c>
      <c r="I106" s="59" t="s">
        <v>22</v>
      </c>
    </row>
    <row r="107" spans="1:9" ht="15.75">
      <c r="A107" s="18"/>
      <c r="B107" s="18"/>
      <c r="C107" s="15" t="s">
        <v>29</v>
      </c>
      <c r="D107" s="18" t="s">
        <v>93</v>
      </c>
      <c r="E107" s="18"/>
      <c r="F107" s="18"/>
      <c r="G107" s="402">
        <v>280000</v>
      </c>
      <c r="H107" s="314">
        <v>280000</v>
      </c>
      <c r="I107" s="93">
        <f>H107/G107*100</f>
        <v>100</v>
      </c>
    </row>
    <row r="108" spans="1:9" ht="15.75">
      <c r="A108" s="15"/>
      <c r="B108" s="15" t="s">
        <v>115</v>
      </c>
      <c r="C108" s="15" t="s">
        <v>142</v>
      </c>
      <c r="D108" s="15"/>
      <c r="E108" s="15"/>
      <c r="F108" s="15"/>
      <c r="G108" s="402"/>
      <c r="H108" s="404"/>
      <c r="I108" s="93"/>
    </row>
    <row r="109" spans="1:9" ht="15.75">
      <c r="A109" s="18"/>
      <c r="B109" s="18"/>
      <c r="C109" s="15" t="s">
        <v>49</v>
      </c>
      <c r="D109" s="18" t="s">
        <v>143</v>
      </c>
      <c r="E109" s="18"/>
      <c r="F109" s="18"/>
      <c r="G109" s="402">
        <v>5000</v>
      </c>
      <c r="H109" s="314">
        <v>5000</v>
      </c>
      <c r="I109" s="93">
        <f>H109/G109*100</f>
        <v>100</v>
      </c>
    </row>
    <row r="110" spans="1:9" ht="15.75" customHeight="1">
      <c r="A110" s="99"/>
      <c r="B110" s="99"/>
      <c r="C110" s="99" t="s">
        <v>50</v>
      </c>
      <c r="D110" s="102" t="s">
        <v>142</v>
      </c>
      <c r="E110" s="99"/>
      <c r="F110" s="99"/>
      <c r="G110" s="402"/>
      <c r="H110" s="405"/>
      <c r="I110" s="93"/>
    </row>
    <row r="111" spans="1:9" ht="15.75">
      <c r="A111" s="18"/>
      <c r="B111" s="18"/>
      <c r="C111" s="15" t="s">
        <v>113</v>
      </c>
      <c r="D111" s="18" t="s">
        <v>144</v>
      </c>
      <c r="E111" s="18"/>
      <c r="F111" s="18"/>
      <c r="G111" s="402">
        <v>75000</v>
      </c>
      <c r="H111" s="314">
        <v>75000</v>
      </c>
      <c r="I111" s="93">
        <f>H111/G111*100</f>
        <v>100</v>
      </c>
    </row>
    <row r="112" spans="1:9" ht="9" customHeight="1">
      <c r="A112" s="99"/>
      <c r="B112" s="99"/>
      <c r="C112" s="99"/>
      <c r="D112" s="99"/>
      <c r="E112" s="99"/>
      <c r="F112" s="99"/>
      <c r="G112" s="402"/>
      <c r="H112" s="405"/>
      <c r="I112" s="93"/>
    </row>
    <row r="113" spans="1:9" s="9" customFormat="1" ht="15.75">
      <c r="A113" s="15" t="s">
        <v>79</v>
      </c>
      <c r="B113" s="99"/>
      <c r="C113" s="99"/>
      <c r="D113" s="99"/>
      <c r="E113" s="99"/>
      <c r="F113" s="99"/>
      <c r="G113" s="408">
        <f>G92+G94+G96+G98+G107+G109+G110+G111</f>
        <v>7813000</v>
      </c>
      <c r="H113" s="407">
        <f>H92+H94+H96+H98+H107+H109+H110+H111</f>
        <v>7813000</v>
      </c>
      <c r="I113" s="103">
        <f>H113/G113*100</f>
        <v>100</v>
      </c>
    </row>
    <row r="114" spans="1:9" ht="9" customHeight="1">
      <c r="A114" s="99"/>
      <c r="B114" s="99"/>
      <c r="C114" s="99"/>
      <c r="D114" s="99"/>
      <c r="E114" s="99"/>
      <c r="F114" s="99"/>
      <c r="G114" s="405"/>
      <c r="H114" s="405"/>
      <c r="I114" s="93"/>
    </row>
    <row r="115" spans="1:9" ht="15.75">
      <c r="A115" s="15" t="s">
        <v>145</v>
      </c>
      <c r="B115" s="15" t="s">
        <v>62</v>
      </c>
      <c r="C115" s="15"/>
      <c r="D115" s="15"/>
      <c r="E115" s="15"/>
      <c r="F115" s="15"/>
      <c r="G115" s="16"/>
      <c r="H115" s="404"/>
      <c r="I115" s="93"/>
    </row>
    <row r="116" spans="1:9" ht="9" customHeight="1">
      <c r="A116" s="99"/>
      <c r="B116" s="99"/>
      <c r="C116" s="99"/>
      <c r="D116" s="99"/>
      <c r="E116" s="99"/>
      <c r="F116" s="99"/>
      <c r="G116" s="405"/>
      <c r="H116" s="405"/>
      <c r="I116" s="93"/>
    </row>
    <row r="117" spans="1:9" ht="15.75">
      <c r="A117" s="99"/>
      <c r="B117" s="99" t="s">
        <v>49</v>
      </c>
      <c r="C117" s="476" t="s">
        <v>146</v>
      </c>
      <c r="D117" s="476"/>
      <c r="E117" s="476"/>
      <c r="F117" s="476"/>
      <c r="G117" s="405"/>
      <c r="H117" s="405"/>
      <c r="I117" s="93"/>
    </row>
    <row r="118" spans="1:9" ht="15.75">
      <c r="A118" s="99"/>
      <c r="B118" s="99"/>
      <c r="C118" s="99" t="s">
        <v>49</v>
      </c>
      <c r="D118" s="102" t="s">
        <v>157</v>
      </c>
      <c r="E118" s="102"/>
      <c r="F118" s="102"/>
      <c r="G118" s="406">
        <v>180000</v>
      </c>
      <c r="H118" s="406">
        <v>187000</v>
      </c>
      <c r="I118" s="93">
        <f>H118/G118*100</f>
        <v>103.8888888888889</v>
      </c>
    </row>
    <row r="119" spans="1:9" ht="15.75">
      <c r="A119" s="99"/>
      <c r="B119" s="99"/>
      <c r="C119" s="99" t="s">
        <v>29</v>
      </c>
      <c r="D119" s="102" t="s">
        <v>149</v>
      </c>
      <c r="E119" s="102"/>
      <c r="F119" s="102"/>
      <c r="G119" s="405"/>
      <c r="H119" s="406"/>
      <c r="I119" s="93"/>
    </row>
    <row r="120" spans="1:9" ht="15.75">
      <c r="A120" s="99"/>
      <c r="B120" s="99"/>
      <c r="C120" s="99"/>
      <c r="D120" s="102" t="s">
        <v>49</v>
      </c>
      <c r="E120" s="102" t="s">
        <v>150</v>
      </c>
      <c r="F120" s="102"/>
      <c r="G120" s="406">
        <v>20000</v>
      </c>
      <c r="H120" s="406">
        <v>20000</v>
      </c>
      <c r="I120" s="93">
        <f>H120/G120*100</f>
        <v>100</v>
      </c>
    </row>
    <row r="121" spans="1:9" ht="15.75">
      <c r="A121" s="99"/>
      <c r="B121" s="99"/>
      <c r="C121" s="99"/>
      <c r="D121" s="102" t="s">
        <v>29</v>
      </c>
      <c r="E121" s="102" t="s">
        <v>151</v>
      </c>
      <c r="F121" s="102"/>
      <c r="G121" s="406">
        <v>820000</v>
      </c>
      <c r="H121" s="406">
        <v>820000</v>
      </c>
      <c r="I121" s="93">
        <f>H121/G121*100</f>
        <v>100</v>
      </c>
    </row>
    <row r="122" spans="1:9" ht="15.75">
      <c r="A122" s="99"/>
      <c r="B122" s="99"/>
      <c r="C122" s="99"/>
      <c r="D122" s="102" t="s">
        <v>50</v>
      </c>
      <c r="E122" s="102" t="s">
        <v>152</v>
      </c>
      <c r="F122" s="102"/>
      <c r="G122" s="406">
        <v>2000</v>
      </c>
      <c r="H122" s="406">
        <v>2000</v>
      </c>
      <c r="I122" s="93">
        <f>H122/G122*100</f>
        <v>100</v>
      </c>
    </row>
    <row r="123" spans="1:9" ht="15.75">
      <c r="A123" s="99"/>
      <c r="B123" s="99"/>
      <c r="C123" s="99"/>
      <c r="D123" s="102" t="s">
        <v>113</v>
      </c>
      <c r="E123" s="102" t="s">
        <v>80</v>
      </c>
      <c r="F123" s="102"/>
      <c r="G123" s="406">
        <v>1000</v>
      </c>
      <c r="H123" s="406">
        <v>1000</v>
      </c>
      <c r="I123" s="93">
        <f>H123/G123*100</f>
        <v>100</v>
      </c>
    </row>
    <row r="124" spans="1:9" ht="15.75">
      <c r="A124" s="99"/>
      <c r="B124" s="99"/>
      <c r="C124" s="99"/>
      <c r="D124" s="102" t="s">
        <v>115</v>
      </c>
      <c r="E124" s="102" t="s">
        <v>153</v>
      </c>
      <c r="F124" s="102"/>
      <c r="G124" s="406">
        <v>85000</v>
      </c>
      <c r="H124" s="406">
        <v>85000</v>
      </c>
      <c r="I124" s="93">
        <f>H124/G124*100</f>
        <v>100</v>
      </c>
    </row>
    <row r="125" spans="1:9" ht="15.75">
      <c r="A125" s="99"/>
      <c r="B125" s="99"/>
      <c r="C125" s="99" t="s">
        <v>50</v>
      </c>
      <c r="D125" s="102" t="s">
        <v>180</v>
      </c>
      <c r="E125" s="102"/>
      <c r="F125" s="102"/>
      <c r="G125" s="406"/>
      <c r="H125" s="406"/>
      <c r="I125" s="93"/>
    </row>
    <row r="126" spans="1:9" ht="15.75">
      <c r="A126" s="99"/>
      <c r="B126" s="99"/>
      <c r="D126" s="99" t="s">
        <v>49</v>
      </c>
      <c r="E126" s="102" t="s">
        <v>147</v>
      </c>
      <c r="F126" s="99"/>
      <c r="G126" s="406">
        <v>40000</v>
      </c>
      <c r="H126" s="406">
        <v>40000</v>
      </c>
      <c r="I126" s="93">
        <f>H126/G126*100</f>
        <v>100</v>
      </c>
    </row>
    <row r="127" spans="1:9" ht="15.75">
      <c r="A127" s="99"/>
      <c r="B127" s="99"/>
      <c r="D127" s="99" t="s">
        <v>29</v>
      </c>
      <c r="E127" s="102" t="s">
        <v>148</v>
      </c>
      <c r="F127" s="102"/>
      <c r="G127" s="406">
        <v>1149000</v>
      </c>
      <c r="H127" s="406">
        <v>385000</v>
      </c>
      <c r="I127" s="93">
        <f>H127/G127*100</f>
        <v>33.507397737162755</v>
      </c>
    </row>
    <row r="128" spans="4:9" ht="15.75">
      <c r="D128" s="51" t="s">
        <v>50</v>
      </c>
      <c r="E128" s="102" t="s">
        <v>81</v>
      </c>
      <c r="G128" s="406">
        <v>340000</v>
      </c>
      <c r="H128" s="406">
        <v>661000</v>
      </c>
      <c r="I128" s="93">
        <f>H128/G128*100</f>
        <v>194.41176470588235</v>
      </c>
    </row>
    <row r="129" spans="1:9" ht="15.75">
      <c r="A129" s="99"/>
      <c r="B129" s="99" t="s">
        <v>29</v>
      </c>
      <c r="C129" s="102" t="s">
        <v>154</v>
      </c>
      <c r="D129" s="102"/>
      <c r="E129" s="102"/>
      <c r="F129" s="102"/>
      <c r="G129" s="406"/>
      <c r="H129" s="406"/>
      <c r="I129" s="93"/>
    </row>
    <row r="130" spans="1:9" ht="15.75">
      <c r="A130" s="99"/>
      <c r="B130" s="99"/>
      <c r="C130" s="99" t="s">
        <v>49</v>
      </c>
      <c r="D130" s="102" t="s">
        <v>155</v>
      </c>
      <c r="E130" s="102"/>
      <c r="F130" s="102"/>
      <c r="G130" s="406">
        <v>2593000</v>
      </c>
      <c r="H130" s="406">
        <v>4099000</v>
      </c>
      <c r="I130" s="93">
        <f>H130/G130*100</f>
        <v>158.0794446586965</v>
      </c>
    </row>
    <row r="131" spans="1:9" ht="15.75">
      <c r="A131" s="99"/>
      <c r="B131" s="99" t="s">
        <v>50</v>
      </c>
      <c r="C131" s="102" t="s">
        <v>156</v>
      </c>
      <c r="D131" s="102"/>
      <c r="E131" s="102"/>
      <c r="F131" s="102"/>
      <c r="G131" s="406"/>
      <c r="H131" s="406"/>
      <c r="I131" s="93"/>
    </row>
    <row r="132" spans="1:9" ht="15.75">
      <c r="A132" s="99"/>
      <c r="B132" s="99"/>
      <c r="C132" s="99" t="s">
        <v>49</v>
      </c>
      <c r="D132" s="102" t="s">
        <v>91</v>
      </c>
      <c r="E132" s="102"/>
      <c r="F132" s="102"/>
      <c r="G132" s="406">
        <v>1107000</v>
      </c>
      <c r="H132" s="406">
        <v>1249000</v>
      </c>
      <c r="I132" s="93">
        <f>H132/G132*100</f>
        <v>112.8274616079494</v>
      </c>
    </row>
    <row r="133" spans="1:9" ht="15.75">
      <c r="A133" s="99"/>
      <c r="B133" s="99" t="s">
        <v>113</v>
      </c>
      <c r="C133" s="102" t="s">
        <v>158</v>
      </c>
      <c r="D133" s="99"/>
      <c r="E133" s="99"/>
      <c r="F133" s="99"/>
      <c r="G133" s="406">
        <v>1489000</v>
      </c>
      <c r="H133" s="406">
        <f>337000+178000+50000+104000+1107000+11000+29000</f>
        <v>1816000</v>
      </c>
      <c r="I133" s="93">
        <f>H133/G133*100</f>
        <v>121.96104768300873</v>
      </c>
    </row>
    <row r="134" spans="1:9" ht="15.75">
      <c r="A134" s="99"/>
      <c r="B134" s="99" t="s">
        <v>115</v>
      </c>
      <c r="C134" s="102" t="s">
        <v>159</v>
      </c>
      <c r="D134" s="99"/>
      <c r="E134" s="99"/>
      <c r="F134" s="99"/>
      <c r="G134" s="406">
        <v>1409000</v>
      </c>
      <c r="H134" s="406">
        <f>115000+1107000+80000+239000</f>
        <v>1541000</v>
      </c>
      <c r="I134" s="93">
        <f>H134/G134*100</f>
        <v>109.36834634492547</v>
      </c>
    </row>
    <row r="135" spans="1:9" ht="15.75">
      <c r="A135" s="99"/>
      <c r="B135" s="99" t="s">
        <v>121</v>
      </c>
      <c r="C135" s="102" t="s">
        <v>160</v>
      </c>
      <c r="D135" s="99"/>
      <c r="E135" s="99"/>
      <c r="F135" s="99"/>
      <c r="G135" s="406">
        <v>2000</v>
      </c>
      <c r="H135" s="406">
        <v>2000</v>
      </c>
      <c r="I135" s="93">
        <f>H135/G135*100</f>
        <v>100</v>
      </c>
    </row>
    <row r="136" spans="1:9" ht="9" customHeight="1">
      <c r="A136" s="99"/>
      <c r="B136" s="99"/>
      <c r="C136" s="99"/>
      <c r="D136" s="99"/>
      <c r="E136" s="99"/>
      <c r="F136" s="99"/>
      <c r="G136" s="406"/>
      <c r="H136" s="406"/>
      <c r="I136" s="93"/>
    </row>
    <row r="137" spans="1:9" ht="15.75">
      <c r="A137" s="15" t="s">
        <v>23</v>
      </c>
      <c r="B137" s="99"/>
      <c r="C137" s="99"/>
      <c r="D137" s="99"/>
      <c r="E137" s="99"/>
      <c r="F137" s="99"/>
      <c r="G137" s="407">
        <f>SUM(G117:G136)</f>
        <v>9237000</v>
      </c>
      <c r="H137" s="407">
        <f>SUM(H117:H136)</f>
        <v>10908000</v>
      </c>
      <c r="I137" s="103">
        <f>H137/G137*100</f>
        <v>118.09028905488795</v>
      </c>
    </row>
    <row r="138" spans="1:9" ht="9" customHeight="1">
      <c r="A138" s="99"/>
      <c r="B138" s="99"/>
      <c r="C138" s="99"/>
      <c r="D138" s="99"/>
      <c r="E138" s="99"/>
      <c r="F138" s="99"/>
      <c r="G138" s="406"/>
      <c r="H138" s="405"/>
      <c r="I138" s="93"/>
    </row>
    <row r="139" spans="1:9" ht="15.75">
      <c r="A139" s="15" t="s">
        <v>67</v>
      </c>
      <c r="B139" s="15" t="s">
        <v>161</v>
      </c>
      <c r="C139" s="15"/>
      <c r="D139" s="15"/>
      <c r="E139" s="15"/>
      <c r="F139" s="15"/>
      <c r="G139" s="16"/>
      <c r="H139" s="404"/>
      <c r="I139" s="93"/>
    </row>
    <row r="140" spans="1:9" ht="15.75">
      <c r="A140" s="18"/>
      <c r="B140" s="18" t="s">
        <v>49</v>
      </c>
      <c r="C140" s="228" t="s">
        <v>162</v>
      </c>
      <c r="D140" s="100"/>
      <c r="E140" s="100"/>
      <c r="F140" s="100"/>
      <c r="G140" s="94"/>
      <c r="H140" s="317"/>
      <c r="I140" s="93"/>
    </row>
    <row r="141" spans="1:9" ht="30" customHeight="1">
      <c r="A141" s="18"/>
      <c r="B141" s="18"/>
      <c r="C141" s="100" t="s">
        <v>49</v>
      </c>
      <c r="D141" s="464" t="s">
        <v>163</v>
      </c>
      <c r="E141" s="464"/>
      <c r="F141" s="464"/>
      <c r="G141" s="402">
        <v>92000</v>
      </c>
      <c r="H141" s="315">
        <v>62000</v>
      </c>
      <c r="I141" s="93">
        <f>H141/G141*100</f>
        <v>67.3913043478261</v>
      </c>
    </row>
    <row r="142" spans="1:9" ht="30" customHeight="1">
      <c r="A142" s="18"/>
      <c r="B142" s="18"/>
      <c r="C142" s="100" t="s">
        <v>29</v>
      </c>
      <c r="D142" s="464" t="s">
        <v>179</v>
      </c>
      <c r="E142" s="464"/>
      <c r="F142" s="464"/>
      <c r="G142" s="402">
        <v>26215000</v>
      </c>
      <c r="H142" s="315"/>
      <c r="I142" s="93"/>
    </row>
    <row r="143" spans="1:9" ht="9" customHeight="1">
      <c r="A143" s="99"/>
      <c r="B143" s="99"/>
      <c r="C143" s="99"/>
      <c r="D143" s="18"/>
      <c r="E143" s="99"/>
      <c r="F143" s="99"/>
      <c r="G143" s="402"/>
      <c r="H143" s="402"/>
      <c r="I143" s="93"/>
    </row>
    <row r="144" spans="1:9" ht="15.75">
      <c r="A144" s="487" t="s">
        <v>164</v>
      </c>
      <c r="B144" s="487"/>
      <c r="C144" s="487"/>
      <c r="D144" s="487"/>
      <c r="E144" s="487"/>
      <c r="F144" s="487"/>
      <c r="G144" s="397">
        <f>SUM(G141:G143)</f>
        <v>26307000</v>
      </c>
      <c r="H144" s="397">
        <f>SUM(H141:H143)</f>
        <v>62000</v>
      </c>
      <c r="I144" s="103">
        <f>H144/G144*100</f>
        <v>0.2356787166913749</v>
      </c>
    </row>
    <row r="145" spans="1:9" ht="9" customHeight="1">
      <c r="A145" s="99"/>
      <c r="B145" s="99"/>
      <c r="C145" s="99"/>
      <c r="D145" s="99"/>
      <c r="E145" s="99"/>
      <c r="F145" s="99"/>
      <c r="G145" s="402"/>
      <c r="H145" s="402"/>
      <c r="I145" s="93"/>
    </row>
    <row r="146" spans="1:9" ht="16.5">
      <c r="A146" s="105" t="s">
        <v>165</v>
      </c>
      <c r="B146" s="105"/>
      <c r="C146" s="105"/>
      <c r="D146" s="105"/>
      <c r="E146" s="105"/>
      <c r="F146" s="105"/>
      <c r="G146" s="397">
        <f>G144+G137+G113+G86+G76</f>
        <v>78912000</v>
      </c>
      <c r="H146" s="397">
        <f>H144+H137+H113+H86+H76</f>
        <v>49388587</v>
      </c>
      <c r="I146" s="103">
        <f>H146/G146*100</f>
        <v>62.58691580494728</v>
      </c>
    </row>
    <row r="147" spans="1:9" ht="16.5">
      <c r="A147" s="105"/>
      <c r="B147" s="105"/>
      <c r="C147" s="105"/>
      <c r="D147" s="105"/>
      <c r="E147" s="105"/>
      <c r="F147" s="105"/>
      <c r="G147" s="403"/>
      <c r="H147" s="403"/>
      <c r="I147" s="103"/>
    </row>
    <row r="148" spans="1:9" ht="15.75">
      <c r="A148" s="106" t="s">
        <v>166</v>
      </c>
      <c r="B148" s="462" t="s">
        <v>167</v>
      </c>
      <c r="C148" s="462"/>
      <c r="D148" s="462"/>
      <c r="E148" s="462"/>
      <c r="F148" s="462"/>
      <c r="G148" s="397"/>
      <c r="H148" s="315"/>
      <c r="I148" s="93"/>
    </row>
    <row r="149" spans="1:9" ht="15.75">
      <c r="A149" s="15"/>
      <c r="B149" s="91" t="s">
        <v>49</v>
      </c>
      <c r="C149" s="462" t="s">
        <v>168</v>
      </c>
      <c r="D149" s="462"/>
      <c r="E149" s="462"/>
      <c r="F149" s="462"/>
      <c r="G149" s="402"/>
      <c r="H149" s="315"/>
      <c r="I149" s="93"/>
    </row>
    <row r="150" spans="1:9" ht="15.75">
      <c r="A150" s="15"/>
      <c r="B150" s="91"/>
      <c r="C150" s="100" t="s">
        <v>49</v>
      </c>
      <c r="D150" s="464" t="s">
        <v>169</v>
      </c>
      <c r="E150" s="464"/>
      <c r="F150" s="464"/>
      <c r="G150" s="402">
        <v>1115000</v>
      </c>
      <c r="H150" s="315">
        <v>70404000</v>
      </c>
      <c r="I150" s="93">
        <f>H150/G150*100</f>
        <v>6314.260089686099</v>
      </c>
    </row>
    <row r="151" spans="1:9" ht="15.75">
      <c r="A151" s="18"/>
      <c r="B151" s="18"/>
      <c r="C151" s="18"/>
      <c r="D151" s="18"/>
      <c r="E151" s="18"/>
      <c r="F151" s="18"/>
      <c r="G151" s="400"/>
      <c r="H151" s="401"/>
      <c r="I151" s="93"/>
    </row>
    <row r="152" spans="1:9" ht="16.5">
      <c r="A152" s="105" t="s">
        <v>167</v>
      </c>
      <c r="B152" s="105"/>
      <c r="C152" s="105"/>
      <c r="D152" s="105"/>
      <c r="E152" s="105"/>
      <c r="F152" s="105"/>
      <c r="G152" s="398">
        <f>G150</f>
        <v>1115000</v>
      </c>
      <c r="H152" s="397">
        <f>H150</f>
        <v>70404000</v>
      </c>
      <c r="I152" s="93">
        <f>H152/G152*100</f>
        <v>6314.260089686099</v>
      </c>
    </row>
    <row r="153" spans="1:9" ht="15.75">
      <c r="A153" s="18"/>
      <c r="B153" s="18"/>
      <c r="C153" s="18"/>
      <c r="D153" s="18"/>
      <c r="E153" s="18"/>
      <c r="F153" s="18"/>
      <c r="G153" s="400"/>
      <c r="H153" s="399"/>
      <c r="I153" s="93"/>
    </row>
    <row r="154" spans="1:9" ht="18.75">
      <c r="A154" s="17" t="s">
        <v>170</v>
      </c>
      <c r="B154" s="17"/>
      <c r="C154" s="17"/>
      <c r="D154" s="17"/>
      <c r="E154" s="17"/>
      <c r="F154" s="17"/>
      <c r="G154" s="398">
        <f>G146+G152</f>
        <v>80027000</v>
      </c>
      <c r="H154" s="397">
        <f>H146+H152</f>
        <v>119792587</v>
      </c>
      <c r="I154" s="103">
        <f>H154/G154*100</f>
        <v>149.69021330301024</v>
      </c>
    </row>
  </sheetData>
  <sheetProtection/>
  <mergeCells count="35">
    <mergeCell ref="D42:F42"/>
    <mergeCell ref="A5:I5"/>
    <mergeCell ref="B16:F16"/>
    <mergeCell ref="A11:F13"/>
    <mergeCell ref="A6:I6"/>
    <mergeCell ref="A7:I7"/>
    <mergeCell ref="A8:I8"/>
    <mergeCell ref="D57:F57"/>
    <mergeCell ref="E58:F58"/>
    <mergeCell ref="C61:F61"/>
    <mergeCell ref="E64:F64"/>
    <mergeCell ref="D18:F18"/>
    <mergeCell ref="C49:F49"/>
    <mergeCell ref="A53:F55"/>
    <mergeCell ref="E19:F19"/>
    <mergeCell ref="D35:F35"/>
    <mergeCell ref="D40:F40"/>
    <mergeCell ref="B84:F84"/>
    <mergeCell ref="D82:F82"/>
    <mergeCell ref="C81:F81"/>
    <mergeCell ref="B79:F79"/>
    <mergeCell ref="B74:F74"/>
    <mergeCell ref="B68:F68"/>
    <mergeCell ref="C70:F70"/>
    <mergeCell ref="D72:F72"/>
    <mergeCell ref="C149:F149"/>
    <mergeCell ref="D150:F150"/>
    <mergeCell ref="E44:F44"/>
    <mergeCell ref="D142:F142"/>
    <mergeCell ref="D141:F141"/>
    <mergeCell ref="A144:F144"/>
    <mergeCell ref="B148:F148"/>
    <mergeCell ref="A76:F76"/>
    <mergeCell ref="C117:F117"/>
    <mergeCell ref="A86:F86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9.125" style="168" customWidth="1"/>
    <col min="2" max="2" width="61.125" style="168" customWidth="1"/>
    <col min="3" max="6" width="26.25390625" style="168" customWidth="1"/>
    <col min="7" max="16384" width="9.125" style="168" customWidth="1"/>
  </cols>
  <sheetData>
    <row r="2" spans="1:6" s="163" customFormat="1" ht="15.75">
      <c r="A2" s="128"/>
      <c r="C2" s="164"/>
      <c r="D2" s="338"/>
      <c r="E2" s="338"/>
      <c r="F2" s="338"/>
    </row>
    <row r="3" spans="1:6" s="163" customFormat="1" ht="15.75">
      <c r="A3" s="128"/>
      <c r="C3" s="164"/>
      <c r="D3" s="338"/>
      <c r="E3" s="338"/>
      <c r="F3" s="338"/>
    </row>
    <row r="4" spans="1:6" s="163" customFormat="1" ht="15.75">
      <c r="A4" s="128" t="s">
        <v>517</v>
      </c>
      <c r="C4" s="164"/>
      <c r="D4" s="338"/>
      <c r="E4" s="338"/>
      <c r="F4" s="338"/>
    </row>
    <row r="5" spans="2:6" s="66" customFormat="1" ht="15" customHeight="1">
      <c r="B5" s="508"/>
      <c r="C5" s="508"/>
      <c r="D5" s="508"/>
      <c r="E5" s="508"/>
      <c r="F5" s="508"/>
    </row>
    <row r="6" spans="3:6" s="165" customFormat="1" ht="15" customHeight="1">
      <c r="C6" s="166"/>
      <c r="D6" s="337"/>
      <c r="E6" s="337"/>
      <c r="F6" s="337"/>
    </row>
    <row r="7" spans="2:6" s="126" customFormat="1" ht="15" customHeight="1">
      <c r="B7" s="463" t="s">
        <v>46</v>
      </c>
      <c r="C7" s="463"/>
      <c r="D7" s="463"/>
      <c r="E7" s="463"/>
      <c r="F7" s="463"/>
    </row>
    <row r="8" spans="2:6" s="126" customFormat="1" ht="15.75">
      <c r="B8" s="509" t="s">
        <v>315</v>
      </c>
      <c r="C8" s="509"/>
      <c r="D8" s="509"/>
      <c r="E8" s="509"/>
      <c r="F8" s="509"/>
    </row>
    <row r="9" spans="2:6" s="126" customFormat="1" ht="15" customHeight="1">
      <c r="B9" s="463" t="s">
        <v>472</v>
      </c>
      <c r="C9" s="463"/>
      <c r="D9" s="463"/>
      <c r="E9" s="463"/>
      <c r="F9" s="463"/>
    </row>
    <row r="10" spans="2:6" s="163" customFormat="1" ht="12" customHeight="1" thickBot="1">
      <c r="B10" s="164"/>
      <c r="C10" s="167"/>
      <c r="D10" s="336"/>
      <c r="E10" s="336"/>
      <c r="F10" s="750" t="s">
        <v>551</v>
      </c>
    </row>
    <row r="11" spans="1:6" s="163" customFormat="1" ht="16.5" customHeight="1" thickBot="1">
      <c r="A11" s="488" t="s">
        <v>204</v>
      </c>
      <c r="B11" s="491" t="s">
        <v>205</v>
      </c>
      <c r="C11" s="494" t="s">
        <v>316</v>
      </c>
      <c r="D11" s="497" t="s">
        <v>317</v>
      </c>
      <c r="E11" s="497"/>
      <c r="F11" s="498"/>
    </row>
    <row r="12" spans="1:6" s="163" customFormat="1" ht="33" customHeight="1" thickBot="1">
      <c r="A12" s="489"/>
      <c r="B12" s="492"/>
      <c r="C12" s="495"/>
      <c r="D12" s="333" t="s">
        <v>318</v>
      </c>
      <c r="E12" s="335" t="s">
        <v>319</v>
      </c>
      <c r="F12" s="334" t="s">
        <v>320</v>
      </c>
    </row>
    <row r="13" spans="1:6" s="163" customFormat="1" ht="22.5" customHeight="1">
      <c r="A13" s="489"/>
      <c r="B13" s="492"/>
      <c r="C13" s="495"/>
      <c r="D13" s="499" t="s">
        <v>321</v>
      </c>
      <c r="E13" s="500"/>
      <c r="F13" s="501"/>
    </row>
    <row r="14" spans="1:6" ht="12.75">
      <c r="A14" s="489"/>
      <c r="B14" s="492"/>
      <c r="C14" s="495"/>
      <c r="D14" s="502"/>
      <c r="E14" s="503"/>
      <c r="F14" s="504"/>
    </row>
    <row r="15" spans="1:6" ht="3" customHeight="1" thickBot="1">
      <c r="A15" s="490"/>
      <c r="B15" s="493"/>
      <c r="C15" s="496"/>
      <c r="D15" s="505"/>
      <c r="E15" s="506"/>
      <c r="F15" s="507"/>
    </row>
    <row r="16" spans="1:6" ht="30">
      <c r="A16" s="169" t="s">
        <v>221</v>
      </c>
      <c r="B16" s="170" t="s">
        <v>222</v>
      </c>
      <c r="C16" s="332">
        <f>SUM(D16:F16)</f>
        <v>258708</v>
      </c>
      <c r="D16" s="332">
        <f>3125000-3056000+189708</f>
        <v>258708</v>
      </c>
      <c r="E16" s="332"/>
      <c r="F16" s="331"/>
    </row>
    <row r="17" spans="1:6" ht="15">
      <c r="A17" s="120" t="s">
        <v>223</v>
      </c>
      <c r="B17" s="117" t="s">
        <v>41</v>
      </c>
      <c r="C17" s="330">
        <f>SUM(D17:F17)</f>
        <v>52000</v>
      </c>
      <c r="D17" s="330">
        <v>52000</v>
      </c>
      <c r="E17" s="330"/>
      <c r="F17" s="329"/>
    </row>
    <row r="18" spans="1:6" ht="15">
      <c r="A18" s="120" t="s">
        <v>224</v>
      </c>
      <c r="B18" s="117" t="s">
        <v>225</v>
      </c>
      <c r="C18" s="330">
        <f>SUM(D18:F18)</f>
        <v>956000</v>
      </c>
      <c r="D18" s="330">
        <f>820000+2000000-2000000</f>
        <v>820000</v>
      </c>
      <c r="E18" s="330">
        <v>136000</v>
      </c>
      <c r="F18" s="329"/>
    </row>
    <row r="19" spans="1:6" ht="15">
      <c r="A19" s="120" t="s">
        <v>322</v>
      </c>
      <c r="B19" s="117" t="s">
        <v>323</v>
      </c>
      <c r="C19" s="330">
        <f>SUM(D19:F19)</f>
        <v>28893846</v>
      </c>
      <c r="D19" s="330">
        <f>28514021+112611+195840+47498+23876</f>
        <v>28893846</v>
      </c>
      <c r="E19" s="330"/>
      <c r="F19" s="329"/>
    </row>
    <row r="20" spans="1:6" ht="15">
      <c r="A20" s="120" t="s">
        <v>538</v>
      </c>
      <c r="B20" s="117" t="s">
        <v>537</v>
      </c>
      <c r="C20" s="330">
        <f>SUM(D20:F20)</f>
        <v>70404000</v>
      </c>
      <c r="D20" s="330">
        <f>3059000+2000000+23205000+42061196+78727+77</f>
        <v>70404000</v>
      </c>
      <c r="E20" s="330"/>
      <c r="F20" s="329"/>
    </row>
    <row r="21" spans="1:6" ht="15">
      <c r="A21" s="120" t="s">
        <v>536</v>
      </c>
      <c r="B21" s="117" t="s">
        <v>535</v>
      </c>
      <c r="C21" s="330">
        <f>SUM(D21:F21)</f>
        <v>1476033</v>
      </c>
      <c r="D21" s="330">
        <f>1116669+359364</f>
        <v>1476033</v>
      </c>
      <c r="E21" s="330"/>
      <c r="F21" s="329"/>
    </row>
    <row r="22" spans="1:6" ht="15">
      <c r="A22" s="120" t="s">
        <v>228</v>
      </c>
      <c r="B22" s="117" t="s">
        <v>229</v>
      </c>
      <c r="C22" s="330">
        <f>SUM(D22:F22)</f>
        <v>6313000</v>
      </c>
      <c r="D22" s="330">
        <v>6313000</v>
      </c>
      <c r="E22" s="330"/>
      <c r="F22" s="329"/>
    </row>
    <row r="23" spans="1:6" ht="15">
      <c r="A23" s="120" t="s">
        <v>238</v>
      </c>
      <c r="B23" s="117" t="s">
        <v>39</v>
      </c>
      <c r="C23" s="330">
        <f>SUM(D23:F23)</f>
        <v>0</v>
      </c>
      <c r="D23" s="330">
        <f>23205000-23205000</f>
        <v>0</v>
      </c>
      <c r="E23" s="330"/>
      <c r="F23" s="329"/>
    </row>
    <row r="24" spans="1:6" ht="15">
      <c r="A24" s="120" t="s">
        <v>324</v>
      </c>
      <c r="B24" s="117" t="s">
        <v>325</v>
      </c>
      <c r="C24" s="330">
        <f>SUM(D24:F24)</f>
        <v>489000</v>
      </c>
      <c r="D24" s="330">
        <v>489000</v>
      </c>
      <c r="E24" s="330"/>
      <c r="F24" s="329"/>
    </row>
    <row r="25" spans="1:6" ht="15">
      <c r="A25" s="120" t="s">
        <v>326</v>
      </c>
      <c r="B25" s="117" t="s">
        <v>327</v>
      </c>
      <c r="C25" s="330">
        <f>SUM(D25:F25)</f>
        <v>317000</v>
      </c>
      <c r="D25" s="330"/>
      <c r="E25" s="330">
        <v>317000</v>
      </c>
      <c r="F25" s="329"/>
    </row>
    <row r="26" spans="1:6" ht="15">
      <c r="A26" s="120" t="s">
        <v>326</v>
      </c>
      <c r="B26" s="123" t="s">
        <v>473</v>
      </c>
      <c r="C26" s="330">
        <f>SUM(D26:F26)</f>
        <v>954000</v>
      </c>
      <c r="D26" s="330"/>
      <c r="E26" s="330">
        <v>954000</v>
      </c>
      <c r="F26" s="329"/>
    </row>
    <row r="27" spans="1:6" ht="15">
      <c r="A27" s="173">
        <v>104051</v>
      </c>
      <c r="B27" s="117" t="s">
        <v>382</v>
      </c>
      <c r="C27" s="330">
        <f>SUM(D27:F27)</f>
        <v>46000</v>
      </c>
      <c r="D27" s="330"/>
      <c r="E27" s="330"/>
      <c r="F27" s="329">
        <v>46000</v>
      </c>
    </row>
    <row r="28" spans="1:6" ht="15">
      <c r="A28" s="120" t="s">
        <v>246</v>
      </c>
      <c r="B28" s="123" t="s">
        <v>381</v>
      </c>
      <c r="C28" s="330">
        <f>SUM(D28:F28)</f>
        <v>1825000</v>
      </c>
      <c r="D28" s="330">
        <v>1825000</v>
      </c>
      <c r="E28" s="330"/>
      <c r="F28" s="329"/>
    </row>
    <row r="29" spans="1:6" ht="30.75" thickBot="1">
      <c r="A29" s="173">
        <v>900020</v>
      </c>
      <c r="B29" s="117" t="s">
        <v>328</v>
      </c>
      <c r="C29" s="330">
        <f>SUM(D29:F29)</f>
        <v>7808000</v>
      </c>
      <c r="D29" s="330">
        <v>7808000</v>
      </c>
      <c r="E29" s="330"/>
      <c r="F29" s="329"/>
    </row>
    <row r="30" spans="1:6" ht="30" customHeight="1" thickBot="1">
      <c r="A30" s="174"/>
      <c r="B30" s="174" t="s">
        <v>2</v>
      </c>
      <c r="C30" s="328">
        <f>SUM(C16:C29)</f>
        <v>119792587</v>
      </c>
      <c r="D30" s="328">
        <f>SUM(D16:D29)</f>
        <v>118339587</v>
      </c>
      <c r="E30" s="328">
        <f>SUM(E16:E29)</f>
        <v>1407000</v>
      </c>
      <c r="F30" s="328">
        <f>SUM(F16:F29)</f>
        <v>46000</v>
      </c>
    </row>
  </sheetData>
  <sheetProtection/>
  <mergeCells count="9">
    <mergeCell ref="A11:A15"/>
    <mergeCell ref="B11:B15"/>
    <mergeCell ref="C11:C15"/>
    <mergeCell ref="D11:F11"/>
    <mergeCell ref="D13:F15"/>
    <mergeCell ref="B5:F5"/>
    <mergeCell ref="B7:F7"/>
    <mergeCell ref="B8:F8"/>
    <mergeCell ref="B9:F9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A1">
      <selection activeCell="A3" sqref="A3:P3"/>
    </sheetView>
  </sheetViews>
  <sheetFormatPr defaultColWidth="9.00390625" defaultRowHeight="12.75"/>
  <cols>
    <col min="1" max="1" width="9.125" style="11" customWidth="1"/>
    <col min="2" max="2" width="44.125" style="11" customWidth="1"/>
    <col min="3" max="3" width="13.00390625" style="11" customWidth="1"/>
    <col min="4" max="4" width="12.625" style="11" customWidth="1"/>
    <col min="5" max="5" width="10.375" style="11" customWidth="1"/>
    <col min="6" max="6" width="12.125" style="11" customWidth="1"/>
    <col min="7" max="7" width="10.375" style="11" customWidth="1"/>
    <col min="8" max="8" width="11.375" style="11" customWidth="1"/>
    <col min="9" max="9" width="11.75390625" style="11" customWidth="1"/>
    <col min="10" max="10" width="10.25390625" style="11" customWidth="1"/>
    <col min="11" max="11" width="11.875" style="11" customWidth="1"/>
    <col min="12" max="12" width="10.625" style="11" customWidth="1"/>
    <col min="13" max="13" width="12.125" style="11" customWidth="1"/>
    <col min="14" max="14" width="15.25390625" style="11" customWidth="1"/>
    <col min="15" max="15" width="9.875" style="11" customWidth="1"/>
    <col min="16" max="16" width="10.625" style="11" customWidth="1"/>
    <col min="17" max="17" width="11.625" style="11" customWidth="1"/>
    <col min="18" max="16384" width="9.125" style="11" customWidth="1"/>
  </cols>
  <sheetData>
    <row r="1" spans="1:19" ht="15.75">
      <c r="A1" s="128"/>
      <c r="K1" s="532"/>
      <c r="L1" s="532"/>
      <c r="M1" s="532"/>
      <c r="N1" s="532"/>
      <c r="O1" s="532"/>
      <c r="P1" s="532"/>
      <c r="Q1" s="532"/>
      <c r="R1" s="532"/>
      <c r="S1" s="532"/>
    </row>
    <row r="2" spans="1:19" ht="15.75">
      <c r="A2" s="128"/>
      <c r="K2" s="90"/>
      <c r="L2" s="90"/>
      <c r="M2" s="90"/>
      <c r="N2" s="90"/>
      <c r="O2" s="90"/>
      <c r="P2" s="90"/>
      <c r="Q2" s="90"/>
      <c r="R2" s="90"/>
      <c r="S2" s="90"/>
    </row>
    <row r="3" spans="1:16" ht="15.75" customHeight="1">
      <c r="A3" s="516" t="s">
        <v>518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</row>
    <row r="4" spans="1:19" s="114" customFormat="1" ht="15.75" customHeight="1">
      <c r="A4" s="517"/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</row>
    <row r="5" spans="1:16" s="114" customFormat="1" ht="15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9" s="114" customFormat="1" ht="15.75" customHeight="1">
      <c r="A6" s="517" t="s">
        <v>46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</row>
    <row r="7" spans="1:19" s="114" customFormat="1" ht="15.75" customHeight="1">
      <c r="A7" s="517" t="s">
        <v>203</v>
      </c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</row>
    <row r="8" spans="1:19" s="114" customFormat="1" ht="15.75" customHeight="1">
      <c r="A8" s="517" t="s">
        <v>471</v>
      </c>
      <c r="B8" s="517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</row>
    <row r="9" spans="18:19" s="114" customFormat="1" ht="15.75" thickBot="1">
      <c r="R9" s="533" t="s">
        <v>539</v>
      </c>
      <c r="S9" s="533"/>
    </row>
    <row r="10" spans="1:19" s="115" customFormat="1" ht="20.25" customHeight="1" thickBot="1">
      <c r="A10" s="523" t="s">
        <v>204</v>
      </c>
      <c r="B10" s="541" t="s">
        <v>205</v>
      </c>
      <c r="C10" s="513" t="s">
        <v>206</v>
      </c>
      <c r="D10" s="526" t="s">
        <v>207</v>
      </c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8"/>
      <c r="R10" s="521" t="s">
        <v>3</v>
      </c>
      <c r="S10" s="522"/>
    </row>
    <row r="11" spans="1:19" s="115" customFormat="1" ht="38.25" customHeight="1" thickBot="1">
      <c r="A11" s="524"/>
      <c r="B11" s="542"/>
      <c r="C11" s="514"/>
      <c r="D11" s="529" t="s">
        <v>82</v>
      </c>
      <c r="E11" s="530"/>
      <c r="F11" s="530"/>
      <c r="G11" s="530"/>
      <c r="H11" s="530"/>
      <c r="I11" s="531"/>
      <c r="J11" s="526" t="s">
        <v>83</v>
      </c>
      <c r="K11" s="527"/>
      <c r="L11" s="527"/>
      <c r="M11" s="528"/>
      <c r="N11" s="510" t="s">
        <v>208</v>
      </c>
      <c r="O11" s="511"/>
      <c r="P11" s="511"/>
      <c r="Q11" s="512"/>
      <c r="R11" s="539" t="s">
        <v>8</v>
      </c>
      <c r="S11" s="540"/>
    </row>
    <row r="12" spans="1:19" s="115" customFormat="1" ht="21" customHeight="1" thickBot="1">
      <c r="A12" s="524"/>
      <c r="B12" s="542"/>
      <c r="C12" s="514"/>
      <c r="D12" s="513" t="s">
        <v>209</v>
      </c>
      <c r="E12" s="513" t="s">
        <v>210</v>
      </c>
      <c r="F12" s="513" t="s">
        <v>211</v>
      </c>
      <c r="G12" s="513" t="s">
        <v>212</v>
      </c>
      <c r="H12" s="513" t="s">
        <v>213</v>
      </c>
      <c r="I12" s="544" t="s">
        <v>214</v>
      </c>
      <c r="J12" s="534" t="s">
        <v>215</v>
      </c>
      <c r="K12" s="534" t="s">
        <v>84</v>
      </c>
      <c r="L12" s="513" t="s">
        <v>329</v>
      </c>
      <c r="M12" s="518" t="s">
        <v>330</v>
      </c>
      <c r="N12" s="513" t="s">
        <v>474</v>
      </c>
      <c r="O12" s="513" t="s">
        <v>216</v>
      </c>
      <c r="P12" s="513" t="s">
        <v>217</v>
      </c>
      <c r="Q12" s="518" t="s">
        <v>331</v>
      </c>
      <c r="R12" s="159" t="s">
        <v>218</v>
      </c>
      <c r="S12" s="160" t="s">
        <v>219</v>
      </c>
    </row>
    <row r="13" spans="1:19" s="115" customFormat="1" ht="18.75" customHeight="1">
      <c r="A13" s="524"/>
      <c r="B13" s="542"/>
      <c r="C13" s="514"/>
      <c r="D13" s="514"/>
      <c r="E13" s="514"/>
      <c r="F13" s="514"/>
      <c r="G13" s="514"/>
      <c r="H13" s="514"/>
      <c r="I13" s="545"/>
      <c r="J13" s="535"/>
      <c r="K13" s="535"/>
      <c r="L13" s="514"/>
      <c r="M13" s="519"/>
      <c r="N13" s="514"/>
      <c r="O13" s="514"/>
      <c r="P13" s="514"/>
      <c r="Q13" s="519"/>
      <c r="R13" s="537" t="s">
        <v>220</v>
      </c>
      <c r="S13" s="538"/>
    </row>
    <row r="14" spans="1:19" s="115" customFormat="1" ht="20.25" customHeight="1" thickBot="1">
      <c r="A14" s="525"/>
      <c r="B14" s="543"/>
      <c r="C14" s="515"/>
      <c r="D14" s="515"/>
      <c r="E14" s="515"/>
      <c r="F14" s="515"/>
      <c r="G14" s="515"/>
      <c r="H14" s="515"/>
      <c r="I14" s="546"/>
      <c r="J14" s="536"/>
      <c r="K14" s="536"/>
      <c r="L14" s="515"/>
      <c r="M14" s="520"/>
      <c r="N14" s="515"/>
      <c r="O14" s="515"/>
      <c r="P14" s="515"/>
      <c r="Q14" s="520"/>
      <c r="R14" s="539"/>
      <c r="S14" s="540"/>
    </row>
    <row r="15" spans="1:19" s="114" customFormat="1" ht="30">
      <c r="A15" s="116" t="s">
        <v>221</v>
      </c>
      <c r="B15" s="117" t="s">
        <v>222</v>
      </c>
      <c r="C15" s="428">
        <f>I15+M15+O15+P15</f>
        <v>51275523</v>
      </c>
      <c r="D15" s="427">
        <f>8073000+24970+17000+12250+13032+6700+149376</f>
        <v>8296328</v>
      </c>
      <c r="E15" s="426">
        <f>2291000+6742+4131+3306+3000+1808+40332</f>
        <v>2350319</v>
      </c>
      <c r="F15" s="426">
        <f>3938000+63487</f>
        <v>4001487</v>
      </c>
      <c r="G15" s="426"/>
      <c r="H15" s="426">
        <f>162000+40789124-2596200-425000-396875-11800-381000-100000-600000+116030-116030-149900</f>
        <v>36290349</v>
      </c>
      <c r="I15" s="425">
        <f>SUM(D15:H15)</f>
        <v>50938483</v>
      </c>
      <c r="J15" s="424">
        <f>102000-4960</f>
        <v>97040</v>
      </c>
      <c r="K15" s="424"/>
      <c r="L15" s="424">
        <v>240000</v>
      </c>
      <c r="M15" s="423">
        <f>SUM(J15:L15)</f>
        <v>337040</v>
      </c>
      <c r="N15" s="423"/>
      <c r="O15" s="422"/>
      <c r="P15" s="421"/>
      <c r="Q15" s="421"/>
      <c r="R15" s="119">
        <f>0.5+0.1+0.2-0.3</f>
        <v>0.5</v>
      </c>
      <c r="S15" s="158">
        <v>0.5</v>
      </c>
    </row>
    <row r="16" spans="1:19" s="114" customFormat="1" ht="15">
      <c r="A16" s="120" t="s">
        <v>223</v>
      </c>
      <c r="B16" s="117" t="s">
        <v>41</v>
      </c>
      <c r="C16" s="428">
        <f>I16+M16+O16+P16</f>
        <v>64000</v>
      </c>
      <c r="D16" s="427"/>
      <c r="E16" s="426"/>
      <c r="F16" s="426">
        <v>64000</v>
      </c>
      <c r="G16" s="426"/>
      <c r="H16" s="426"/>
      <c r="I16" s="425">
        <f>SUM(D16:H16)</f>
        <v>64000</v>
      </c>
      <c r="J16" s="424"/>
      <c r="K16" s="424"/>
      <c r="L16" s="424"/>
      <c r="M16" s="423"/>
      <c r="N16" s="423"/>
      <c r="O16" s="422"/>
      <c r="P16" s="421"/>
      <c r="Q16" s="421"/>
      <c r="R16" s="121"/>
      <c r="S16" s="118"/>
    </row>
    <row r="17" spans="1:19" s="114" customFormat="1" ht="29.25" customHeight="1">
      <c r="A17" s="120" t="s">
        <v>224</v>
      </c>
      <c r="B17" s="117" t="s">
        <v>225</v>
      </c>
      <c r="C17" s="428">
        <f>I17+M17+Q17</f>
        <v>5063450</v>
      </c>
      <c r="D17" s="427"/>
      <c r="E17" s="426"/>
      <c r="F17" s="426">
        <f>245000-158750</f>
        <v>86250</v>
      </c>
      <c r="G17" s="426"/>
      <c r="H17" s="426"/>
      <c r="I17" s="425">
        <f>SUM(D17:H17)</f>
        <v>86250</v>
      </c>
      <c r="J17" s="424">
        <f>2000000+2596200+381000</f>
        <v>4977200</v>
      </c>
      <c r="K17" s="424"/>
      <c r="L17" s="424"/>
      <c r="M17" s="423">
        <f>SUM(J17:L17)</f>
        <v>4977200</v>
      </c>
      <c r="N17" s="423"/>
      <c r="O17" s="422"/>
      <c r="P17" s="421"/>
      <c r="Q17" s="421"/>
      <c r="R17" s="122"/>
      <c r="S17" s="118"/>
    </row>
    <row r="18" spans="1:19" s="114" customFormat="1" ht="30" customHeight="1">
      <c r="A18" s="120" t="s">
        <v>322</v>
      </c>
      <c r="B18" s="117" t="s">
        <v>323</v>
      </c>
      <c r="C18" s="428">
        <f>I18+M18+Q18</f>
        <v>2202904</v>
      </c>
      <c r="D18" s="427"/>
      <c r="E18" s="426"/>
      <c r="F18" s="426"/>
      <c r="G18" s="426"/>
      <c r="H18" s="426">
        <f>15240+4500+864405</f>
        <v>884145</v>
      </c>
      <c r="I18" s="425">
        <f>SUM(D18:H18)</f>
        <v>884145</v>
      </c>
      <c r="J18" s="424"/>
      <c r="K18" s="424"/>
      <c r="L18" s="424"/>
      <c r="M18" s="423"/>
      <c r="N18" s="423">
        <f>1139077+179682</f>
        <v>1318759</v>
      </c>
      <c r="O18" s="422"/>
      <c r="P18" s="421"/>
      <c r="Q18" s="421">
        <f>N18+O18+P18</f>
        <v>1318759</v>
      </c>
      <c r="R18" s="119"/>
      <c r="S18" s="118"/>
    </row>
    <row r="19" spans="1:19" s="114" customFormat="1" ht="24" customHeight="1">
      <c r="A19" s="120" t="s">
        <v>543</v>
      </c>
      <c r="B19" s="117" t="s">
        <v>542</v>
      </c>
      <c r="C19" s="428">
        <f>I19+M19+Q19</f>
        <v>396875</v>
      </c>
      <c r="D19" s="427"/>
      <c r="E19" s="426"/>
      <c r="F19" s="426">
        <v>396875</v>
      </c>
      <c r="G19" s="426"/>
      <c r="H19" s="426"/>
      <c r="I19" s="425">
        <f>SUM(D19:H19)</f>
        <v>396875</v>
      </c>
      <c r="J19" s="424"/>
      <c r="K19" s="424"/>
      <c r="L19" s="424"/>
      <c r="M19" s="423">
        <f>SUM(J19:L19)</f>
        <v>0</v>
      </c>
      <c r="N19" s="423"/>
      <c r="O19" s="422"/>
      <c r="P19" s="421"/>
      <c r="Q19" s="421"/>
      <c r="R19" s="119"/>
      <c r="S19" s="118"/>
    </row>
    <row r="20" spans="1:19" s="114" customFormat="1" ht="14.25" customHeight="1">
      <c r="A20" s="120" t="s">
        <v>536</v>
      </c>
      <c r="B20" s="117" t="s">
        <v>535</v>
      </c>
      <c r="C20" s="428">
        <f>I20+M20+Q20</f>
        <v>1538849</v>
      </c>
      <c r="D20" s="427">
        <f>15000+618705+26385+308019+22877+7867+316620</f>
        <v>1315473</v>
      </c>
      <c r="E20" s="426">
        <f>5354+111581+29102+34595+42744</f>
        <v>223376</v>
      </c>
      <c r="F20" s="426"/>
      <c r="G20" s="426"/>
      <c r="H20" s="426"/>
      <c r="I20" s="425">
        <f>SUM(D20:H20)</f>
        <v>1538849</v>
      </c>
      <c r="J20" s="424"/>
      <c r="K20" s="424"/>
      <c r="L20" s="424"/>
      <c r="M20" s="423"/>
      <c r="N20" s="423"/>
      <c r="O20" s="422"/>
      <c r="P20" s="421"/>
      <c r="Q20" s="421"/>
      <c r="R20" s="119">
        <v>2</v>
      </c>
      <c r="S20" s="118">
        <v>2</v>
      </c>
    </row>
    <row r="21" spans="1:19" s="114" customFormat="1" ht="19.5" customHeight="1">
      <c r="A21" s="120" t="s">
        <v>480</v>
      </c>
      <c r="B21" s="117" t="s">
        <v>481</v>
      </c>
      <c r="C21" s="428">
        <f>I21+M21+Q21</f>
        <v>19021</v>
      </c>
      <c r="D21" s="427"/>
      <c r="E21" s="426"/>
      <c r="F21" s="426">
        <v>19021</v>
      </c>
      <c r="G21" s="426"/>
      <c r="H21" s="426"/>
      <c r="I21" s="425">
        <f>SUM(D21:H21)</f>
        <v>19021</v>
      </c>
      <c r="J21" s="424"/>
      <c r="K21" s="424"/>
      <c r="L21" s="424"/>
      <c r="M21" s="423"/>
      <c r="N21" s="423"/>
      <c r="O21" s="422"/>
      <c r="P21" s="421"/>
      <c r="Q21" s="421"/>
      <c r="R21" s="119"/>
      <c r="S21" s="118"/>
    </row>
    <row r="22" spans="1:19" s="114" customFormat="1" ht="30">
      <c r="A22" s="120" t="s">
        <v>226</v>
      </c>
      <c r="B22" s="117" t="s">
        <v>227</v>
      </c>
      <c r="C22" s="428">
        <f>I22+M22+O22+P22</f>
        <v>27000</v>
      </c>
      <c r="D22" s="427"/>
      <c r="E22" s="426"/>
      <c r="F22" s="426">
        <v>27000</v>
      </c>
      <c r="G22" s="426"/>
      <c r="H22" s="426"/>
      <c r="I22" s="425">
        <f>SUM(D22:H22)</f>
        <v>27000</v>
      </c>
      <c r="J22" s="424"/>
      <c r="K22" s="424"/>
      <c r="L22" s="424"/>
      <c r="M22" s="423"/>
      <c r="N22" s="423"/>
      <c r="O22" s="422"/>
      <c r="P22" s="421"/>
      <c r="Q22" s="421"/>
      <c r="R22" s="119"/>
      <c r="S22" s="118"/>
    </row>
    <row r="23" spans="1:19" s="114" customFormat="1" ht="30">
      <c r="A23" s="120" t="s">
        <v>228</v>
      </c>
      <c r="B23" s="117" t="s">
        <v>229</v>
      </c>
      <c r="C23" s="428">
        <f>I23+M23+O23+P23</f>
        <v>6313000</v>
      </c>
      <c r="D23" s="427"/>
      <c r="E23" s="426"/>
      <c r="F23" s="426">
        <f>6313000-2540000</f>
        <v>3773000</v>
      </c>
      <c r="G23" s="426"/>
      <c r="H23" s="426"/>
      <c r="I23" s="425">
        <f>SUM(D23:H23)</f>
        <v>3773000</v>
      </c>
      <c r="J23" s="424">
        <v>2540000</v>
      </c>
      <c r="K23" s="424"/>
      <c r="L23" s="424"/>
      <c r="M23" s="423">
        <f>SUM(J23:L23)</f>
        <v>2540000</v>
      </c>
      <c r="N23" s="423"/>
      <c r="O23" s="422"/>
      <c r="P23" s="421"/>
      <c r="Q23" s="421"/>
      <c r="R23" s="122"/>
      <c r="S23" s="118"/>
    </row>
    <row r="24" spans="1:19" s="114" customFormat="1" ht="15">
      <c r="A24" s="120" t="s">
        <v>230</v>
      </c>
      <c r="B24" s="117" t="s">
        <v>231</v>
      </c>
      <c r="C24" s="428">
        <f>I24+M24+O24+P24</f>
        <v>960000</v>
      </c>
      <c r="D24" s="427"/>
      <c r="E24" s="426"/>
      <c r="F24" s="426"/>
      <c r="G24" s="426"/>
      <c r="H24" s="426"/>
      <c r="I24" s="425"/>
      <c r="J24" s="424"/>
      <c r="K24" s="424"/>
      <c r="L24" s="424">
        <f>600000-240000+600000</f>
        <v>960000</v>
      </c>
      <c r="M24" s="423">
        <f>SUM(J24:L24)</f>
        <v>960000</v>
      </c>
      <c r="N24" s="423"/>
      <c r="O24" s="422"/>
      <c r="P24" s="421"/>
      <c r="Q24" s="421"/>
      <c r="R24" s="122"/>
      <c r="S24" s="118"/>
    </row>
    <row r="25" spans="1:19" s="114" customFormat="1" ht="15">
      <c r="A25" s="120" t="s">
        <v>232</v>
      </c>
      <c r="B25" s="117" t="s">
        <v>233</v>
      </c>
      <c r="C25" s="428">
        <f>I25+M25+O25+P25</f>
        <v>1900000</v>
      </c>
      <c r="D25" s="427"/>
      <c r="E25" s="426"/>
      <c r="F25" s="426">
        <v>1900000</v>
      </c>
      <c r="G25" s="424"/>
      <c r="H25" s="426"/>
      <c r="I25" s="425">
        <f>SUM(D25:H25)</f>
        <v>1900000</v>
      </c>
      <c r="J25" s="424"/>
      <c r="K25" s="424"/>
      <c r="L25" s="424"/>
      <c r="M25" s="423"/>
      <c r="N25" s="423"/>
      <c r="O25" s="422"/>
      <c r="P25" s="421"/>
      <c r="Q25" s="421"/>
      <c r="R25" s="122"/>
      <c r="S25" s="118"/>
    </row>
    <row r="26" spans="1:19" s="114" customFormat="1" ht="15">
      <c r="A26" s="120" t="s">
        <v>234</v>
      </c>
      <c r="B26" s="117" t="s">
        <v>235</v>
      </c>
      <c r="C26" s="428">
        <f>I26+M26+O26+P26</f>
        <v>635000</v>
      </c>
      <c r="D26" s="427"/>
      <c r="E26" s="426"/>
      <c r="F26" s="426">
        <v>635000</v>
      </c>
      <c r="G26" s="424"/>
      <c r="H26" s="426"/>
      <c r="I26" s="425">
        <f>SUM(D26:H26)</f>
        <v>635000</v>
      </c>
      <c r="J26" s="424"/>
      <c r="K26" s="424"/>
      <c r="L26" s="424"/>
      <c r="M26" s="423"/>
      <c r="N26" s="423"/>
      <c r="O26" s="422"/>
      <c r="P26" s="421"/>
      <c r="Q26" s="421"/>
      <c r="R26" s="122"/>
      <c r="S26" s="118"/>
    </row>
    <row r="27" spans="1:19" s="114" customFormat="1" ht="30">
      <c r="A27" s="120" t="s">
        <v>236</v>
      </c>
      <c r="B27" s="117" t="s">
        <v>237</v>
      </c>
      <c r="C27" s="428">
        <f>I27+M27+O27+P27</f>
        <v>2543715</v>
      </c>
      <c r="D27" s="427">
        <f>704000+44400+2100</f>
        <v>750500</v>
      </c>
      <c r="E27" s="426">
        <f>192000+11988+567</f>
        <v>204555</v>
      </c>
      <c r="F27" s="426">
        <v>957000</v>
      </c>
      <c r="G27" s="424"/>
      <c r="H27" s="426"/>
      <c r="I27" s="425">
        <f>SUM(D27:H27)</f>
        <v>1912055</v>
      </c>
      <c r="J27" s="424">
        <f>465000+4960+11800+149900</f>
        <v>631660</v>
      </c>
      <c r="K27" s="424"/>
      <c r="L27" s="424"/>
      <c r="M27" s="423">
        <f>SUM(J27:L27)</f>
        <v>631660</v>
      </c>
      <c r="N27" s="423"/>
      <c r="O27" s="422"/>
      <c r="P27" s="421"/>
      <c r="Q27" s="421"/>
      <c r="R27" s="122">
        <v>0.5</v>
      </c>
      <c r="S27" s="118">
        <v>0.5</v>
      </c>
    </row>
    <row r="28" spans="1:19" s="114" customFormat="1" ht="15">
      <c r="A28" s="120" t="s">
        <v>238</v>
      </c>
      <c r="B28" s="117" t="s">
        <v>39</v>
      </c>
      <c r="C28" s="428">
        <f>I28+M28+O28+P28</f>
        <v>23690000</v>
      </c>
      <c r="D28" s="427"/>
      <c r="E28" s="426"/>
      <c r="F28" s="426">
        <v>60000</v>
      </c>
      <c r="G28" s="424"/>
      <c r="H28" s="426"/>
      <c r="I28" s="425">
        <f>SUM(D28:H28)</f>
        <v>60000</v>
      </c>
      <c r="J28" s="424"/>
      <c r="K28" s="424">
        <f>23205000+425000</f>
        <v>23630000</v>
      </c>
      <c r="L28" s="424"/>
      <c r="M28" s="423">
        <f>SUM(J28:L28)</f>
        <v>23630000</v>
      </c>
      <c r="N28" s="423"/>
      <c r="O28" s="422"/>
      <c r="P28" s="421"/>
      <c r="Q28" s="421"/>
      <c r="R28" s="122"/>
      <c r="S28" s="118"/>
    </row>
    <row r="29" spans="1:19" s="114" customFormat="1" ht="31.5" customHeight="1">
      <c r="A29" s="120" t="s">
        <v>239</v>
      </c>
      <c r="B29" s="117" t="s">
        <v>240</v>
      </c>
      <c r="C29" s="428">
        <f>I29+M29+O29+P29</f>
        <v>675000</v>
      </c>
      <c r="D29" s="427"/>
      <c r="E29" s="426"/>
      <c r="F29" s="426"/>
      <c r="G29" s="426"/>
      <c r="H29" s="426">
        <v>675000</v>
      </c>
      <c r="I29" s="425">
        <f>SUM(D29:H29)</f>
        <v>675000</v>
      </c>
      <c r="J29" s="424"/>
      <c r="K29" s="424"/>
      <c r="L29" s="424"/>
      <c r="M29" s="423">
        <f>SUM(J29:L29)</f>
        <v>0</v>
      </c>
      <c r="N29" s="423"/>
      <c r="O29" s="422"/>
      <c r="P29" s="421"/>
      <c r="Q29" s="421"/>
      <c r="R29" s="122"/>
      <c r="S29" s="118"/>
    </row>
    <row r="30" spans="1:19" s="114" customFormat="1" ht="15">
      <c r="A30" s="120" t="s">
        <v>241</v>
      </c>
      <c r="B30" s="117" t="s">
        <v>42</v>
      </c>
      <c r="C30" s="428">
        <f>I30+M30+O30+P30</f>
        <v>863318</v>
      </c>
      <c r="D30" s="427">
        <f>460000+4480+4900+2680</f>
        <v>472060</v>
      </c>
      <c r="E30" s="426">
        <f>125000+1210+1324+724</f>
        <v>128258</v>
      </c>
      <c r="F30" s="426">
        <v>83000</v>
      </c>
      <c r="G30" s="426"/>
      <c r="H30" s="426"/>
      <c r="I30" s="425">
        <f>SUM(D30:H30)</f>
        <v>683318</v>
      </c>
      <c r="J30" s="424">
        <v>180000</v>
      </c>
      <c r="K30" s="424"/>
      <c r="L30" s="424"/>
      <c r="M30" s="423">
        <f>SUM(J30:L30)</f>
        <v>180000</v>
      </c>
      <c r="N30" s="423"/>
      <c r="O30" s="422"/>
      <c r="P30" s="421"/>
      <c r="Q30" s="421"/>
      <c r="R30" s="122">
        <v>0.2</v>
      </c>
      <c r="S30" s="118">
        <v>0.2</v>
      </c>
    </row>
    <row r="31" spans="1:19" s="114" customFormat="1" ht="30">
      <c r="A31" s="120" t="s">
        <v>475</v>
      </c>
      <c r="B31" s="117" t="s">
        <v>476</v>
      </c>
      <c r="C31" s="428">
        <f>I31+M31+O31+P31</f>
        <v>2605036</v>
      </c>
      <c r="D31" s="427">
        <f>1726000+14820+18150+11200+9420</f>
        <v>1779590</v>
      </c>
      <c r="E31" s="426">
        <f>471000+4001+4901+2544</f>
        <v>482446</v>
      </c>
      <c r="F31" s="426">
        <v>343000</v>
      </c>
      <c r="G31" s="426"/>
      <c r="H31" s="426"/>
      <c r="I31" s="425">
        <f>SUM(D31:H31)</f>
        <v>2605036</v>
      </c>
      <c r="J31" s="424"/>
      <c r="K31" s="424"/>
      <c r="L31" s="424"/>
      <c r="M31" s="423">
        <f>SUM(J31:L31)</f>
        <v>0</v>
      </c>
      <c r="N31" s="423"/>
      <c r="O31" s="422"/>
      <c r="P31" s="421"/>
      <c r="Q31" s="421"/>
      <c r="R31" s="122"/>
      <c r="S31" s="118"/>
    </row>
    <row r="32" spans="1:19" s="114" customFormat="1" ht="15">
      <c r="A32" s="120" t="s">
        <v>477</v>
      </c>
      <c r="B32" s="117" t="s">
        <v>478</v>
      </c>
      <c r="C32" s="428">
        <f>I32+M32+O32+P32</f>
        <v>362000</v>
      </c>
      <c r="D32" s="427">
        <v>291000</v>
      </c>
      <c r="E32" s="426">
        <v>71000</v>
      </c>
      <c r="F32" s="426"/>
      <c r="G32" s="426"/>
      <c r="H32" s="426"/>
      <c r="I32" s="425">
        <f>SUM(D32:H32)</f>
        <v>362000</v>
      </c>
      <c r="J32" s="424"/>
      <c r="K32" s="424"/>
      <c r="L32" s="424"/>
      <c r="M32" s="423">
        <f>SUM(J32:L32)</f>
        <v>0</v>
      </c>
      <c r="N32" s="423"/>
      <c r="O32" s="422"/>
      <c r="P32" s="421"/>
      <c r="Q32" s="421"/>
      <c r="R32" s="122"/>
      <c r="S32" s="118"/>
    </row>
    <row r="33" spans="1:19" s="114" customFormat="1" ht="15">
      <c r="A33" s="120" t="s">
        <v>242</v>
      </c>
      <c r="B33" s="117" t="s">
        <v>40</v>
      </c>
      <c r="C33" s="428">
        <f>I33+M33+O33+P33</f>
        <v>340000</v>
      </c>
      <c r="D33" s="427"/>
      <c r="E33" s="426"/>
      <c r="F33" s="426"/>
      <c r="G33" s="426"/>
      <c r="H33" s="426">
        <f>240000+100000</f>
        <v>340000</v>
      </c>
      <c r="I33" s="425">
        <f>SUM(D33:H33)</f>
        <v>340000</v>
      </c>
      <c r="J33" s="424"/>
      <c r="K33" s="424"/>
      <c r="L33" s="424"/>
      <c r="M33" s="423">
        <f>SUM(J33:L33)</f>
        <v>0</v>
      </c>
      <c r="N33" s="423"/>
      <c r="O33" s="422"/>
      <c r="P33" s="421"/>
      <c r="Q33" s="421"/>
      <c r="R33" s="122"/>
      <c r="S33" s="118"/>
    </row>
    <row r="34" spans="1:19" s="114" customFormat="1" ht="15">
      <c r="A34" s="120" t="s">
        <v>243</v>
      </c>
      <c r="B34" s="117" t="s">
        <v>244</v>
      </c>
      <c r="C34" s="428">
        <f>I34+M34+O34+P34</f>
        <v>50000</v>
      </c>
      <c r="D34" s="427"/>
      <c r="E34" s="426"/>
      <c r="F34" s="426"/>
      <c r="G34" s="426"/>
      <c r="H34" s="426">
        <v>50000</v>
      </c>
      <c r="I34" s="425">
        <f>SUM(D34:H34)</f>
        <v>50000</v>
      </c>
      <c r="J34" s="424"/>
      <c r="K34" s="424"/>
      <c r="L34" s="424"/>
      <c r="M34" s="423">
        <f>SUM(J34:L34)</f>
        <v>0</v>
      </c>
      <c r="N34" s="423"/>
      <c r="O34" s="422"/>
      <c r="P34" s="421"/>
      <c r="Q34" s="421"/>
      <c r="R34" s="122"/>
      <c r="S34" s="118"/>
    </row>
    <row r="35" spans="1:19" s="114" customFormat="1" ht="15">
      <c r="A35" s="120" t="s">
        <v>324</v>
      </c>
      <c r="B35" s="117" t="s">
        <v>325</v>
      </c>
      <c r="C35" s="428">
        <f>I35+M35+O35+P35</f>
        <v>7044290</v>
      </c>
      <c r="D35" s="427">
        <f>2567000+101750-94500+51975+154205</f>
        <v>2780430</v>
      </c>
      <c r="E35" s="426">
        <f>700000+41635</f>
        <v>741635</v>
      </c>
      <c r="F35" s="426">
        <f>3448000+22225</f>
        <v>3470225</v>
      </c>
      <c r="G35" s="426"/>
      <c r="H35" s="426"/>
      <c r="I35" s="425">
        <f>SUM(D35:H35)</f>
        <v>6992290</v>
      </c>
      <c r="J35" s="424">
        <v>52000</v>
      </c>
      <c r="K35" s="424"/>
      <c r="L35" s="424"/>
      <c r="M35" s="423">
        <f>SUM(J35:L35)</f>
        <v>52000</v>
      </c>
      <c r="N35" s="423"/>
      <c r="O35" s="422"/>
      <c r="P35" s="421"/>
      <c r="Q35" s="421"/>
      <c r="R35" s="161">
        <v>1</v>
      </c>
      <c r="S35" s="162">
        <v>1</v>
      </c>
    </row>
    <row r="36" spans="1:19" s="114" customFormat="1" ht="30">
      <c r="A36" s="120" t="s">
        <v>326</v>
      </c>
      <c r="B36" s="117" t="s">
        <v>327</v>
      </c>
      <c r="C36" s="428">
        <f>I36+M36+O36+P36</f>
        <v>1278970</v>
      </c>
      <c r="D36" s="427">
        <f>453000+20350+10395</f>
        <v>483745</v>
      </c>
      <c r="E36" s="426">
        <v>124000</v>
      </c>
      <c r="F36" s="426">
        <f>640000+22225</f>
        <v>662225</v>
      </c>
      <c r="G36" s="426"/>
      <c r="H36" s="426"/>
      <c r="I36" s="425">
        <f>SUM(D36:H36)</f>
        <v>1269970</v>
      </c>
      <c r="J36" s="424">
        <v>9000</v>
      </c>
      <c r="K36" s="424"/>
      <c r="L36" s="424"/>
      <c r="M36" s="423">
        <f>SUM(J36:L36)</f>
        <v>9000</v>
      </c>
      <c r="N36" s="423"/>
      <c r="O36" s="422"/>
      <c r="P36" s="421"/>
      <c r="Q36" s="421"/>
      <c r="R36" s="122"/>
      <c r="S36" s="118"/>
    </row>
    <row r="37" spans="1:19" s="114" customFormat="1" ht="15">
      <c r="A37" s="120" t="s">
        <v>326</v>
      </c>
      <c r="B37" s="123" t="s">
        <v>479</v>
      </c>
      <c r="C37" s="428">
        <f>I37+M37+O37+P37</f>
        <v>1851511</v>
      </c>
      <c r="D37" s="427">
        <f>654000+46250+8505-11200-50499</f>
        <v>647056</v>
      </c>
      <c r="E37" s="426">
        <f>179000-37595</f>
        <v>141405</v>
      </c>
      <c r="F37" s="426">
        <f>1031000+19050</f>
        <v>1050050</v>
      </c>
      <c r="G37" s="426"/>
      <c r="H37" s="426"/>
      <c r="I37" s="425">
        <f>SUM(D37:H37)</f>
        <v>1838511</v>
      </c>
      <c r="J37" s="424">
        <v>13000</v>
      </c>
      <c r="K37" s="424"/>
      <c r="L37" s="424"/>
      <c r="M37" s="423">
        <f>SUM(J37:L37)</f>
        <v>13000</v>
      </c>
      <c r="N37" s="423"/>
      <c r="O37" s="422"/>
      <c r="P37" s="421"/>
      <c r="Q37" s="421"/>
      <c r="R37" s="122"/>
      <c r="S37" s="118"/>
    </row>
    <row r="38" spans="1:19" s="114" customFormat="1" ht="30">
      <c r="A38" s="120">
        <v>104051</v>
      </c>
      <c r="B38" s="117" t="s">
        <v>382</v>
      </c>
      <c r="C38" s="428">
        <f>I38+M38+O38+P38</f>
        <v>46000</v>
      </c>
      <c r="D38" s="427"/>
      <c r="E38" s="426"/>
      <c r="F38" s="426"/>
      <c r="G38" s="426">
        <v>46000</v>
      </c>
      <c r="H38" s="426"/>
      <c r="I38" s="425">
        <f>SUM(D38:H38)</f>
        <v>46000</v>
      </c>
      <c r="J38" s="424"/>
      <c r="K38" s="424"/>
      <c r="L38" s="424"/>
      <c r="M38" s="423">
        <f>SUM(J38:L38)</f>
        <v>0</v>
      </c>
      <c r="N38" s="423"/>
      <c r="O38" s="422"/>
      <c r="P38" s="421"/>
      <c r="Q38" s="421"/>
      <c r="R38" s="122"/>
      <c r="S38" s="118"/>
    </row>
    <row r="39" spans="1:19" s="114" customFormat="1" ht="30">
      <c r="A39" s="120">
        <v>106020</v>
      </c>
      <c r="B39" s="117" t="s">
        <v>245</v>
      </c>
      <c r="C39" s="428">
        <f>I39+M39+O39+P39</f>
        <v>600000</v>
      </c>
      <c r="D39" s="427"/>
      <c r="E39" s="426"/>
      <c r="F39" s="426"/>
      <c r="G39" s="426">
        <v>600000</v>
      </c>
      <c r="H39" s="426"/>
      <c r="I39" s="425">
        <f>SUM(D39:H39)</f>
        <v>600000</v>
      </c>
      <c r="J39" s="424"/>
      <c r="K39" s="424"/>
      <c r="L39" s="424"/>
      <c r="M39" s="423">
        <f>SUM(J39:L39)</f>
        <v>0</v>
      </c>
      <c r="N39" s="423"/>
      <c r="O39" s="422"/>
      <c r="P39" s="421"/>
      <c r="Q39" s="421"/>
      <c r="R39" s="122">
        <v>0.6</v>
      </c>
      <c r="S39" s="118">
        <v>0.6</v>
      </c>
    </row>
    <row r="40" spans="1:19" s="114" customFormat="1" ht="15">
      <c r="A40" s="120" t="s">
        <v>246</v>
      </c>
      <c r="B40" s="123" t="s">
        <v>381</v>
      </c>
      <c r="C40" s="428">
        <f>I40+M40+O40+P40</f>
        <v>4030125</v>
      </c>
      <c r="D40" s="427">
        <f>1359000+16650+23625+29600</f>
        <v>1428875</v>
      </c>
      <c r="E40" s="426">
        <v>371000</v>
      </c>
      <c r="F40" s="426">
        <f>2108000+95250</f>
        <v>2203250</v>
      </c>
      <c r="G40" s="426"/>
      <c r="H40" s="426"/>
      <c r="I40" s="425">
        <f>SUM(D40:H40)</f>
        <v>4003125</v>
      </c>
      <c r="J40" s="424">
        <v>27000</v>
      </c>
      <c r="K40" s="424"/>
      <c r="L40" s="424"/>
      <c r="M40" s="423">
        <f>SUM(J40:L40)</f>
        <v>27000</v>
      </c>
      <c r="N40" s="423"/>
      <c r="O40" s="422"/>
      <c r="P40" s="421"/>
      <c r="Q40" s="421"/>
      <c r="R40" s="122"/>
      <c r="S40" s="118"/>
    </row>
    <row r="41" spans="1:19" s="114" customFormat="1" ht="15">
      <c r="A41" s="120">
        <v>107052</v>
      </c>
      <c r="B41" s="124" t="s">
        <v>247</v>
      </c>
      <c r="C41" s="428">
        <f>I41+M41+O41+P41</f>
        <v>702000</v>
      </c>
      <c r="D41" s="427"/>
      <c r="E41" s="426"/>
      <c r="F41" s="426">
        <v>702000</v>
      </c>
      <c r="G41" s="426"/>
      <c r="H41" s="426"/>
      <c r="I41" s="425">
        <f>SUM(D41:H41)</f>
        <v>702000</v>
      </c>
      <c r="J41" s="424"/>
      <c r="K41" s="424"/>
      <c r="L41" s="424"/>
      <c r="M41" s="423">
        <f>SUM(J41:L41)</f>
        <v>0</v>
      </c>
      <c r="N41" s="423"/>
      <c r="O41" s="422"/>
      <c r="P41" s="421"/>
      <c r="Q41" s="421"/>
      <c r="R41" s="122"/>
      <c r="S41" s="118"/>
    </row>
    <row r="42" spans="1:19" s="114" customFormat="1" ht="27.75" customHeight="1" thickBot="1">
      <c r="A42" s="120">
        <v>107060</v>
      </c>
      <c r="B42" s="117" t="s">
        <v>248</v>
      </c>
      <c r="C42" s="428">
        <f>I42+M42+O42+P42</f>
        <v>2715000</v>
      </c>
      <c r="D42" s="427"/>
      <c r="E42" s="426"/>
      <c r="F42" s="426"/>
      <c r="G42" s="426">
        <v>2715000</v>
      </c>
      <c r="H42" s="426"/>
      <c r="I42" s="425">
        <f>SUM(D42:H42)</f>
        <v>2715000</v>
      </c>
      <c r="J42" s="424"/>
      <c r="K42" s="424"/>
      <c r="L42" s="424"/>
      <c r="M42" s="423">
        <f>SUM(J42:L42)</f>
        <v>0</v>
      </c>
      <c r="N42" s="423"/>
      <c r="O42" s="422"/>
      <c r="P42" s="421"/>
      <c r="Q42" s="421"/>
      <c r="R42" s="119">
        <v>0.4</v>
      </c>
      <c r="S42" s="118">
        <v>0.4</v>
      </c>
    </row>
    <row r="43" spans="1:19" s="339" customFormat="1" ht="18.75" customHeight="1" thickBot="1">
      <c r="A43" s="342"/>
      <c r="B43" s="341" t="s">
        <v>332</v>
      </c>
      <c r="C43" s="420">
        <f>SUM(C15:C42)</f>
        <v>119792587</v>
      </c>
      <c r="D43" s="420">
        <f>SUM(D15:D42)</f>
        <v>18245057</v>
      </c>
      <c r="E43" s="420">
        <f>SUM(E15:E42)</f>
        <v>4837994</v>
      </c>
      <c r="F43" s="420">
        <f>SUM(F15:F42)</f>
        <v>20433383</v>
      </c>
      <c r="G43" s="420">
        <f>SUM(G15:G42)</f>
        <v>3361000</v>
      </c>
      <c r="H43" s="420">
        <f>SUM(H15:H42)</f>
        <v>38239494</v>
      </c>
      <c r="I43" s="420">
        <f>SUM(I15:I42)</f>
        <v>85116928</v>
      </c>
      <c r="J43" s="420">
        <f>SUM(J15:J42)</f>
        <v>8526900</v>
      </c>
      <c r="K43" s="420">
        <f>SUM(K15:K42)</f>
        <v>23630000</v>
      </c>
      <c r="L43" s="420">
        <f>SUM(L15:L42)</f>
        <v>1200000</v>
      </c>
      <c r="M43" s="420">
        <f>SUM(M15:M42)</f>
        <v>33356900</v>
      </c>
      <c r="N43" s="420">
        <f>SUM(N15:N42)</f>
        <v>1318759</v>
      </c>
      <c r="O43" s="420">
        <f>SUM(O15:O42)</f>
        <v>0</v>
      </c>
      <c r="P43" s="420">
        <f>SUM(P15:P42)</f>
        <v>0</v>
      </c>
      <c r="Q43" s="420">
        <f>SUM(Q15:Q42)</f>
        <v>1318759</v>
      </c>
      <c r="R43" s="340">
        <f>SUM(R15:R42)</f>
        <v>5.2</v>
      </c>
      <c r="S43" s="340">
        <f>SUM(S15:S42)</f>
        <v>5.2</v>
      </c>
    </row>
  </sheetData>
  <sheetProtection/>
  <mergeCells count="31">
    <mergeCell ref="D11:I11"/>
    <mergeCell ref="A10:A14"/>
    <mergeCell ref="P12:P14"/>
    <mergeCell ref="D12:D14"/>
    <mergeCell ref="R10:S10"/>
    <mergeCell ref="F12:F14"/>
    <mergeCell ref="N11:Q11"/>
    <mergeCell ref="G12:G14"/>
    <mergeCell ref="H12:H14"/>
    <mergeCell ref="E12:E14"/>
    <mergeCell ref="J11:M11"/>
    <mergeCell ref="R13:S14"/>
    <mergeCell ref="I12:I14"/>
    <mergeCell ref="R11:S11"/>
    <mergeCell ref="A3:P3"/>
    <mergeCell ref="A4:S4"/>
    <mergeCell ref="A6:S6"/>
    <mergeCell ref="Q12:Q14"/>
    <mergeCell ref="N12:N14"/>
    <mergeCell ref="J12:J14"/>
    <mergeCell ref="A8:S8"/>
    <mergeCell ref="C10:C14"/>
    <mergeCell ref="D10:Q10"/>
    <mergeCell ref="B10:B14"/>
    <mergeCell ref="M12:M14"/>
    <mergeCell ref="O12:O14"/>
    <mergeCell ref="K1:S1"/>
    <mergeCell ref="R9:S9"/>
    <mergeCell ref="A7:S7"/>
    <mergeCell ref="K12:K14"/>
    <mergeCell ref="L12:L14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9.125" style="168" customWidth="1"/>
    <col min="2" max="2" width="63.125" style="168" customWidth="1"/>
    <col min="3" max="6" width="26.25390625" style="168" customWidth="1"/>
    <col min="7" max="16384" width="9.125" style="168" customWidth="1"/>
  </cols>
  <sheetData>
    <row r="2" spans="1:6" s="163" customFormat="1" ht="15.75">
      <c r="A2" s="128"/>
      <c r="C2" s="164"/>
      <c r="D2" s="338"/>
      <c r="E2" s="338"/>
      <c r="F2" s="338"/>
    </row>
    <row r="3" spans="1:6" s="163" customFormat="1" ht="15.75">
      <c r="A3" s="128"/>
      <c r="C3" s="164"/>
      <c r="D3" s="338"/>
      <c r="E3" s="338"/>
      <c r="F3" s="338"/>
    </row>
    <row r="4" spans="1:6" s="66" customFormat="1" ht="15" customHeight="1">
      <c r="A4" s="547" t="s">
        <v>519</v>
      </c>
      <c r="B4" s="548"/>
      <c r="C4" s="548"/>
      <c r="D4" s="548"/>
      <c r="E4" s="548"/>
      <c r="F4" s="548"/>
    </row>
    <row r="5" spans="2:6" s="165" customFormat="1" ht="15" customHeight="1">
      <c r="B5" s="463"/>
      <c r="C5" s="549"/>
      <c r="D5" s="549"/>
      <c r="E5" s="549"/>
      <c r="F5" s="549"/>
    </row>
    <row r="6" spans="2:6" s="126" customFormat="1" ht="15" customHeight="1">
      <c r="B6" s="463" t="s">
        <v>46</v>
      </c>
      <c r="C6" s="463"/>
      <c r="D6" s="463"/>
      <c r="E6" s="463"/>
      <c r="F6" s="463"/>
    </row>
    <row r="7" spans="2:6" s="126" customFormat="1" ht="15.75">
      <c r="B7" s="509" t="s">
        <v>333</v>
      </c>
      <c r="C7" s="509"/>
      <c r="D7" s="509"/>
      <c r="E7" s="509"/>
      <c r="F7" s="509"/>
    </row>
    <row r="8" spans="2:6" s="126" customFormat="1" ht="15" customHeight="1">
      <c r="B8" s="463" t="s">
        <v>472</v>
      </c>
      <c r="C8" s="463"/>
      <c r="D8" s="463"/>
      <c r="E8" s="463"/>
      <c r="F8" s="463"/>
    </row>
    <row r="9" spans="2:6" s="163" customFormat="1" ht="12" customHeight="1" thickBot="1">
      <c r="B9" s="164"/>
      <c r="C9" s="167"/>
      <c r="D9" s="336"/>
      <c r="E9" s="336"/>
      <c r="F9" s="750" t="s">
        <v>551</v>
      </c>
    </row>
    <row r="10" spans="1:6" s="163" customFormat="1" ht="16.5" customHeight="1" thickBot="1">
      <c r="A10" s="488" t="s">
        <v>204</v>
      </c>
      <c r="B10" s="491" t="s">
        <v>205</v>
      </c>
      <c r="C10" s="494" t="s">
        <v>334</v>
      </c>
      <c r="D10" s="497" t="s">
        <v>317</v>
      </c>
      <c r="E10" s="497"/>
      <c r="F10" s="498"/>
    </row>
    <row r="11" spans="1:6" s="163" customFormat="1" ht="33" customHeight="1" thickBot="1">
      <c r="A11" s="489"/>
      <c r="B11" s="492"/>
      <c r="C11" s="495"/>
      <c r="D11" s="333" t="s">
        <v>318</v>
      </c>
      <c r="E11" s="335" t="s">
        <v>319</v>
      </c>
      <c r="F11" s="334" t="s">
        <v>320</v>
      </c>
    </row>
    <row r="12" spans="1:6" s="163" customFormat="1" ht="22.5" customHeight="1">
      <c r="A12" s="489"/>
      <c r="B12" s="492"/>
      <c r="C12" s="495"/>
      <c r="D12" s="499" t="s">
        <v>321</v>
      </c>
      <c r="E12" s="500"/>
      <c r="F12" s="501"/>
    </row>
    <row r="13" spans="1:6" ht="12.75">
      <c r="A13" s="489"/>
      <c r="B13" s="492"/>
      <c r="C13" s="495"/>
      <c r="D13" s="502"/>
      <c r="E13" s="503"/>
      <c r="F13" s="504"/>
    </row>
    <row r="14" spans="1:6" ht="3" customHeight="1" thickBot="1">
      <c r="A14" s="490"/>
      <c r="B14" s="493"/>
      <c r="C14" s="496"/>
      <c r="D14" s="505"/>
      <c r="E14" s="506"/>
      <c r="F14" s="507"/>
    </row>
    <row r="15" spans="1:6" ht="30">
      <c r="A15" s="116" t="s">
        <v>221</v>
      </c>
      <c r="B15" s="117" t="s">
        <v>222</v>
      </c>
      <c r="C15" s="332">
        <f>SUM(D15:F15)</f>
        <v>51275523</v>
      </c>
      <c r="D15" s="332">
        <f>13849000+40900494+15556-396875-2596200-425000+13032+3000-381000-600000-116030-149900+116030+6700+1808+149376+40332-11800-100000</f>
        <v>50318523</v>
      </c>
      <c r="E15" s="332">
        <f>717000+240000</f>
        <v>957000</v>
      </c>
      <c r="F15" s="332"/>
    </row>
    <row r="16" spans="1:6" ht="15">
      <c r="A16" s="120" t="s">
        <v>223</v>
      </c>
      <c r="B16" s="117" t="s">
        <v>41</v>
      </c>
      <c r="C16" s="330">
        <f>SUM(D16:F16)</f>
        <v>64000</v>
      </c>
      <c r="D16" s="330">
        <v>64000</v>
      </c>
      <c r="E16" s="330"/>
      <c r="F16" s="330"/>
    </row>
    <row r="17" spans="1:6" ht="15">
      <c r="A17" s="120" t="s">
        <v>224</v>
      </c>
      <c r="B17" s="117" t="s">
        <v>225</v>
      </c>
      <c r="C17" s="330">
        <f>SUM(D17:F17)</f>
        <v>5063450</v>
      </c>
      <c r="D17" s="330">
        <f>245000+381000-158750</f>
        <v>467250</v>
      </c>
      <c r="E17" s="330">
        <f>2000000+2596200</f>
        <v>4596200</v>
      </c>
      <c r="F17" s="330"/>
    </row>
    <row r="18" spans="1:6" ht="15">
      <c r="A18" s="120" t="s">
        <v>322</v>
      </c>
      <c r="B18" s="117" t="s">
        <v>323</v>
      </c>
      <c r="C18" s="330">
        <f>SUM(D18:F18)</f>
        <v>2202904</v>
      </c>
      <c r="D18" s="330">
        <f>1139000+179759+884145</f>
        <v>2202904</v>
      </c>
      <c r="E18" s="330"/>
      <c r="F18" s="330"/>
    </row>
    <row r="19" spans="1:6" ht="15">
      <c r="A19" s="120" t="s">
        <v>536</v>
      </c>
      <c r="B19" s="117" t="s">
        <v>535</v>
      </c>
      <c r="C19" s="330">
        <f>SUM(D19:F19)</f>
        <v>1538849</v>
      </c>
      <c r="D19" s="330">
        <f>777025+359998+7867+34595+316620+42744</f>
        <v>1538849</v>
      </c>
      <c r="E19" s="330"/>
      <c r="F19" s="330"/>
    </row>
    <row r="20" spans="1:6" ht="15">
      <c r="A20" s="120" t="s">
        <v>543</v>
      </c>
      <c r="B20" s="117" t="s">
        <v>544</v>
      </c>
      <c r="C20" s="330">
        <f>SUM(D20:F20)</f>
        <v>396875</v>
      </c>
      <c r="D20" s="330">
        <v>396875</v>
      </c>
      <c r="E20" s="330"/>
      <c r="F20" s="330"/>
    </row>
    <row r="21" spans="1:6" ht="27" customHeight="1">
      <c r="A21" s="120" t="s">
        <v>226</v>
      </c>
      <c r="B21" s="117" t="s">
        <v>227</v>
      </c>
      <c r="C21" s="330">
        <f>SUM(D21:F21)</f>
        <v>27000</v>
      </c>
      <c r="D21" s="330">
        <v>27000</v>
      </c>
      <c r="E21" s="330"/>
      <c r="F21" s="330"/>
    </row>
    <row r="22" spans="1:6" ht="15">
      <c r="A22" s="120" t="s">
        <v>480</v>
      </c>
      <c r="B22" s="117" t="s">
        <v>481</v>
      </c>
      <c r="C22" s="330">
        <f>SUM(D22:F22)</f>
        <v>19021</v>
      </c>
      <c r="D22" s="278">
        <v>19021</v>
      </c>
      <c r="E22" s="125"/>
      <c r="F22" s="125"/>
    </row>
    <row r="23" spans="1:6" ht="15">
      <c r="A23" s="120" t="s">
        <v>228</v>
      </c>
      <c r="B23" s="117" t="s">
        <v>229</v>
      </c>
      <c r="C23" s="330">
        <f>SUM(D23:F23)</f>
        <v>6313000</v>
      </c>
      <c r="D23" s="330">
        <v>6313000</v>
      </c>
      <c r="E23" s="330"/>
      <c r="F23" s="330"/>
    </row>
    <row r="24" spans="1:6" ht="15">
      <c r="A24" s="120" t="s">
        <v>230</v>
      </c>
      <c r="B24" s="117" t="s">
        <v>231</v>
      </c>
      <c r="C24" s="330">
        <f>SUM(D24:F24)</f>
        <v>960000</v>
      </c>
      <c r="D24" s="330"/>
      <c r="E24" s="330">
        <f>600000-240000+600000</f>
        <v>960000</v>
      </c>
      <c r="F24" s="330"/>
    </row>
    <row r="25" spans="1:6" ht="15">
      <c r="A25" s="120" t="s">
        <v>232</v>
      </c>
      <c r="B25" s="117" t="s">
        <v>233</v>
      </c>
      <c r="C25" s="330">
        <f>SUM(D25:F25)</f>
        <v>1900000</v>
      </c>
      <c r="D25" s="330">
        <v>1900000</v>
      </c>
      <c r="E25" s="330"/>
      <c r="F25" s="330"/>
    </row>
    <row r="26" spans="1:6" ht="15">
      <c r="A26" s="120" t="s">
        <v>234</v>
      </c>
      <c r="B26" s="117" t="s">
        <v>235</v>
      </c>
      <c r="C26" s="330">
        <f>SUM(D26:F26)</f>
        <v>635000</v>
      </c>
      <c r="D26" s="330">
        <v>635000</v>
      </c>
      <c r="E26" s="330"/>
      <c r="F26" s="330"/>
    </row>
    <row r="27" spans="1:6" ht="15">
      <c r="A27" s="120" t="s">
        <v>236</v>
      </c>
      <c r="B27" s="117" t="s">
        <v>237</v>
      </c>
      <c r="C27" s="330">
        <f>SUM(D27:F27)</f>
        <v>2543715</v>
      </c>
      <c r="D27" s="330">
        <f>2281000+61348+2667+149900+11800</f>
        <v>2506715</v>
      </c>
      <c r="E27" s="330">
        <v>37000</v>
      </c>
      <c r="F27" s="330"/>
    </row>
    <row r="28" spans="1:6" ht="15">
      <c r="A28" s="120" t="s">
        <v>238</v>
      </c>
      <c r="B28" s="117" t="s">
        <v>39</v>
      </c>
      <c r="C28" s="330">
        <f>SUM(D28:F28)</f>
        <v>23690000</v>
      </c>
      <c r="D28" s="330">
        <f>23265000+425000</f>
        <v>23690000</v>
      </c>
      <c r="E28" s="330"/>
      <c r="F28" s="330"/>
    </row>
    <row r="29" spans="1:6" ht="15">
      <c r="A29" s="120" t="s">
        <v>239</v>
      </c>
      <c r="B29" s="117" t="s">
        <v>240</v>
      </c>
      <c r="C29" s="330">
        <f>SUM(D29:F29)</f>
        <v>675000</v>
      </c>
      <c r="D29" s="330">
        <v>675000</v>
      </c>
      <c r="E29" s="330"/>
      <c r="F29" s="330"/>
    </row>
    <row r="30" spans="1:6" ht="15">
      <c r="A30" s="120" t="s">
        <v>241</v>
      </c>
      <c r="B30" s="117" t="s">
        <v>42</v>
      </c>
      <c r="C30" s="330">
        <f>SUM(D30:F30)</f>
        <v>863318</v>
      </c>
      <c r="D30" s="330">
        <f>833000+5690+6224+2680+724</f>
        <v>848318</v>
      </c>
      <c r="E30" s="330">
        <v>15000</v>
      </c>
      <c r="F30" s="330"/>
    </row>
    <row r="31" spans="1:6" ht="15">
      <c r="A31" s="120" t="s">
        <v>475</v>
      </c>
      <c r="B31" s="117" t="s">
        <v>482</v>
      </c>
      <c r="C31" s="330">
        <f>SUM(D31:F31)</f>
        <v>2605036</v>
      </c>
      <c r="D31" s="330">
        <f>2463000+18821+23051+11200+9420+2544</f>
        <v>2528036</v>
      </c>
      <c r="E31" s="330">
        <v>77000</v>
      </c>
      <c r="F31" s="330"/>
    </row>
    <row r="32" spans="1:6" ht="15">
      <c r="A32" s="120" t="s">
        <v>477</v>
      </c>
      <c r="B32" s="117" t="s">
        <v>483</v>
      </c>
      <c r="C32" s="330">
        <f>SUM(D32:F32)</f>
        <v>362000</v>
      </c>
      <c r="D32" s="330">
        <v>362000</v>
      </c>
      <c r="E32" s="330"/>
      <c r="F32" s="330"/>
    </row>
    <row r="33" spans="1:6" ht="15">
      <c r="A33" s="120" t="s">
        <v>242</v>
      </c>
      <c r="B33" s="117" t="s">
        <v>40</v>
      </c>
      <c r="C33" s="330">
        <f>SUM(D33:F33)</f>
        <v>340000</v>
      </c>
      <c r="D33" s="330"/>
      <c r="E33" s="330">
        <f>240000+100000</f>
        <v>340000</v>
      </c>
      <c r="F33" s="330"/>
    </row>
    <row r="34" spans="1:6" ht="15">
      <c r="A34" s="120" t="s">
        <v>243</v>
      </c>
      <c r="B34" s="117" t="s">
        <v>244</v>
      </c>
      <c r="C34" s="330">
        <f>SUM(D34:F34)</f>
        <v>50000</v>
      </c>
      <c r="D34" s="330"/>
      <c r="E34" s="330">
        <v>50000</v>
      </c>
      <c r="F34" s="330"/>
    </row>
    <row r="35" spans="1:6" ht="15">
      <c r="A35" s="120" t="s">
        <v>324</v>
      </c>
      <c r="B35" s="117" t="s">
        <v>325</v>
      </c>
      <c r="C35" s="330">
        <f>SUM(D35:F35)</f>
        <v>7044290</v>
      </c>
      <c r="D35" s="330">
        <f>6654000+59225+195840+22225</f>
        <v>6931290</v>
      </c>
      <c r="E35" s="330">
        <v>113000</v>
      </c>
      <c r="F35" s="330"/>
    </row>
    <row r="36" spans="1:6" ht="15">
      <c r="A36" s="120" t="s">
        <v>326</v>
      </c>
      <c r="B36" s="117" t="s">
        <v>327</v>
      </c>
      <c r="C36" s="330">
        <f>SUM(D36:F36)</f>
        <v>1278970</v>
      </c>
      <c r="D36" s="330"/>
      <c r="E36" s="330">
        <f>1226000+30745+22225</f>
        <v>1278970</v>
      </c>
      <c r="F36" s="330"/>
    </row>
    <row r="37" spans="1:6" ht="15">
      <c r="A37" s="120" t="s">
        <v>326</v>
      </c>
      <c r="B37" s="117" t="s">
        <v>484</v>
      </c>
      <c r="C37" s="330">
        <f>SUM(D37:F37)</f>
        <v>1851511</v>
      </c>
      <c r="D37" s="330"/>
      <c r="E37" s="330">
        <f>1877000+54755-11200-50499-37595+19050</f>
        <v>1851511</v>
      </c>
      <c r="F37" s="330"/>
    </row>
    <row r="38" spans="1:6" ht="15">
      <c r="A38" s="120">
        <v>104051</v>
      </c>
      <c r="B38" s="124" t="s">
        <v>382</v>
      </c>
      <c r="C38" s="330">
        <f>SUM(D38:F38)</f>
        <v>46000</v>
      </c>
      <c r="D38" s="330"/>
      <c r="E38" s="330"/>
      <c r="F38" s="330">
        <v>46000</v>
      </c>
    </row>
    <row r="39" spans="1:6" ht="15">
      <c r="A39" s="120">
        <v>106020</v>
      </c>
      <c r="B39" s="117" t="s">
        <v>245</v>
      </c>
      <c r="C39" s="330">
        <f>SUM(D39:F39)</f>
        <v>600000</v>
      </c>
      <c r="D39" s="330">
        <v>600000</v>
      </c>
      <c r="E39" s="330"/>
      <c r="F39" s="330"/>
    </row>
    <row r="40" spans="1:13" ht="15">
      <c r="A40" s="120" t="s">
        <v>246</v>
      </c>
      <c r="B40" s="123" t="s">
        <v>381</v>
      </c>
      <c r="C40" s="330">
        <f>SUM(D40:F40)</f>
        <v>4030125</v>
      </c>
      <c r="D40" s="330">
        <f>3806000+40275+29600+95250</f>
        <v>3971125</v>
      </c>
      <c r="E40" s="330">
        <v>59000</v>
      </c>
      <c r="F40" s="330"/>
      <c r="G40" s="295"/>
      <c r="H40" s="295"/>
      <c r="I40" s="295"/>
      <c r="J40" s="295"/>
      <c r="K40" s="295"/>
      <c r="L40" s="295"/>
      <c r="M40" s="295"/>
    </row>
    <row r="41" spans="1:13" ht="15">
      <c r="A41" s="120">
        <v>107052</v>
      </c>
      <c r="B41" s="124" t="s">
        <v>247</v>
      </c>
      <c r="C41" s="330">
        <f>SUM(D41:F41)</f>
        <v>702000</v>
      </c>
      <c r="D41" s="279">
        <v>702000</v>
      </c>
      <c r="E41" s="125"/>
      <c r="F41" s="125"/>
      <c r="G41" s="296"/>
      <c r="H41" s="296"/>
      <c r="I41" s="297"/>
      <c r="J41" s="298"/>
      <c r="K41" s="298"/>
      <c r="L41" s="298"/>
      <c r="M41" s="297"/>
    </row>
    <row r="42" spans="1:6" ht="15.75" thickBot="1">
      <c r="A42" s="120">
        <v>107060</v>
      </c>
      <c r="B42" s="117" t="s">
        <v>248</v>
      </c>
      <c r="C42" s="330">
        <f>SUM(D42:F42)</f>
        <v>2715000</v>
      </c>
      <c r="D42" s="330">
        <v>2715000</v>
      </c>
      <c r="E42" s="330"/>
      <c r="F42" s="330"/>
    </row>
    <row r="43" spans="1:6" ht="33" customHeight="1" thickBot="1">
      <c r="A43" s="171"/>
      <c r="B43" s="172" t="s">
        <v>2</v>
      </c>
      <c r="C43" s="328">
        <f>SUM(C15:C42)</f>
        <v>119792587</v>
      </c>
      <c r="D43" s="328">
        <f>SUM(D15:D42)</f>
        <v>109411906</v>
      </c>
      <c r="E43" s="328">
        <f>SUM(E15:E42)</f>
        <v>10334681</v>
      </c>
      <c r="F43" s="328">
        <f>SUM(F15:F42)</f>
        <v>46000</v>
      </c>
    </row>
  </sheetData>
  <sheetProtection/>
  <mergeCells count="10">
    <mergeCell ref="A4:F4"/>
    <mergeCell ref="A10:A14"/>
    <mergeCell ref="B10:B14"/>
    <mergeCell ref="C10:C14"/>
    <mergeCell ref="D10:F10"/>
    <mergeCell ref="D12:F14"/>
    <mergeCell ref="B6:F6"/>
    <mergeCell ref="B7:F7"/>
    <mergeCell ref="B8:F8"/>
    <mergeCell ref="B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4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875" style="0" customWidth="1"/>
    <col min="4" max="4" width="30.875" style="0" customWidth="1"/>
    <col min="5" max="5" width="15.00390625" style="0" customWidth="1"/>
    <col min="6" max="6" width="14.625" style="0" customWidth="1"/>
    <col min="7" max="7" width="6.125" style="0" customWidth="1"/>
    <col min="8" max="8" width="1.37890625" style="0" customWidth="1"/>
    <col min="9" max="9" width="2.875" style="0" hidden="1" customWidth="1"/>
  </cols>
  <sheetData>
    <row r="4" ht="12.75">
      <c r="A4" t="s">
        <v>520</v>
      </c>
    </row>
    <row r="6" spans="1:9" ht="12.75">
      <c r="A6" s="564"/>
      <c r="B6" s="564"/>
      <c r="C6" s="564"/>
      <c r="D6" s="564"/>
      <c r="E6" s="564"/>
      <c r="F6" s="564"/>
      <c r="G6" s="564"/>
      <c r="H6" s="564"/>
      <c r="I6" s="564"/>
    </row>
    <row r="8" spans="1:9" ht="16.5" customHeight="1">
      <c r="A8" s="768" t="s">
        <v>4</v>
      </c>
      <c r="B8" s="768"/>
      <c r="C8" s="768"/>
      <c r="D8" s="768"/>
      <c r="E8" s="768"/>
      <c r="F8" s="768"/>
      <c r="G8" s="768"/>
      <c r="H8" s="768"/>
      <c r="I8" s="768"/>
    </row>
    <row r="9" spans="1:9" ht="15" customHeight="1">
      <c r="A9" s="768" t="s">
        <v>552</v>
      </c>
      <c r="B9" s="768"/>
      <c r="C9" s="768"/>
      <c r="D9" s="768"/>
      <c r="E9" s="768"/>
      <c r="F9" s="768"/>
      <c r="G9" s="768"/>
      <c r="H9" s="768"/>
      <c r="I9" s="768"/>
    </row>
    <row r="10" spans="1:9" ht="15" customHeight="1">
      <c r="A10" s="768" t="s">
        <v>485</v>
      </c>
      <c r="B10" s="768"/>
      <c r="C10" s="768"/>
      <c r="D10" s="768"/>
      <c r="E10" s="768"/>
      <c r="F10" s="768"/>
      <c r="G10" s="768"/>
      <c r="H10" s="768"/>
      <c r="I10" s="768"/>
    </row>
    <row r="11" spans="1:9" ht="15" customHeight="1">
      <c r="A11" s="767"/>
      <c r="B11" s="767"/>
      <c r="C11" s="767"/>
      <c r="D11" s="767"/>
      <c r="E11" s="767"/>
      <c r="F11" s="767"/>
      <c r="G11" s="767"/>
      <c r="H11" s="767"/>
      <c r="I11" s="767"/>
    </row>
    <row r="12" spans="1:9" ht="15" customHeight="1" thickBot="1">
      <c r="A12" s="767"/>
      <c r="B12" s="767"/>
      <c r="C12" s="767"/>
      <c r="D12" s="767"/>
      <c r="E12" s="767"/>
      <c r="F12" s="389" t="s">
        <v>551</v>
      </c>
      <c r="G12" s="767"/>
      <c r="H12" s="767"/>
      <c r="I12" s="767"/>
    </row>
    <row r="13" spans="1:7" ht="12.75">
      <c r="A13" s="766"/>
      <c r="B13" s="765"/>
      <c r="C13" s="765"/>
      <c r="D13" s="765"/>
      <c r="E13" s="765"/>
      <c r="F13" s="764" t="s">
        <v>11</v>
      </c>
      <c r="G13" s="757"/>
    </row>
    <row r="14" spans="1:7" ht="15">
      <c r="A14" s="763" t="s">
        <v>0</v>
      </c>
      <c r="B14" s="762"/>
      <c r="C14" s="762"/>
      <c r="D14" s="762"/>
      <c r="E14" s="762"/>
      <c r="F14" s="761"/>
      <c r="G14" s="757"/>
    </row>
    <row r="15" spans="1:7" ht="13.5" thickBot="1">
      <c r="A15" s="760"/>
      <c r="B15" s="759"/>
      <c r="C15" s="759"/>
      <c r="D15" s="759"/>
      <c r="E15" s="759"/>
      <c r="F15" s="758"/>
      <c r="G15" s="757"/>
    </row>
    <row r="17" spans="1:4" ht="12.75">
      <c r="A17" s="291" t="s">
        <v>249</v>
      </c>
      <c r="B17" s="291"/>
      <c r="C17" s="291"/>
      <c r="D17" s="291"/>
    </row>
    <row r="19" spans="2:5" ht="28.5" customHeight="1">
      <c r="B19" s="753" t="s">
        <v>250</v>
      </c>
      <c r="C19" s="756"/>
      <c r="D19" s="756"/>
      <c r="E19" s="755"/>
    </row>
    <row r="20" spans="1:2" ht="12.75">
      <c r="A20" t="s">
        <v>49</v>
      </c>
      <c r="B20" t="s">
        <v>25</v>
      </c>
    </row>
    <row r="21" spans="1:6" ht="12.75">
      <c r="A21" t="s">
        <v>29</v>
      </c>
      <c r="B21" t="s">
        <v>85</v>
      </c>
      <c r="F21" s="444">
        <v>70000</v>
      </c>
    </row>
    <row r="22" spans="1:6" ht="12.75">
      <c r="A22" t="s">
        <v>50</v>
      </c>
      <c r="B22" t="s">
        <v>30</v>
      </c>
      <c r="F22" s="444">
        <f>92000+116030</f>
        <v>208030</v>
      </c>
    </row>
    <row r="24" spans="2:6" ht="29.25" customHeight="1">
      <c r="B24" s="753" t="s">
        <v>251</v>
      </c>
      <c r="C24" s="754"/>
      <c r="D24" s="754"/>
      <c r="F24" s="292">
        <f>F21+F22</f>
        <v>278030</v>
      </c>
    </row>
    <row r="26" spans="2:4" ht="30.75" customHeight="1">
      <c r="B26" s="753" t="s">
        <v>252</v>
      </c>
      <c r="C26" s="754"/>
      <c r="D26" s="754"/>
    </row>
    <row r="28" spans="1:6" ht="12.75">
      <c r="A28" t="s">
        <v>49</v>
      </c>
      <c r="B28" t="s">
        <v>26</v>
      </c>
      <c r="F28" s="444">
        <v>50000</v>
      </c>
    </row>
    <row r="30" spans="1:6" ht="12.75">
      <c r="A30" t="s">
        <v>29</v>
      </c>
      <c r="B30" t="s">
        <v>27</v>
      </c>
      <c r="F30" s="444">
        <f>40000+100000</f>
        <v>140000</v>
      </c>
    </row>
    <row r="31" spans="1:6" ht="12.75">
      <c r="A31" t="s">
        <v>50</v>
      </c>
      <c r="B31" t="s">
        <v>28</v>
      </c>
      <c r="F31" s="444">
        <v>80000</v>
      </c>
    </row>
    <row r="32" spans="1:6" ht="12.75">
      <c r="A32" t="s">
        <v>113</v>
      </c>
      <c r="B32" t="s">
        <v>52</v>
      </c>
      <c r="F32" s="444">
        <v>120000</v>
      </c>
    </row>
    <row r="33" spans="1:6" ht="12.75">
      <c r="A33" t="s">
        <v>115</v>
      </c>
      <c r="B33" t="s">
        <v>53</v>
      </c>
      <c r="F33" s="444">
        <v>75000</v>
      </c>
    </row>
    <row r="34" spans="1:6" ht="12.75">
      <c r="A34" t="s">
        <v>121</v>
      </c>
      <c r="B34" t="s">
        <v>86</v>
      </c>
      <c r="F34" s="444">
        <v>600000</v>
      </c>
    </row>
    <row r="36" spans="2:6" ht="31.5" customHeight="1">
      <c r="B36" s="753" t="s">
        <v>253</v>
      </c>
      <c r="C36" s="753"/>
      <c r="D36" s="753"/>
      <c r="F36" s="292">
        <f>F28+F30+F31+F32+F33+F34</f>
        <v>1065000</v>
      </c>
    </row>
    <row r="38" spans="1:6" ht="15.75">
      <c r="A38" s="752" t="s">
        <v>254</v>
      </c>
      <c r="B38" s="752"/>
      <c r="C38" s="752"/>
      <c r="D38" s="752"/>
      <c r="E38" s="752"/>
      <c r="F38" s="751">
        <f>F24+F36</f>
        <v>1343030</v>
      </c>
    </row>
    <row r="41" spans="1:6" ht="15.75">
      <c r="A41" s="752" t="s">
        <v>7</v>
      </c>
      <c r="B41" s="752"/>
      <c r="C41" s="752"/>
      <c r="D41" s="752"/>
      <c r="E41" s="752"/>
      <c r="F41" s="751">
        <f>F38</f>
        <v>1343030</v>
      </c>
    </row>
  </sheetData>
  <sheetProtection/>
  <mergeCells count="10">
    <mergeCell ref="B24:D24"/>
    <mergeCell ref="B26:D26"/>
    <mergeCell ref="B36:D36"/>
    <mergeCell ref="A6:I6"/>
    <mergeCell ref="A8:I8"/>
    <mergeCell ref="A9:I9"/>
    <mergeCell ref="A10:I10"/>
    <mergeCell ref="A14:E14"/>
    <mergeCell ref="F13:F15"/>
    <mergeCell ref="B19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67.875" style="32" customWidth="1"/>
    <col min="2" max="2" width="12.125" style="32" customWidth="1"/>
    <col min="3" max="3" width="16.00390625" style="319" customWidth="1"/>
    <col min="4" max="16384" width="9.125" style="32" customWidth="1"/>
  </cols>
  <sheetData>
    <row r="1" spans="1:4" ht="15.75">
      <c r="A1" s="128"/>
      <c r="B1" s="128"/>
      <c r="C1" s="128"/>
      <c r="D1" s="89"/>
    </row>
    <row r="2" spans="1:4" ht="15">
      <c r="A2" s="90"/>
      <c r="B2" s="90"/>
      <c r="C2" s="90"/>
      <c r="D2" s="89"/>
    </row>
    <row r="3" spans="1:3" ht="15.75" customHeight="1">
      <c r="A3" s="552" t="s">
        <v>521</v>
      </c>
      <c r="B3" s="552"/>
      <c r="C3" s="552"/>
    </row>
    <row r="4" spans="1:3" ht="15.75" customHeight="1">
      <c r="A4" s="388"/>
      <c r="B4" s="388"/>
      <c r="C4" s="388"/>
    </row>
    <row r="5" spans="1:3" ht="15">
      <c r="A5" s="554"/>
      <c r="B5" s="548"/>
      <c r="C5" s="548"/>
    </row>
    <row r="6" spans="1:3" s="13" customFormat="1" ht="15.75" customHeight="1">
      <c r="A6" s="553" t="s">
        <v>44</v>
      </c>
      <c r="B6" s="553"/>
      <c r="C6" s="553"/>
    </row>
    <row r="7" spans="1:6" s="18" customFormat="1" ht="15.75">
      <c r="A7" s="551" t="s">
        <v>45</v>
      </c>
      <c r="B7" s="551"/>
      <c r="C7" s="551"/>
      <c r="D7" s="44"/>
      <c r="E7" s="44"/>
      <c r="F7" s="44"/>
    </row>
    <row r="8" spans="1:6" s="12" customFormat="1" ht="15">
      <c r="A8" s="550" t="s">
        <v>497</v>
      </c>
      <c r="B8" s="550"/>
      <c r="C8" s="550"/>
      <c r="D8" s="43"/>
      <c r="E8" s="43"/>
      <c r="F8" s="43"/>
    </row>
    <row r="9" spans="2:3" ht="15.75" customHeight="1" thickBot="1">
      <c r="B9" s="33"/>
      <c r="C9" s="349" t="s">
        <v>534</v>
      </c>
    </row>
    <row r="10" spans="1:3" ht="15" customHeight="1">
      <c r="A10" s="34"/>
      <c r="B10" s="35" t="s">
        <v>19</v>
      </c>
      <c r="C10" s="348" t="s">
        <v>36</v>
      </c>
    </row>
    <row r="11" spans="1:3" ht="15.75" customHeight="1">
      <c r="A11" s="36" t="s">
        <v>0</v>
      </c>
      <c r="B11" s="37"/>
      <c r="C11" s="347" t="s">
        <v>37</v>
      </c>
    </row>
    <row r="12" spans="1:3" ht="32.25" thickBot="1">
      <c r="A12" s="38"/>
      <c r="B12" s="39" t="s">
        <v>10</v>
      </c>
      <c r="C12" s="346" t="s">
        <v>38</v>
      </c>
    </row>
    <row r="13" ht="11.25" customHeight="1">
      <c r="C13" s="32"/>
    </row>
    <row r="14" ht="11.25" customHeight="1">
      <c r="B14" s="343"/>
    </row>
    <row r="15" spans="1:3" ht="15.75">
      <c r="A15" s="40" t="s">
        <v>31</v>
      </c>
      <c r="B15" s="343"/>
      <c r="C15" s="319">
        <f>B14*0.9</f>
        <v>0</v>
      </c>
    </row>
    <row r="16" spans="1:2" ht="15.75">
      <c r="A16" s="40" t="s">
        <v>9</v>
      </c>
      <c r="B16" s="343"/>
    </row>
    <row r="17" ht="15" customHeight="1">
      <c r="B17" s="343"/>
    </row>
    <row r="18" spans="1:2" ht="15.75">
      <c r="A18" s="32" t="s">
        <v>87</v>
      </c>
      <c r="B18" s="345">
        <v>350000</v>
      </c>
    </row>
    <row r="19" spans="1:2" ht="30">
      <c r="A19" s="156" t="s">
        <v>383</v>
      </c>
      <c r="B19" s="431">
        <v>600000</v>
      </c>
    </row>
    <row r="20" spans="1:2" ht="15.75">
      <c r="A20" s="156" t="s">
        <v>384</v>
      </c>
      <c r="B20" s="431">
        <v>715000</v>
      </c>
    </row>
    <row r="21" spans="1:2" ht="15.75">
      <c r="A21" s="156" t="s">
        <v>385</v>
      </c>
      <c r="B21" s="431">
        <v>440000</v>
      </c>
    </row>
    <row r="22" spans="1:2" ht="30">
      <c r="A22" s="156" t="s">
        <v>386</v>
      </c>
      <c r="B22" s="435">
        <v>46000</v>
      </c>
    </row>
    <row r="23" spans="1:2" ht="15.75">
      <c r="A23" s="32" t="s">
        <v>92</v>
      </c>
      <c r="B23" s="435">
        <v>210000</v>
      </c>
    </row>
    <row r="24" spans="1:2" ht="14.25" customHeight="1">
      <c r="A24" s="32" t="s">
        <v>553</v>
      </c>
      <c r="B24" s="433">
        <v>1000000</v>
      </c>
    </row>
    <row r="25" spans="1:2" ht="15.75">
      <c r="A25" s="40" t="s">
        <v>31</v>
      </c>
      <c r="B25" s="433"/>
    </row>
    <row r="26" spans="1:3" ht="15">
      <c r="A26" s="40" t="s">
        <v>32</v>
      </c>
      <c r="B26" s="434">
        <f>SUM(B18:B25)</f>
        <v>3361000</v>
      </c>
      <c r="C26" s="305"/>
    </row>
    <row r="27" ht="11.25" customHeight="1">
      <c r="B27" s="433"/>
    </row>
    <row r="28" spans="1:3" ht="15">
      <c r="A28" s="40" t="s">
        <v>33</v>
      </c>
      <c r="B28" s="434">
        <f>B26</f>
        <v>3361000</v>
      </c>
      <c r="C28" s="305">
        <f>C26</f>
        <v>0</v>
      </c>
    </row>
    <row r="29" ht="11.25" customHeight="1">
      <c r="B29" s="433"/>
    </row>
    <row r="30" spans="1:3" s="40" customFormat="1" ht="15.75">
      <c r="A30" s="40" t="s">
        <v>308</v>
      </c>
      <c r="B30" s="308"/>
      <c r="C30" s="318"/>
    </row>
    <row r="31" ht="11.25" customHeight="1">
      <c r="B31" s="431"/>
    </row>
    <row r="32" spans="1:2" ht="30" customHeight="1">
      <c r="A32" s="156" t="s">
        <v>309</v>
      </c>
      <c r="B32" s="431">
        <f>600000-240000+600000</f>
        <v>960000</v>
      </c>
    </row>
    <row r="33" spans="1:2" ht="33.75" customHeight="1">
      <c r="A33" s="432" t="s">
        <v>545</v>
      </c>
      <c r="B33" s="431">
        <v>240000</v>
      </c>
    </row>
    <row r="34" spans="1:2" ht="15.75">
      <c r="A34" s="40" t="s">
        <v>310</v>
      </c>
      <c r="B34" s="308">
        <f>B32+B33</f>
        <v>1200000</v>
      </c>
    </row>
    <row r="35" ht="11.25" customHeight="1">
      <c r="B35" s="431"/>
    </row>
    <row r="36" spans="1:3" s="42" customFormat="1" ht="16.5">
      <c r="A36" s="41" t="s">
        <v>34</v>
      </c>
      <c r="B36" s="430"/>
      <c r="C36" s="319"/>
    </row>
    <row r="37" spans="1:3" s="42" customFormat="1" ht="16.5">
      <c r="A37" s="41" t="s">
        <v>35</v>
      </c>
      <c r="B37" s="429">
        <f>B28+B34</f>
        <v>4561000</v>
      </c>
      <c r="C37" s="344">
        <f>C28</f>
        <v>0</v>
      </c>
    </row>
    <row r="41" ht="15">
      <c r="C41" s="32"/>
    </row>
    <row r="42" ht="15.75">
      <c r="C42" s="13"/>
    </row>
    <row r="43" ht="15.75">
      <c r="C43" s="13"/>
    </row>
    <row r="44" ht="15.75">
      <c r="C44" s="318"/>
    </row>
  </sheetData>
  <sheetProtection/>
  <mergeCells count="5">
    <mergeCell ref="A8:C8"/>
    <mergeCell ref="A7:C7"/>
    <mergeCell ref="A3:C3"/>
    <mergeCell ref="A6:C6"/>
    <mergeCell ref="A5:C5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70.375" style="14" customWidth="1"/>
    <col min="2" max="2" width="21.875" style="14" customWidth="1"/>
    <col min="3" max="16384" width="9.125" style="14" customWidth="1"/>
  </cols>
  <sheetData>
    <row r="1" spans="1:3" s="176" customFormat="1" ht="15">
      <c r="A1" s="175"/>
      <c r="B1" s="175"/>
      <c r="C1" s="175"/>
    </row>
    <row r="2" spans="1:3" s="176" customFormat="1" ht="10.5" customHeight="1">
      <c r="A2" s="175"/>
      <c r="B2" s="175"/>
      <c r="C2" s="175"/>
    </row>
    <row r="3" spans="1:3" s="176" customFormat="1" ht="15">
      <c r="A3" s="175" t="s">
        <v>522</v>
      </c>
      <c r="B3" s="175"/>
      <c r="C3" s="175"/>
    </row>
    <row r="4" spans="1:3" s="176" customFormat="1" ht="15">
      <c r="A4" s="175"/>
      <c r="B4" s="175"/>
      <c r="C4" s="175"/>
    </row>
    <row r="5" spans="1:2" ht="15.75">
      <c r="A5" s="556"/>
      <c r="B5" s="557"/>
    </row>
    <row r="6" spans="1:2" s="178" customFormat="1" ht="18.75">
      <c r="A6" s="177" t="s">
        <v>335</v>
      </c>
      <c r="B6" s="177"/>
    </row>
    <row r="7" spans="1:2" s="178" customFormat="1" ht="18.75">
      <c r="A7" s="555" t="s">
        <v>336</v>
      </c>
      <c r="B7" s="555"/>
    </row>
    <row r="8" spans="1:2" s="178" customFormat="1" ht="19.5" thickBot="1">
      <c r="A8" s="555" t="s">
        <v>472</v>
      </c>
      <c r="B8" s="555"/>
    </row>
    <row r="9" spans="1:2" ht="15.75">
      <c r="A9" s="179"/>
      <c r="B9" s="180" t="s">
        <v>10</v>
      </c>
    </row>
    <row r="10" spans="1:2" ht="12" customHeight="1">
      <c r="A10" s="181" t="s">
        <v>337</v>
      </c>
      <c r="B10" s="181"/>
    </row>
    <row r="11" spans="1:2" ht="16.5" customHeight="1" thickBot="1">
      <c r="A11" s="182"/>
      <c r="B11" s="183" t="s">
        <v>540</v>
      </c>
    </row>
    <row r="12" spans="1:2" ht="16.5" customHeight="1">
      <c r="A12" s="184"/>
      <c r="B12" s="185"/>
    </row>
    <row r="13" spans="1:2" ht="18.75" customHeight="1">
      <c r="A13" s="207" t="s">
        <v>514</v>
      </c>
      <c r="B13" s="185"/>
    </row>
    <row r="14" spans="1:2" ht="15.75">
      <c r="A14" s="186" t="s">
        <v>488</v>
      </c>
      <c r="B14" s="443">
        <f>80000-4960</f>
        <v>75040</v>
      </c>
    </row>
    <row r="15" spans="1:2" ht="15.75">
      <c r="A15" s="186" t="s">
        <v>338</v>
      </c>
      <c r="B15" s="437">
        <v>22000</v>
      </c>
    </row>
    <row r="16" spans="1:2" ht="15.75">
      <c r="A16" s="184" t="s">
        <v>2</v>
      </c>
      <c r="B16" s="407">
        <f>SUM(B14:B15)</f>
        <v>97040</v>
      </c>
    </row>
    <row r="17" spans="1:2" ht="12.75" customHeight="1">
      <c r="A17" s="184"/>
      <c r="B17" s="407"/>
    </row>
    <row r="18" spans="1:2" ht="15.75">
      <c r="A18" s="207" t="s">
        <v>512</v>
      </c>
      <c r="B18" s="439"/>
    </row>
    <row r="19" spans="1:2" ht="15.75">
      <c r="A19" s="186" t="s">
        <v>513</v>
      </c>
      <c r="B19" s="412">
        <v>2000000</v>
      </c>
    </row>
    <row r="20" spans="1:2" ht="15.75">
      <c r="A20" s="186" t="s">
        <v>546</v>
      </c>
      <c r="B20" s="440">
        <v>2596200</v>
      </c>
    </row>
    <row r="21" spans="1:2" ht="15.75">
      <c r="A21" s="184" t="s">
        <v>2</v>
      </c>
      <c r="B21" s="407">
        <f>SUM(B19:B20)</f>
        <v>4596200</v>
      </c>
    </row>
    <row r="22" spans="1:2" ht="15.75">
      <c r="A22" s="184"/>
      <c r="B22" s="407"/>
    </row>
    <row r="23" spans="1:2" ht="15.75">
      <c r="A23" s="186" t="s">
        <v>557</v>
      </c>
      <c r="B23" s="412">
        <v>300000</v>
      </c>
    </row>
    <row r="24" spans="1:2" ht="15.75">
      <c r="A24" s="186" t="s">
        <v>338</v>
      </c>
      <c r="B24" s="440">
        <v>81000</v>
      </c>
    </row>
    <row r="25" spans="1:2" ht="15.75">
      <c r="A25" s="184" t="s">
        <v>2</v>
      </c>
      <c r="B25" s="407">
        <v>381000</v>
      </c>
    </row>
    <row r="26" ht="12" customHeight="1">
      <c r="B26" s="441"/>
    </row>
    <row r="27" spans="1:2" ht="15.75">
      <c r="A27" s="208" t="s">
        <v>388</v>
      </c>
      <c r="B27" s="441"/>
    </row>
    <row r="28" spans="1:2" ht="15.75">
      <c r="A28" s="350" t="s">
        <v>556</v>
      </c>
      <c r="B28" s="442">
        <f>366000+9433+118032+4960</f>
        <v>498425</v>
      </c>
    </row>
    <row r="29" spans="1:2" ht="16.5" customHeight="1">
      <c r="A29" s="186" t="s">
        <v>338</v>
      </c>
      <c r="B29" s="440">
        <f>99000+2367+31868</f>
        <v>133235</v>
      </c>
    </row>
    <row r="30" spans="1:2" ht="13.5" customHeight="1">
      <c r="A30" s="184" t="s">
        <v>2</v>
      </c>
      <c r="B30" s="407">
        <f>SUM(B28:B29)</f>
        <v>631660</v>
      </c>
    </row>
    <row r="31" spans="1:2" ht="13.5" customHeight="1">
      <c r="A31" s="184"/>
      <c r="B31" s="407"/>
    </row>
    <row r="32" spans="1:2" ht="13.5" customHeight="1">
      <c r="A32" s="184" t="s">
        <v>555</v>
      </c>
      <c r="B32" s="407"/>
    </row>
    <row r="33" spans="1:2" ht="13.5" customHeight="1">
      <c r="A33" s="186" t="s">
        <v>554</v>
      </c>
      <c r="B33" s="412">
        <v>2000000</v>
      </c>
    </row>
    <row r="34" spans="1:2" ht="13.5" customHeight="1">
      <c r="A34" s="186" t="s">
        <v>338</v>
      </c>
      <c r="B34" s="769">
        <v>540000</v>
      </c>
    </row>
    <row r="35" spans="1:2" ht="13.5" customHeight="1">
      <c r="A35" s="184" t="s">
        <v>2</v>
      </c>
      <c r="B35" s="407">
        <f>B33+B34</f>
        <v>2540000</v>
      </c>
    </row>
    <row r="36" spans="1:2" ht="13.5" customHeight="1">
      <c r="A36" s="184"/>
      <c r="B36" s="407"/>
    </row>
    <row r="37" spans="1:2" ht="13.5" customHeight="1">
      <c r="A37" s="280" t="s">
        <v>494</v>
      </c>
      <c r="B37" s="407"/>
    </row>
    <row r="38" spans="1:2" ht="13.5" customHeight="1">
      <c r="A38" s="186" t="s">
        <v>495</v>
      </c>
      <c r="B38" s="412">
        <v>142000</v>
      </c>
    </row>
    <row r="39" spans="1:2" ht="13.5" customHeight="1">
      <c r="A39" s="186" t="s">
        <v>338</v>
      </c>
      <c r="B39" s="440">
        <v>38000</v>
      </c>
    </row>
    <row r="40" spans="1:2" ht="13.5" customHeight="1">
      <c r="A40" s="184" t="s">
        <v>2</v>
      </c>
      <c r="B40" s="407">
        <f>B38+B39</f>
        <v>180000</v>
      </c>
    </row>
    <row r="41" spans="1:2" ht="13.5" customHeight="1">
      <c r="A41" s="184"/>
      <c r="B41" s="407"/>
    </row>
    <row r="42" spans="1:2" ht="13.5" customHeight="1">
      <c r="A42" s="280" t="s">
        <v>489</v>
      </c>
      <c r="B42" s="439"/>
    </row>
    <row r="43" spans="1:2" ht="13.5" customHeight="1">
      <c r="A43" s="281" t="s">
        <v>490</v>
      </c>
      <c r="B43" s="438">
        <v>41000</v>
      </c>
    </row>
    <row r="44" spans="1:2" ht="13.5" customHeight="1">
      <c r="A44" s="186" t="s">
        <v>338</v>
      </c>
      <c r="B44" s="437">
        <v>11000</v>
      </c>
    </row>
    <row r="45" spans="1:2" ht="13.5" customHeight="1">
      <c r="A45" s="184" t="s">
        <v>2</v>
      </c>
      <c r="B45" s="407">
        <f>SUM(B43:B44)</f>
        <v>52000</v>
      </c>
    </row>
    <row r="46" spans="1:2" ht="13.5" customHeight="1">
      <c r="A46" s="184"/>
      <c r="B46" s="407"/>
    </row>
    <row r="47" spans="1:2" ht="13.5" customHeight="1">
      <c r="A47" s="280" t="s">
        <v>491</v>
      </c>
      <c r="B47" s="407"/>
    </row>
    <row r="48" spans="1:2" ht="13.5" customHeight="1">
      <c r="A48" s="281" t="s">
        <v>490</v>
      </c>
      <c r="B48" s="438">
        <v>7000</v>
      </c>
    </row>
    <row r="49" spans="1:2" ht="13.5" customHeight="1">
      <c r="A49" s="186" t="s">
        <v>338</v>
      </c>
      <c r="B49" s="437">
        <v>2000</v>
      </c>
    </row>
    <row r="50" spans="1:2" ht="13.5" customHeight="1">
      <c r="A50" s="184" t="s">
        <v>2</v>
      </c>
      <c r="B50" s="407">
        <f>SUM(B48:B49)</f>
        <v>9000</v>
      </c>
    </row>
    <row r="51" spans="1:2" ht="13.5" customHeight="1">
      <c r="A51" s="184"/>
      <c r="B51" s="407"/>
    </row>
    <row r="52" spans="1:2" ht="13.5" customHeight="1">
      <c r="A52" s="184"/>
      <c r="B52" s="407"/>
    </row>
    <row r="53" spans="1:2" ht="13.5" customHeight="1">
      <c r="A53" s="184"/>
      <c r="B53" s="407"/>
    </row>
    <row r="54" spans="1:2" ht="13.5" customHeight="1">
      <c r="A54" s="280" t="s">
        <v>492</v>
      </c>
      <c r="B54" s="407"/>
    </row>
    <row r="55" spans="1:2" ht="13.5" customHeight="1">
      <c r="A55" s="281" t="s">
        <v>490</v>
      </c>
      <c r="B55" s="438">
        <v>10000</v>
      </c>
    </row>
    <row r="56" spans="1:2" ht="13.5" customHeight="1">
      <c r="A56" s="186" t="s">
        <v>338</v>
      </c>
      <c r="B56" s="437">
        <v>3000</v>
      </c>
    </row>
    <row r="57" spans="1:2" ht="13.5" customHeight="1">
      <c r="A57" s="184" t="s">
        <v>2</v>
      </c>
      <c r="B57" s="407">
        <f>SUM(B55:B56)</f>
        <v>13000</v>
      </c>
    </row>
    <row r="58" spans="1:2" ht="13.5" customHeight="1">
      <c r="A58" s="184"/>
      <c r="B58" s="407"/>
    </row>
    <row r="59" spans="1:2" ht="13.5" customHeight="1">
      <c r="A59" s="282" t="s">
        <v>493</v>
      </c>
      <c r="B59" s="407"/>
    </row>
    <row r="60" spans="1:2" ht="13.5" customHeight="1">
      <c r="A60" s="281" t="s">
        <v>490</v>
      </c>
      <c r="B60" s="438">
        <v>21000</v>
      </c>
    </row>
    <row r="61" spans="1:2" ht="13.5" customHeight="1">
      <c r="A61" s="186" t="s">
        <v>338</v>
      </c>
      <c r="B61" s="437">
        <v>6000</v>
      </c>
    </row>
    <row r="62" spans="1:2" ht="13.5" customHeight="1">
      <c r="A62" s="184" t="s">
        <v>2</v>
      </c>
      <c r="B62" s="407">
        <f>SUM(B60:B61)</f>
        <v>27000</v>
      </c>
    </row>
    <row r="63" spans="1:2" ht="13.5" customHeight="1">
      <c r="A63" s="184"/>
      <c r="B63" s="436"/>
    </row>
    <row r="64" spans="1:2" ht="15.75">
      <c r="A64" s="184" t="s">
        <v>339</v>
      </c>
      <c r="B64" s="407">
        <f>B16+B30+B45+B50+B57+B62+B21+B40+B35+B25</f>
        <v>8526900</v>
      </c>
    </row>
  </sheetData>
  <sheetProtection/>
  <mergeCells count="3">
    <mergeCell ref="A7:B7"/>
    <mergeCell ref="A8:B8"/>
    <mergeCell ref="A5:B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Kiss Patrik</cp:lastModifiedBy>
  <cp:lastPrinted>2016-02-17T09:02:11Z</cp:lastPrinted>
  <dcterms:created xsi:type="dcterms:W3CDTF">2002-11-26T17:22:50Z</dcterms:created>
  <dcterms:modified xsi:type="dcterms:W3CDTF">2016-11-11T09:04:58Z</dcterms:modified>
  <cp:category/>
  <cp:version/>
  <cp:contentType/>
  <cp:contentStatus/>
</cp:coreProperties>
</file>