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calcPr calcId="145621"/>
</workbook>
</file>

<file path=xl/calcChain.xml><?xml version="1.0" encoding="utf-8"?>
<calcChain xmlns="http://schemas.openxmlformats.org/spreadsheetml/2006/main">
  <c r="D152" i="1" l="1"/>
  <c r="D151" i="1"/>
  <c r="D150" i="1"/>
  <c r="D149" i="1"/>
  <c r="D148" i="1"/>
  <c r="D147" i="1"/>
  <c r="D146" i="1"/>
  <c r="G145" i="1"/>
  <c r="F145" i="1"/>
  <c r="E145" i="1"/>
  <c r="D145" i="1"/>
  <c r="C145" i="1"/>
  <c r="D144" i="1"/>
  <c r="D143" i="1"/>
  <c r="E142" i="1"/>
  <c r="D142" i="1" s="1"/>
  <c r="D140" i="1" s="1"/>
  <c r="D141" i="1"/>
  <c r="G140" i="1"/>
  <c r="F140" i="1"/>
  <c r="C140" i="1"/>
  <c r="D139" i="1"/>
  <c r="D138" i="1"/>
  <c r="D137" i="1"/>
  <c r="D136" i="1"/>
  <c r="D135" i="1"/>
  <c r="D133" i="1" s="1"/>
  <c r="D134" i="1"/>
  <c r="G133" i="1"/>
  <c r="F133" i="1"/>
  <c r="E133" i="1"/>
  <c r="C133" i="1"/>
  <c r="D132" i="1"/>
  <c r="D131" i="1"/>
  <c r="D129" i="1" s="1"/>
  <c r="D130" i="1"/>
  <c r="G129" i="1"/>
  <c r="G153" i="1" s="1"/>
  <c r="F129" i="1"/>
  <c r="F153" i="1" s="1"/>
  <c r="E129" i="1"/>
  <c r="C129" i="1"/>
  <c r="C153" i="1" s="1"/>
  <c r="E127" i="1"/>
  <c r="D127" i="1" s="1"/>
  <c r="D119" i="1" s="1"/>
  <c r="D126" i="1"/>
  <c r="D125" i="1"/>
  <c r="D124" i="1"/>
  <c r="D123" i="1"/>
  <c r="D122" i="1"/>
  <c r="D121" i="1"/>
  <c r="D120" i="1"/>
  <c r="D118" i="1"/>
  <c r="E117" i="1"/>
  <c r="D117" i="1" s="1"/>
  <c r="E116" i="1"/>
  <c r="D116" i="1" s="1"/>
  <c r="E115" i="1"/>
  <c r="D115" i="1" s="1"/>
  <c r="G114" i="1"/>
  <c r="F114" i="1"/>
  <c r="C114" i="1"/>
  <c r="E113" i="1"/>
  <c r="D113" i="1"/>
  <c r="E112" i="1"/>
  <c r="D112" i="1"/>
  <c r="D111" i="1" s="1"/>
  <c r="G111" i="1"/>
  <c r="E111" i="1"/>
  <c r="E110" i="1"/>
  <c r="D110" i="1" s="1"/>
  <c r="D109" i="1"/>
  <c r="D108" i="1"/>
  <c r="D107" i="1"/>
  <c r="D106" i="1"/>
  <c r="D105" i="1"/>
  <c r="D104" i="1"/>
  <c r="D103" i="1"/>
  <c r="D102" i="1"/>
  <c r="D101" i="1"/>
  <c r="D100" i="1"/>
  <c r="D99" i="1"/>
  <c r="D98" i="1" s="1"/>
  <c r="F98" i="1"/>
  <c r="E98" i="1"/>
  <c r="E97" i="1"/>
  <c r="D97" i="1" s="1"/>
  <c r="E96" i="1"/>
  <c r="D96" i="1" s="1"/>
  <c r="E95" i="1"/>
  <c r="D95" i="1" s="1"/>
  <c r="E94" i="1"/>
  <c r="D94" i="1" s="1"/>
  <c r="D93" i="1" s="1"/>
  <c r="G93" i="1"/>
  <c r="G128" i="1" s="1"/>
  <c r="F93" i="1"/>
  <c r="F128" i="1" s="1"/>
  <c r="F154" i="1" s="1"/>
  <c r="E93" i="1"/>
  <c r="C93" i="1"/>
  <c r="C128" i="1" s="1"/>
  <c r="C154" i="1" s="1"/>
  <c r="D91" i="1"/>
  <c r="C91" i="1"/>
  <c r="D90" i="1"/>
  <c r="D85" i="1"/>
  <c r="D84" i="1"/>
  <c r="D83" i="1"/>
  <c r="D82" i="1"/>
  <c r="D81" i="1"/>
  <c r="D79" i="1" s="1"/>
  <c r="D80" i="1"/>
  <c r="G79" i="1"/>
  <c r="F79" i="1"/>
  <c r="E79" i="1"/>
  <c r="C79" i="1"/>
  <c r="D78" i="1"/>
  <c r="D77" i="1"/>
  <c r="D75" i="1" s="1"/>
  <c r="D76" i="1"/>
  <c r="G75" i="1"/>
  <c r="F75" i="1"/>
  <c r="E75" i="1"/>
  <c r="C75" i="1"/>
  <c r="D74" i="1"/>
  <c r="D73" i="1"/>
  <c r="G72" i="1"/>
  <c r="F72" i="1"/>
  <c r="F86" i="1" s="1"/>
  <c r="E72" i="1"/>
  <c r="D72" i="1"/>
  <c r="C72" i="1"/>
  <c r="D71" i="1"/>
  <c r="D70" i="1"/>
  <c r="D69" i="1"/>
  <c r="D67" i="1" s="1"/>
  <c r="D68" i="1"/>
  <c r="G67" i="1"/>
  <c r="F67" i="1"/>
  <c r="E67" i="1"/>
  <c r="C67" i="1"/>
  <c r="D66" i="1"/>
  <c r="D65" i="1"/>
  <c r="D63" i="1" s="1"/>
  <c r="D64" i="1"/>
  <c r="G63" i="1"/>
  <c r="G86" i="1" s="1"/>
  <c r="F63" i="1"/>
  <c r="E63" i="1"/>
  <c r="E86" i="1" s="1"/>
  <c r="C63" i="1"/>
  <c r="C86" i="1" s="1"/>
  <c r="D61" i="1"/>
  <c r="D60" i="1"/>
  <c r="D59" i="1"/>
  <c r="D57" i="1" s="1"/>
  <c r="D58" i="1"/>
  <c r="G57" i="1"/>
  <c r="F57" i="1"/>
  <c r="E57" i="1"/>
  <c r="C57" i="1"/>
  <c r="D56" i="1"/>
  <c r="E55" i="1"/>
  <c r="D55" i="1" s="1"/>
  <c r="E54" i="1"/>
  <c r="D54" i="1" s="1"/>
  <c r="D53" i="1"/>
  <c r="G52" i="1"/>
  <c r="F52" i="1"/>
  <c r="C52" i="1"/>
  <c r="D51" i="1"/>
  <c r="D50" i="1"/>
  <c r="E48" i="1"/>
  <c r="D48" i="1" s="1"/>
  <c r="D46" i="1" s="1"/>
  <c r="D47" i="1"/>
  <c r="G46" i="1"/>
  <c r="F46" i="1"/>
  <c r="C46" i="1"/>
  <c r="E45" i="1"/>
  <c r="D45" i="1" s="1"/>
  <c r="E44" i="1"/>
  <c r="D44" i="1" s="1"/>
  <c r="D34" i="1" s="1"/>
  <c r="D43" i="1"/>
  <c r="D42" i="1"/>
  <c r="D41" i="1"/>
  <c r="E40" i="1"/>
  <c r="D40" i="1"/>
  <c r="G39" i="1"/>
  <c r="D39" i="1"/>
  <c r="E38" i="1"/>
  <c r="D38" i="1"/>
  <c r="E37" i="1"/>
  <c r="D37" i="1"/>
  <c r="E36" i="1"/>
  <c r="D36" i="1"/>
  <c r="E35" i="1"/>
  <c r="D35" i="1"/>
  <c r="G34" i="1"/>
  <c r="F34" i="1"/>
  <c r="C34" i="1"/>
  <c r="D33" i="1"/>
  <c r="D32" i="1"/>
  <c r="E31" i="1"/>
  <c r="D31" i="1" s="1"/>
  <c r="D30" i="1"/>
  <c r="E29" i="1"/>
  <c r="D29" i="1"/>
  <c r="E28" i="1"/>
  <c r="D28" i="1"/>
  <c r="E27" i="1"/>
  <c r="D27" i="1"/>
  <c r="D26" i="1" s="1"/>
  <c r="C27" i="1"/>
  <c r="G26" i="1"/>
  <c r="F26" i="1"/>
  <c r="E26" i="1"/>
  <c r="C26" i="1"/>
  <c r="D25" i="1"/>
  <c r="E24" i="1"/>
  <c r="D24" i="1" s="1"/>
  <c r="D23" i="1"/>
  <c r="D22" i="1"/>
  <c r="D21" i="1"/>
  <c r="D19" i="1" s="1"/>
  <c r="D20" i="1"/>
  <c r="G19" i="1"/>
  <c r="F19" i="1"/>
  <c r="E19" i="1"/>
  <c r="C19" i="1"/>
  <c r="D18" i="1"/>
  <c r="E17" i="1"/>
  <c r="D17" i="1" s="1"/>
  <c r="D16" i="1"/>
  <c r="D15" i="1"/>
  <c r="D14" i="1"/>
  <c r="D12" i="1" s="1"/>
  <c r="D13" i="1"/>
  <c r="G12" i="1"/>
  <c r="F12" i="1"/>
  <c r="E12" i="1"/>
  <c r="C12" i="1"/>
  <c r="D11" i="1"/>
  <c r="E10" i="1"/>
  <c r="D10" i="1" s="1"/>
  <c r="E9" i="1"/>
  <c r="D9" i="1" s="1"/>
  <c r="E8" i="1"/>
  <c r="D8" i="1" s="1"/>
  <c r="D7" i="1"/>
  <c r="D5" i="1" s="1"/>
  <c r="D6" i="1"/>
  <c r="G5" i="1"/>
  <c r="G62" i="1" s="1"/>
  <c r="G87" i="1" s="1"/>
  <c r="F5" i="1"/>
  <c r="F62" i="1" s="1"/>
  <c r="E5" i="1"/>
  <c r="C5" i="1"/>
  <c r="C62" i="1" s="1"/>
  <c r="D86" i="1" l="1"/>
  <c r="C87" i="1"/>
  <c r="F87" i="1"/>
  <c r="D52" i="1"/>
  <c r="D62" i="1"/>
  <c r="D87" i="1" s="1"/>
  <c r="G154" i="1"/>
  <c r="D114" i="1"/>
  <c r="D128" i="1" s="1"/>
  <c r="D153" i="1"/>
  <c r="D154" i="1" s="1"/>
  <c r="E34" i="1"/>
  <c r="E46" i="1"/>
  <c r="E62" i="1" s="1"/>
  <c r="E87" i="1" s="1"/>
  <c r="E52" i="1"/>
  <c r="E119" i="1"/>
  <c r="E114" i="1" s="1"/>
  <c r="E128" i="1" s="1"/>
  <c r="E140" i="1"/>
  <c r="E153" i="1" s="1"/>
  <c r="E154" i="1" l="1"/>
</calcChain>
</file>

<file path=xl/sharedStrings.xml><?xml version="1.0" encoding="utf-8"?>
<sst xmlns="http://schemas.openxmlformats.org/spreadsheetml/2006/main" count="309" uniqueCount="269">
  <si>
    <t>B E V É T E L E K</t>
  </si>
  <si>
    <t>1. sz. táblázat</t>
  </si>
  <si>
    <t>Forintban!</t>
  </si>
  <si>
    <t>Sor-
szám</t>
  </si>
  <si>
    <t>Bevételi jogcím</t>
  </si>
  <si>
    <t>2016. évi módosított előirányzat</t>
  </si>
  <si>
    <t>2017. évi előirányzat</t>
  </si>
  <si>
    <t>A</t>
  </si>
  <si>
    <t>B</t>
  </si>
  <si>
    <t>D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</si>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</sst>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</cellStyleXfs>
  <cellXfs count="14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6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 applyProtection="1">
      <alignment horizontal="left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</xf>
    <xf numFmtId="164" fontId="16" fillId="0" borderId="6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vertical="center" wrapText="1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2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right" vertical="center" wrapText="1" indent="1"/>
      <protection locked="0"/>
    </xf>
    <xf numFmtId="164" fontId="11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 vertical="center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31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2" fillId="0" borderId="17" xfId="1" applyNumberFormat="1" applyFont="1" applyFill="1" applyBorder="1" applyAlignment="1" applyProtection="1">
      <alignment horizontal="center" vertical="center" wrapText="1"/>
    </xf>
    <xf numFmtId="0" fontId="8" fillId="0" borderId="38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1" fillId="0" borderId="17" xfId="1" applyNumberFormat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9" xfId="1" applyNumberFormat="1" applyFont="1" applyFill="1" applyBorder="1" applyAlignment="1" applyProtection="1">
      <alignment horizontal="left" vertical="center" wrapText="1" indent="1"/>
    </xf>
    <xf numFmtId="49" fontId="8" fillId="0" borderId="40" xfId="1" applyNumberFormat="1" applyFont="1" applyFill="1" applyBorder="1" applyAlignment="1" applyProtection="1">
      <alignment horizontal="left" vertical="center" wrapText="1" indent="1"/>
    </xf>
    <xf numFmtId="0" fontId="8" fillId="0" borderId="41" xfId="1" applyFont="1" applyFill="1" applyBorder="1" applyAlignment="1" applyProtection="1">
      <alignment horizontal="left" vertical="center" wrapText="1" indent="7"/>
    </xf>
    <xf numFmtId="164" fontId="8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center" vertical="center" wrapText="1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164" fontId="7" fillId="0" borderId="45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1" fillId="0" borderId="21" xfId="1" applyNumberFormat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center" vertical="center" wrapText="1"/>
    </xf>
    <xf numFmtId="164" fontId="8" fillId="0" borderId="2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0" fontId="8" fillId="0" borderId="46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Border="1" applyAlignment="1" applyProtection="1">
      <alignment horizontal="right" vertical="center" wrapText="1" indent="1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7" fillId="0" borderId="26" xfId="0" applyFont="1" applyBorder="1" applyAlignment="1" applyProtection="1">
      <alignment horizontal="left" vertical="center" wrapText="1" indent="1"/>
    </xf>
    <xf numFmtId="0" fontId="1" fillId="0" borderId="0" xfId="1" applyFont="1" applyFill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/>
  <dimension ref="A1:G158"/>
  <sheetViews>
    <sheetView tabSelected="1" view="pageLayout" topLeftCell="B1" zoomScaleNormal="100" workbookViewId="0">
      <selection sqref="A1:D1"/>
    </sheetView>
  </sheetViews>
  <sheetFormatPr defaultRowHeight="15.75" x14ac:dyDescent="0.25"/>
  <cols>
    <col min="1" max="1" width="9" style="141" customWidth="1"/>
    <col min="2" max="2" width="75.83203125" style="141" customWidth="1"/>
    <col min="3" max="4" width="15.5" style="141" customWidth="1"/>
    <col min="5" max="5" width="14.33203125" style="2" hidden="1" customWidth="1"/>
    <col min="6" max="6" width="12.6640625" style="2" hidden="1" customWidth="1"/>
    <col min="7" max="7" width="14.33203125" style="2" hidden="1" customWidth="1"/>
    <col min="8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</row>
    <row r="2" spans="1:7" ht="15.95" customHeight="1" thickBot="1" x14ac:dyDescent="0.3">
      <c r="A2" s="3" t="s">
        <v>1</v>
      </c>
      <c r="B2" s="3"/>
      <c r="C2" s="4"/>
      <c r="D2" s="5" t="s">
        <v>2</v>
      </c>
    </row>
    <row r="3" spans="1:7" ht="38.1" customHeight="1" thickBot="1" x14ac:dyDescent="0.3">
      <c r="A3" s="6" t="s">
        <v>3</v>
      </c>
      <c r="B3" s="7" t="s">
        <v>4</v>
      </c>
      <c r="C3" s="8" t="s">
        <v>5</v>
      </c>
      <c r="D3" s="9" t="s">
        <v>6</v>
      </c>
    </row>
    <row r="4" spans="1:7" s="14" customFormat="1" ht="12" customHeight="1" thickBot="1" x14ac:dyDescent="0.25">
      <c r="A4" s="10" t="s">
        <v>7</v>
      </c>
      <c r="B4" s="11" t="s">
        <v>8</v>
      </c>
      <c r="C4" s="12" t="s">
        <v>9</v>
      </c>
      <c r="D4" s="13" t="s">
        <v>10</v>
      </c>
    </row>
    <row r="5" spans="1:7" s="20" customFormat="1" ht="12" customHeight="1" thickBot="1" x14ac:dyDescent="0.25">
      <c r="A5" s="15" t="s">
        <v>11</v>
      </c>
      <c r="B5" s="16" t="s">
        <v>12</v>
      </c>
      <c r="C5" s="17">
        <f>+C6+C7+C8+C9+C10+C11</f>
        <v>1055342000</v>
      </c>
      <c r="D5" s="18">
        <f>SUM(D6:D11)</f>
        <v>1157368280</v>
      </c>
      <c r="E5" s="19">
        <f>+E6+E7+E8+E9+E10+E11</f>
        <v>1133144785</v>
      </c>
      <c r="F5" s="18">
        <f>+F6+F7+F8+F9+F10+F11</f>
        <v>0</v>
      </c>
      <c r="G5" s="18">
        <f>+G6+G7+G8+G9+G10+G11</f>
        <v>0</v>
      </c>
    </row>
    <row r="6" spans="1:7" s="20" customFormat="1" ht="12" customHeight="1" x14ac:dyDescent="0.2">
      <c r="A6" s="21" t="s">
        <v>13</v>
      </c>
      <c r="B6" s="22" t="s">
        <v>14</v>
      </c>
      <c r="C6" s="23">
        <v>231988000</v>
      </c>
      <c r="D6" s="24">
        <f>SUM(E6:G6)+905743</f>
        <v>228418282</v>
      </c>
      <c r="E6" s="25">
        <v>227512539</v>
      </c>
      <c r="F6" s="26"/>
      <c r="G6" s="26"/>
    </row>
    <row r="7" spans="1:7" s="20" customFormat="1" ht="12" customHeight="1" x14ac:dyDescent="0.2">
      <c r="A7" s="27" t="s">
        <v>15</v>
      </c>
      <c r="B7" s="28" t="s">
        <v>16</v>
      </c>
      <c r="C7" s="29">
        <v>217051000</v>
      </c>
      <c r="D7" s="30">
        <f>SUM(E7:G7)+10461768-4721982-4278000</f>
        <v>219569080</v>
      </c>
      <c r="E7" s="31">
        <v>218107294</v>
      </c>
      <c r="F7" s="32"/>
      <c r="G7" s="32"/>
    </row>
    <row r="8" spans="1:7" s="20" customFormat="1" ht="12" customHeight="1" x14ac:dyDescent="0.2">
      <c r="A8" s="27" t="s">
        <v>17</v>
      </c>
      <c r="B8" s="28" t="s">
        <v>18</v>
      </c>
      <c r="C8" s="29">
        <v>567601000</v>
      </c>
      <c r="D8" s="33">
        <f>SUM(E8:G8)-35761000-1921230+31350000</f>
        <v>597207802</v>
      </c>
      <c r="E8" s="31">
        <f>121200000+67844165+118423160+15562200+177597260+4526280+11511000+24250000+62625967</f>
        <v>603540032</v>
      </c>
      <c r="F8" s="32"/>
      <c r="G8" s="32"/>
    </row>
    <row r="9" spans="1:7" s="20" customFormat="1" ht="12" customHeight="1" x14ac:dyDescent="0.2">
      <c r="A9" s="27" t="s">
        <v>19</v>
      </c>
      <c r="B9" s="28" t="s">
        <v>20</v>
      </c>
      <c r="C9" s="29">
        <v>26943000</v>
      </c>
      <c r="D9" s="30">
        <f>SUM(E9:G9)-4412740+4412740+1038248</f>
        <v>31342308</v>
      </c>
      <c r="E9" s="31">
        <f>4412740+15262320+10629000</f>
        <v>30304060</v>
      </c>
      <c r="F9" s="32"/>
      <c r="G9" s="32"/>
    </row>
    <row r="10" spans="1:7" s="20" customFormat="1" ht="12" customHeight="1" x14ac:dyDescent="0.2">
      <c r="A10" s="27" t="s">
        <v>21</v>
      </c>
      <c r="B10" s="34" t="s">
        <v>22</v>
      </c>
      <c r="C10" s="29">
        <v>10020000</v>
      </c>
      <c r="D10" s="33">
        <f>SUM(E10:G10)+23885805+49094027+4501192-4412740-15000000+306000-31224336</f>
        <v>80830808</v>
      </c>
      <c r="E10" s="31">
        <f>3551000+1060845+168707597+58000+128000-119824582</f>
        <v>53680860</v>
      </c>
      <c r="F10" s="32"/>
      <c r="G10" s="32"/>
    </row>
    <row r="11" spans="1:7" s="20" customFormat="1" ht="12" customHeight="1" thickBot="1" x14ac:dyDescent="0.25">
      <c r="A11" s="35" t="s">
        <v>23</v>
      </c>
      <c r="B11" s="36" t="s">
        <v>24</v>
      </c>
      <c r="C11" s="29">
        <v>1739000</v>
      </c>
      <c r="D11" s="37">
        <f>SUM(E11:G11)</f>
        <v>0</v>
      </c>
      <c r="E11" s="38"/>
      <c r="F11" s="39"/>
      <c r="G11" s="39"/>
    </row>
    <row r="12" spans="1:7" s="20" customFormat="1" ht="12" customHeight="1" thickBot="1" x14ac:dyDescent="0.25">
      <c r="A12" s="15" t="s">
        <v>25</v>
      </c>
      <c r="B12" s="40" t="s">
        <v>26</v>
      </c>
      <c r="C12" s="17">
        <f>+C13+C14+C15+C16+C17</f>
        <v>781978000</v>
      </c>
      <c r="D12" s="18">
        <f>SUM(D13:D17)</f>
        <v>335849323</v>
      </c>
      <c r="E12" s="19">
        <f>+E13+E14+E15+E16+E17</f>
        <v>-145452435</v>
      </c>
      <c r="F12" s="18">
        <f>+F13+F14+F15+F16+F17</f>
        <v>0</v>
      </c>
      <c r="G12" s="18">
        <f>+G13+G14+G15+G16+G17</f>
        <v>5485000</v>
      </c>
    </row>
    <row r="13" spans="1:7" s="20" customFormat="1" ht="12" customHeight="1" x14ac:dyDescent="0.2">
      <c r="A13" s="21" t="s">
        <v>27</v>
      </c>
      <c r="B13" s="22" t="s">
        <v>28</v>
      </c>
      <c r="C13" s="23"/>
      <c r="D13" s="24">
        <f>SUM(E13:G13)</f>
        <v>0</v>
      </c>
      <c r="E13" s="41"/>
      <c r="F13" s="42"/>
      <c r="G13" s="42"/>
    </row>
    <row r="14" spans="1:7" s="20" customFormat="1" ht="12" customHeight="1" x14ac:dyDescent="0.2">
      <c r="A14" s="27" t="s">
        <v>29</v>
      </c>
      <c r="B14" s="28" t="s">
        <v>30</v>
      </c>
      <c r="C14" s="29"/>
      <c r="D14" s="43">
        <f>SUM(E14:G14)</f>
        <v>0</v>
      </c>
      <c r="E14" s="38"/>
      <c r="F14" s="39"/>
      <c r="G14" s="39"/>
    </row>
    <row r="15" spans="1:7" s="20" customFormat="1" ht="12" customHeight="1" x14ac:dyDescent="0.2">
      <c r="A15" s="27" t="s">
        <v>31</v>
      </c>
      <c r="B15" s="28" t="s">
        <v>32</v>
      </c>
      <c r="C15" s="29"/>
      <c r="D15" s="30">
        <f>SUM(E15:G15)</f>
        <v>0</v>
      </c>
      <c r="E15" s="38"/>
      <c r="F15" s="39"/>
      <c r="G15" s="39"/>
    </row>
    <row r="16" spans="1:7" s="20" customFormat="1" ht="12" customHeight="1" x14ac:dyDescent="0.2">
      <c r="A16" s="27" t="s">
        <v>33</v>
      </c>
      <c r="B16" s="28" t="s">
        <v>34</v>
      </c>
      <c r="C16" s="29"/>
      <c r="D16" s="30">
        <f>SUM(E16:G16)</f>
        <v>0</v>
      </c>
      <c r="E16" s="38"/>
      <c r="F16" s="39"/>
      <c r="G16" s="39"/>
    </row>
    <row r="17" spans="1:7" s="20" customFormat="1" ht="12" customHeight="1" x14ac:dyDescent="0.2">
      <c r="A17" s="27" t="s">
        <v>35</v>
      </c>
      <c r="B17" s="28" t="s">
        <v>36</v>
      </c>
      <c r="C17" s="29">
        <v>781978000</v>
      </c>
      <c r="D17" s="30">
        <f>SUM(E17:G17)+326152588+94906504+10325405+7215044+33734217+3483000</f>
        <v>335849323</v>
      </c>
      <c r="E17" s="44">
        <f>2285000+210000+110446000+65342000-323735435</f>
        <v>-145452435</v>
      </c>
      <c r="F17" s="45"/>
      <c r="G17" s="32">
        <v>5485000</v>
      </c>
    </row>
    <row r="18" spans="1:7" s="20" customFormat="1" ht="12" customHeight="1" thickBot="1" x14ac:dyDescent="0.25">
      <c r="A18" s="35" t="s">
        <v>37</v>
      </c>
      <c r="B18" s="36" t="s">
        <v>38</v>
      </c>
      <c r="C18" s="46"/>
      <c r="D18" s="37">
        <f>374405+16502729</f>
        <v>16877134</v>
      </c>
      <c r="E18" s="47"/>
      <c r="F18" s="48"/>
      <c r="G18" s="48"/>
    </row>
    <row r="19" spans="1:7" s="20" customFormat="1" ht="12" customHeight="1" thickBot="1" x14ac:dyDescent="0.25">
      <c r="A19" s="15" t="s">
        <v>39</v>
      </c>
      <c r="B19" s="16" t="s">
        <v>40</v>
      </c>
      <c r="C19" s="17">
        <f>+C20+C21+C22+C23+C24</f>
        <v>37234000</v>
      </c>
      <c r="D19" s="18">
        <f>SUM(D20:D24)</f>
        <v>532260298</v>
      </c>
      <c r="E19" s="19">
        <f>+E20+E21+E22+E23+E24</f>
        <v>-11381976</v>
      </c>
      <c r="F19" s="18">
        <f>+F20+F21+F22+F23+F24</f>
        <v>0</v>
      </c>
      <c r="G19" s="18">
        <f>+G20+G21+G22+G23+G24</f>
        <v>0</v>
      </c>
    </row>
    <row r="20" spans="1:7" s="20" customFormat="1" ht="12" customHeight="1" x14ac:dyDescent="0.2">
      <c r="A20" s="21" t="s">
        <v>41</v>
      </c>
      <c r="B20" s="22" t="s">
        <v>42</v>
      </c>
      <c r="C20" s="23">
        <v>20895000</v>
      </c>
      <c r="D20" s="24">
        <f>SUM(E20:G20)+15690532</f>
        <v>15690532</v>
      </c>
      <c r="E20" s="49"/>
      <c r="F20" s="50"/>
      <c r="G20" s="50"/>
    </row>
    <row r="21" spans="1:7" s="20" customFormat="1" ht="12" customHeight="1" x14ac:dyDescent="0.2">
      <c r="A21" s="27" t="s">
        <v>43</v>
      </c>
      <c r="B21" s="28" t="s">
        <v>44</v>
      </c>
      <c r="C21" s="29"/>
      <c r="D21" s="43">
        <f>SUM(E21:G21)</f>
        <v>0</v>
      </c>
      <c r="E21" s="31"/>
      <c r="F21" s="32"/>
      <c r="G21" s="32"/>
    </row>
    <row r="22" spans="1:7" s="20" customFormat="1" ht="12" customHeight="1" x14ac:dyDescent="0.2">
      <c r="A22" s="27" t="s">
        <v>45</v>
      </c>
      <c r="B22" s="28" t="s">
        <v>46</v>
      </c>
      <c r="C22" s="29"/>
      <c r="D22" s="43">
        <f>SUM(E22:G22)</f>
        <v>0</v>
      </c>
      <c r="E22" s="31"/>
      <c r="F22" s="32"/>
      <c r="G22" s="32"/>
    </row>
    <row r="23" spans="1:7" s="20" customFormat="1" ht="12" customHeight="1" x14ac:dyDescent="0.2">
      <c r="A23" s="27" t="s">
        <v>47</v>
      </c>
      <c r="B23" s="28" t="s">
        <v>48</v>
      </c>
      <c r="C23" s="29"/>
      <c r="D23" s="43">
        <f>SUM(E23:G23)</f>
        <v>0</v>
      </c>
      <c r="E23" s="31"/>
      <c r="F23" s="32"/>
      <c r="G23" s="32"/>
    </row>
    <row r="24" spans="1:7" s="20" customFormat="1" ht="12" customHeight="1" x14ac:dyDescent="0.2">
      <c r="A24" s="27" t="s">
        <v>49</v>
      </c>
      <c r="B24" s="28" t="s">
        <v>50</v>
      </c>
      <c r="C24" s="29">
        <v>16339000</v>
      </c>
      <c r="D24" s="43">
        <f>SUM(E24:G24)+15179276+93705029+216916507+202150930</f>
        <v>516569766</v>
      </c>
      <c r="E24" s="31">
        <f>3797300-15179276</f>
        <v>-11381976</v>
      </c>
      <c r="F24" s="32"/>
      <c r="G24" s="32"/>
    </row>
    <row r="25" spans="1:7" s="20" customFormat="1" ht="12" customHeight="1" thickBot="1" x14ac:dyDescent="0.25">
      <c r="A25" s="35" t="s">
        <v>51</v>
      </c>
      <c r="B25" s="51" t="s">
        <v>52</v>
      </c>
      <c r="C25" s="46"/>
      <c r="D25" s="52">
        <f>SUM(E25:G25)+91545029+214128350+202150930</f>
        <v>511621609</v>
      </c>
      <c r="E25" s="47">
        <v>3797300</v>
      </c>
      <c r="F25" s="48"/>
      <c r="G25" s="48"/>
    </row>
    <row r="26" spans="1:7" s="20" customFormat="1" ht="12" customHeight="1" thickBot="1" x14ac:dyDescent="0.25">
      <c r="A26" s="15" t="s">
        <v>53</v>
      </c>
      <c r="B26" s="16" t="s">
        <v>54</v>
      </c>
      <c r="C26" s="53">
        <f>C27+C31+C32+C33</f>
        <v>363460000</v>
      </c>
      <c r="D26" s="18">
        <f>SUM(D27)+SUM(D30:D33)</f>
        <v>366490000</v>
      </c>
      <c r="E26" s="54">
        <f>+E27+E31+E32+E33</f>
        <v>329390000</v>
      </c>
      <c r="F26" s="55">
        <f>+F27+F31+F32+F33</f>
        <v>0</v>
      </c>
      <c r="G26" s="55">
        <f>+G27+G31+G32+G33</f>
        <v>0</v>
      </c>
    </row>
    <row r="27" spans="1:7" s="20" customFormat="1" ht="12" customHeight="1" x14ac:dyDescent="0.2">
      <c r="A27" s="21" t="s">
        <v>55</v>
      </c>
      <c r="B27" s="22" t="s">
        <v>56</v>
      </c>
      <c r="C27" s="23">
        <f>C28+C29+C30</f>
        <v>320640000</v>
      </c>
      <c r="D27" s="24">
        <f>SUM(D28:D29)</f>
        <v>327830000</v>
      </c>
      <c r="E27" s="56">
        <f>SUM(E28:E30)</f>
        <v>292830000</v>
      </c>
      <c r="F27" s="24"/>
      <c r="G27" s="24"/>
    </row>
    <row r="28" spans="1:7" s="20" customFormat="1" ht="12" customHeight="1" x14ac:dyDescent="0.2">
      <c r="A28" s="27" t="s">
        <v>57</v>
      </c>
      <c r="B28" s="28" t="s">
        <v>58</v>
      </c>
      <c r="C28" s="29">
        <v>83000000</v>
      </c>
      <c r="D28" s="43">
        <f>SUM(E28:G28)</f>
        <v>78990000</v>
      </c>
      <c r="E28" s="38">
        <f>8990000+70000000</f>
        <v>78990000</v>
      </c>
      <c r="F28" s="39"/>
      <c r="G28" s="39"/>
    </row>
    <row r="29" spans="1:7" s="20" customFormat="1" ht="12" customHeight="1" x14ac:dyDescent="0.2">
      <c r="A29" s="27" t="s">
        <v>59</v>
      </c>
      <c r="B29" s="28" t="s">
        <v>60</v>
      </c>
      <c r="C29" s="29">
        <v>237500000</v>
      </c>
      <c r="D29" s="33">
        <f>SUM(E29:G29)+35000000</f>
        <v>248840000</v>
      </c>
      <c r="E29" s="38">
        <f>203840000+10000000</f>
        <v>213840000</v>
      </c>
      <c r="F29" s="39"/>
      <c r="G29" s="39"/>
    </row>
    <row r="30" spans="1:7" s="20" customFormat="1" ht="12" customHeight="1" x14ac:dyDescent="0.2">
      <c r="A30" s="27" t="s">
        <v>61</v>
      </c>
      <c r="B30" s="28" t="s">
        <v>62</v>
      </c>
      <c r="C30" s="29">
        <v>140000</v>
      </c>
      <c r="D30" s="43">
        <f>SUM(E30:G30)</f>
        <v>0</v>
      </c>
      <c r="E30" s="31"/>
      <c r="F30" s="32"/>
      <c r="G30" s="32"/>
    </row>
    <row r="31" spans="1:7" s="20" customFormat="1" ht="12" customHeight="1" x14ac:dyDescent="0.2">
      <c r="A31" s="27" t="s">
        <v>63</v>
      </c>
      <c r="B31" s="28" t="s">
        <v>64</v>
      </c>
      <c r="C31" s="29">
        <v>28200000</v>
      </c>
      <c r="D31" s="43">
        <f>SUM(E31:G31)</f>
        <v>27000000</v>
      </c>
      <c r="E31" s="38">
        <f>27000000</f>
        <v>27000000</v>
      </c>
      <c r="F31" s="39"/>
      <c r="G31" s="39"/>
    </row>
    <row r="32" spans="1:7" s="20" customFormat="1" ht="12" customHeight="1" x14ac:dyDescent="0.2">
      <c r="A32" s="27" t="s">
        <v>65</v>
      </c>
      <c r="B32" s="28" t="s">
        <v>66</v>
      </c>
      <c r="C32" s="29">
        <v>5620000</v>
      </c>
      <c r="D32" s="43">
        <f>SUM(E32:G32)-4000000</f>
        <v>60000</v>
      </c>
      <c r="E32" s="38">
        <v>4060000</v>
      </c>
      <c r="F32" s="39"/>
      <c r="G32" s="39"/>
    </row>
    <row r="33" spans="1:7" s="20" customFormat="1" ht="12" customHeight="1" thickBot="1" x14ac:dyDescent="0.25">
      <c r="A33" s="35" t="s">
        <v>67</v>
      </c>
      <c r="B33" s="51" t="s">
        <v>68</v>
      </c>
      <c r="C33" s="46">
        <v>9000000</v>
      </c>
      <c r="D33" s="52">
        <f>SUM(E33:G33)+4000000+2100000</f>
        <v>11600000</v>
      </c>
      <c r="E33" s="47">
        <v>5500000</v>
      </c>
      <c r="F33" s="48"/>
      <c r="G33" s="48"/>
    </row>
    <row r="34" spans="1:7" s="20" customFormat="1" ht="12" customHeight="1" thickBot="1" x14ac:dyDescent="0.25">
      <c r="A34" s="15" t="s">
        <v>69</v>
      </c>
      <c r="B34" s="16" t="s">
        <v>70</v>
      </c>
      <c r="C34" s="17">
        <f>SUM(C35:C45)</f>
        <v>457659000</v>
      </c>
      <c r="D34" s="18">
        <f>SUM(D35:D45)</f>
        <v>464679145</v>
      </c>
      <c r="E34" s="19">
        <f>SUM(E35:E45)</f>
        <v>54395907</v>
      </c>
      <c r="F34" s="18">
        <f>SUM(F35:F45)</f>
        <v>9416500</v>
      </c>
      <c r="G34" s="18">
        <f>SUM(G35:G45)</f>
        <v>385266178</v>
      </c>
    </row>
    <row r="35" spans="1:7" s="20" customFormat="1" ht="12" customHeight="1" x14ac:dyDescent="0.2">
      <c r="A35" s="21" t="s">
        <v>71</v>
      </c>
      <c r="B35" s="22" t="s">
        <v>72</v>
      </c>
      <c r="C35" s="23">
        <v>13400000</v>
      </c>
      <c r="D35" s="57">
        <f>SUM(E35:G35)+5500000+275371-130000+3954000</f>
        <v>19744849</v>
      </c>
      <c r="E35" s="25">
        <f>3937000+4000000+5000000-2941522</f>
        <v>9995478</v>
      </c>
      <c r="F35" s="26"/>
      <c r="G35" s="26">
        <v>150000</v>
      </c>
    </row>
    <row r="36" spans="1:7" s="20" customFormat="1" ht="12" customHeight="1" x14ac:dyDescent="0.2">
      <c r="A36" s="27" t="s">
        <v>73</v>
      </c>
      <c r="B36" s="28" t="s">
        <v>74</v>
      </c>
      <c r="C36" s="29">
        <v>98371000</v>
      </c>
      <c r="D36" s="30">
        <f>SUM(E36:G36)+1813568-195228+4055000-5885856+1800934</f>
        <v>96708620</v>
      </c>
      <c r="E36" s="31">
        <f>100000+12004000+160000+7128864</f>
        <v>19392864</v>
      </c>
      <c r="F36" s="32">
        <v>7533500</v>
      </c>
      <c r="G36" s="26">
        <v>68193838</v>
      </c>
    </row>
    <row r="37" spans="1:7" s="20" customFormat="1" ht="12" customHeight="1" x14ac:dyDescent="0.2">
      <c r="A37" s="27" t="s">
        <v>75</v>
      </c>
      <c r="B37" s="28" t="s">
        <v>76</v>
      </c>
      <c r="C37" s="29">
        <v>95710000</v>
      </c>
      <c r="D37" s="30">
        <f>SUM(E37:G37)+1061599-195228+364027-3376000-189000-42520+2246520</f>
        <v>95492738</v>
      </c>
      <c r="E37" s="31">
        <f>8458000+947000</f>
        <v>9405000</v>
      </c>
      <c r="F37" s="32">
        <v>500000</v>
      </c>
      <c r="G37" s="26">
        <v>85718340</v>
      </c>
    </row>
    <row r="38" spans="1:7" s="20" customFormat="1" ht="12" customHeight="1" x14ac:dyDescent="0.2">
      <c r="A38" s="27" t="s">
        <v>77</v>
      </c>
      <c r="B38" s="28" t="s">
        <v>78</v>
      </c>
      <c r="C38" s="29">
        <v>376000</v>
      </c>
      <c r="D38" s="30">
        <f>SUM(E38:G38)</f>
        <v>430000</v>
      </c>
      <c r="E38" s="31">
        <f>430000</f>
        <v>430000</v>
      </c>
      <c r="F38" s="32"/>
      <c r="G38" s="26"/>
    </row>
    <row r="39" spans="1:7" s="20" customFormat="1" ht="12" customHeight="1" x14ac:dyDescent="0.2">
      <c r="A39" s="27" t="s">
        <v>79</v>
      </c>
      <c r="B39" s="28" t="s">
        <v>80</v>
      </c>
      <c r="C39" s="29">
        <v>182275000</v>
      </c>
      <c r="D39" s="33">
        <f>SUM(E39:G39)-1800934</f>
        <v>176438468</v>
      </c>
      <c r="E39" s="31"/>
      <c r="F39" s="32"/>
      <c r="G39" s="26">
        <f>182811402-4572000</f>
        <v>178239402</v>
      </c>
    </row>
    <row r="40" spans="1:7" s="20" customFormat="1" ht="12" customHeight="1" x14ac:dyDescent="0.2">
      <c r="A40" s="27" t="s">
        <v>81</v>
      </c>
      <c r="B40" s="28" t="s">
        <v>82</v>
      </c>
      <c r="C40" s="29">
        <v>43482000</v>
      </c>
      <c r="D40" s="30">
        <f>SUM(E40:G40)+270000+1485000+976640+195228+195228+246410+2609072+189000+42520-2463811</f>
        <v>50887450</v>
      </c>
      <c r="E40" s="31">
        <f>1063000+3242000+5853000+44000+378000+600000+1350000+1408565</f>
        <v>13938565</v>
      </c>
      <c r="F40" s="32">
        <v>1283000</v>
      </c>
      <c r="G40" s="26">
        <v>31920598</v>
      </c>
    </row>
    <row r="41" spans="1:7" s="20" customFormat="1" ht="12" customHeight="1" x14ac:dyDescent="0.2">
      <c r="A41" s="27" t="s">
        <v>83</v>
      </c>
      <c r="B41" s="28" t="s">
        <v>84</v>
      </c>
      <c r="C41" s="29">
        <v>22424000</v>
      </c>
      <c r="D41" s="30">
        <f>SUM(E41:G41)-1286000+1924793</f>
        <v>21672793</v>
      </c>
      <c r="E41" s="31"/>
      <c r="F41" s="32"/>
      <c r="G41" s="26">
        <v>21034000</v>
      </c>
    </row>
    <row r="42" spans="1:7" s="20" customFormat="1" ht="12" customHeight="1" x14ac:dyDescent="0.2">
      <c r="A42" s="27" t="s">
        <v>85</v>
      </c>
      <c r="B42" s="28" t="s">
        <v>86</v>
      </c>
      <c r="C42" s="29">
        <v>21000</v>
      </c>
      <c r="D42" s="30">
        <f>SUM(E42:G42)</f>
        <v>40000</v>
      </c>
      <c r="E42" s="31">
        <v>30000</v>
      </c>
      <c r="F42" s="32"/>
      <c r="G42" s="26">
        <v>10000</v>
      </c>
    </row>
    <row r="43" spans="1:7" s="20" customFormat="1" ht="12" customHeight="1" x14ac:dyDescent="0.2">
      <c r="A43" s="27" t="s">
        <v>87</v>
      </c>
      <c r="B43" s="28" t="s">
        <v>88</v>
      </c>
      <c r="C43" s="58"/>
      <c r="D43" s="30">
        <f>SUM(E43:G43)</f>
        <v>0</v>
      </c>
      <c r="E43" s="31"/>
      <c r="F43" s="32"/>
      <c r="G43" s="26"/>
    </row>
    <row r="44" spans="1:7" s="20" customFormat="1" ht="12" customHeight="1" x14ac:dyDescent="0.2">
      <c r="A44" s="35" t="s">
        <v>89</v>
      </c>
      <c r="B44" s="51" t="s">
        <v>90</v>
      </c>
      <c r="C44" s="59">
        <v>500000</v>
      </c>
      <c r="D44" s="43">
        <f>SUM(E44:G44)</f>
        <v>500000</v>
      </c>
      <c r="E44" s="47">
        <f>500000</f>
        <v>500000</v>
      </c>
      <c r="F44" s="48"/>
      <c r="G44" s="26"/>
    </row>
    <row r="45" spans="1:7" s="20" customFormat="1" ht="12" customHeight="1" thickBot="1" x14ac:dyDescent="0.25">
      <c r="A45" s="35" t="s">
        <v>91</v>
      </c>
      <c r="B45" s="36" t="s">
        <v>92</v>
      </c>
      <c r="C45" s="59">
        <v>1100000</v>
      </c>
      <c r="D45" s="37">
        <f>SUM(E45:G45)+200318+416514+1343395</f>
        <v>2764227</v>
      </c>
      <c r="E45" s="47">
        <f>704000</f>
        <v>704000</v>
      </c>
      <c r="F45" s="48">
        <v>100000</v>
      </c>
      <c r="G45" s="26"/>
    </row>
    <row r="46" spans="1:7" s="20" customFormat="1" ht="12" customHeight="1" thickBot="1" x14ac:dyDescent="0.25">
      <c r="A46" s="15" t="s">
        <v>93</v>
      </c>
      <c r="B46" s="16" t="s">
        <v>94</v>
      </c>
      <c r="C46" s="17">
        <f>SUM(C47:C51)</f>
        <v>36253000</v>
      </c>
      <c r="D46" s="18">
        <f>SUM(D47:D51)</f>
        <v>47429000</v>
      </c>
      <c r="E46" s="19">
        <f>SUM(E47:E51)</f>
        <v>25179000</v>
      </c>
      <c r="F46" s="18">
        <f>SUM(F47:F51)</f>
        <v>0</v>
      </c>
      <c r="G46" s="18">
        <f>SUM(G47:G51)</f>
        <v>0</v>
      </c>
    </row>
    <row r="47" spans="1:7" s="20" customFormat="1" ht="12" customHeight="1" x14ac:dyDescent="0.2">
      <c r="A47" s="21" t="s">
        <v>95</v>
      </c>
      <c r="B47" s="22" t="s">
        <v>96</v>
      </c>
      <c r="C47" s="60"/>
      <c r="D47" s="24">
        <f>SUM(E47:G47)</f>
        <v>0</v>
      </c>
      <c r="E47" s="25"/>
      <c r="F47" s="26"/>
      <c r="G47" s="26"/>
    </row>
    <row r="48" spans="1:7" s="20" customFormat="1" ht="12" customHeight="1" x14ac:dyDescent="0.2">
      <c r="A48" s="27" t="s">
        <v>97</v>
      </c>
      <c r="B48" s="28" t="s">
        <v>98</v>
      </c>
      <c r="C48" s="58">
        <v>36043000</v>
      </c>
      <c r="D48" s="43">
        <f>SUM(E48:G48)+22000000</f>
        <v>47179000</v>
      </c>
      <c r="E48" s="31">
        <f>25179000</f>
        <v>25179000</v>
      </c>
      <c r="F48" s="32"/>
      <c r="G48" s="32"/>
    </row>
    <row r="49" spans="1:7" s="20" customFormat="1" ht="12" customHeight="1" x14ac:dyDescent="0.2">
      <c r="A49" s="27" t="s">
        <v>99</v>
      </c>
      <c r="B49" s="28" t="s">
        <v>100</v>
      </c>
      <c r="C49" s="58">
        <v>210000</v>
      </c>
      <c r="D49" s="43">
        <v>250000</v>
      </c>
      <c r="E49" s="31"/>
      <c r="F49" s="32"/>
      <c r="G49" s="32"/>
    </row>
    <row r="50" spans="1:7" s="20" customFormat="1" ht="12" customHeight="1" x14ac:dyDescent="0.2">
      <c r="A50" s="27" t="s">
        <v>101</v>
      </c>
      <c r="B50" s="28" t="s">
        <v>102</v>
      </c>
      <c r="C50" s="58"/>
      <c r="D50" s="43">
        <f>SUM(E50:G50)</f>
        <v>0</v>
      </c>
      <c r="E50" s="31"/>
      <c r="F50" s="32"/>
      <c r="G50" s="32"/>
    </row>
    <row r="51" spans="1:7" s="20" customFormat="1" ht="12" customHeight="1" thickBot="1" x14ac:dyDescent="0.25">
      <c r="A51" s="35" t="s">
        <v>103</v>
      </c>
      <c r="B51" s="36" t="s">
        <v>104</v>
      </c>
      <c r="C51" s="59"/>
      <c r="D51" s="52">
        <f>SUM(E51:G51)</f>
        <v>0</v>
      </c>
      <c r="E51" s="47"/>
      <c r="F51" s="48"/>
      <c r="G51" s="48"/>
    </row>
    <row r="52" spans="1:7" s="20" customFormat="1" ht="12" customHeight="1" thickBot="1" x14ac:dyDescent="0.25">
      <c r="A52" s="15" t="s">
        <v>105</v>
      </c>
      <c r="B52" s="16" t="s">
        <v>106</v>
      </c>
      <c r="C52" s="17">
        <f>SUM(C53:C55)</f>
        <v>17053000</v>
      </c>
      <c r="D52" s="18">
        <f>SUM(D53:D55)</f>
        <v>24244433</v>
      </c>
      <c r="E52" s="19">
        <f>SUM(E53:E55)</f>
        <v>6164433</v>
      </c>
      <c r="F52" s="18">
        <f>SUM(F53:F55)</f>
        <v>0</v>
      </c>
      <c r="G52" s="18">
        <f>SUM(G53:G55)</f>
        <v>0</v>
      </c>
    </row>
    <row r="53" spans="1:7" s="20" customFormat="1" ht="12" customHeight="1" x14ac:dyDescent="0.2">
      <c r="A53" s="21" t="s">
        <v>107</v>
      </c>
      <c r="B53" s="22" t="s">
        <v>108</v>
      </c>
      <c r="C53" s="23"/>
      <c r="D53" s="57">
        <f>SUM(E53:G53)</f>
        <v>0</v>
      </c>
      <c r="E53" s="41"/>
      <c r="F53" s="42"/>
      <c r="G53" s="42"/>
    </row>
    <row r="54" spans="1:7" s="20" customFormat="1" ht="12" customHeight="1" x14ac:dyDescent="0.2">
      <c r="A54" s="27" t="s">
        <v>109</v>
      </c>
      <c r="B54" s="28" t="s">
        <v>110</v>
      </c>
      <c r="C54" s="29">
        <v>3366000</v>
      </c>
      <c r="D54" s="30">
        <f>SUM(E54:G54)+18000000</f>
        <v>19949000</v>
      </c>
      <c r="E54" s="31">
        <f>383000+1566000</f>
        <v>1949000</v>
      </c>
      <c r="F54" s="32"/>
      <c r="G54" s="32"/>
    </row>
    <row r="55" spans="1:7" s="20" customFormat="1" ht="12" customHeight="1" x14ac:dyDescent="0.2">
      <c r="A55" s="27" t="s">
        <v>111</v>
      </c>
      <c r="B55" s="28" t="s">
        <v>112</v>
      </c>
      <c r="C55" s="29">
        <v>13687000</v>
      </c>
      <c r="D55" s="30">
        <f>SUM(E55:G55)+80000</f>
        <v>4295433</v>
      </c>
      <c r="E55" s="31">
        <f>4075000+140433</f>
        <v>4215433</v>
      </c>
      <c r="F55" s="32"/>
      <c r="G55" s="32"/>
    </row>
    <row r="56" spans="1:7" s="20" customFormat="1" ht="12" customHeight="1" thickBot="1" x14ac:dyDescent="0.25">
      <c r="A56" s="35" t="s">
        <v>113</v>
      </c>
      <c r="B56" s="36" t="s">
        <v>114</v>
      </c>
      <c r="C56" s="46"/>
      <c r="D56" s="52">
        <f>SUM(E56:G56)</f>
        <v>0</v>
      </c>
      <c r="E56" s="61"/>
      <c r="F56" s="62"/>
      <c r="G56" s="62"/>
    </row>
    <row r="57" spans="1:7" s="20" customFormat="1" ht="12" customHeight="1" thickBot="1" x14ac:dyDescent="0.25">
      <c r="A57" s="15" t="s">
        <v>115</v>
      </c>
      <c r="B57" s="40" t="s">
        <v>116</v>
      </c>
      <c r="C57" s="17">
        <f>SUM(C58:C60)</f>
        <v>4228000</v>
      </c>
      <c r="D57" s="18">
        <f>SUM(D58:D60)</f>
        <v>1400000</v>
      </c>
      <c r="E57" s="19">
        <f>SUM(E58:E60)</f>
        <v>0</v>
      </c>
      <c r="F57" s="18">
        <f>SUM(F58:F60)</f>
        <v>0</v>
      </c>
      <c r="G57" s="18">
        <f>SUM(G58:G60)</f>
        <v>0</v>
      </c>
    </row>
    <row r="58" spans="1:7" s="20" customFormat="1" ht="12" customHeight="1" x14ac:dyDescent="0.2">
      <c r="A58" s="21" t="s">
        <v>117</v>
      </c>
      <c r="B58" s="22" t="s">
        <v>118</v>
      </c>
      <c r="C58" s="58"/>
      <c r="D58" s="57">
        <f>SUM(E58:G58)</f>
        <v>0</v>
      </c>
      <c r="E58" s="31"/>
      <c r="F58" s="32"/>
      <c r="G58" s="32"/>
    </row>
    <row r="59" spans="1:7" s="20" customFormat="1" ht="12" customHeight="1" x14ac:dyDescent="0.2">
      <c r="A59" s="27" t="s">
        <v>119</v>
      </c>
      <c r="B59" s="28" t="s">
        <v>120</v>
      </c>
      <c r="C59" s="58"/>
      <c r="D59" s="30">
        <f>SUM(E59:G59)</f>
        <v>0</v>
      </c>
      <c r="E59" s="31"/>
      <c r="F59" s="32"/>
      <c r="G59" s="32"/>
    </row>
    <row r="60" spans="1:7" s="20" customFormat="1" ht="12" customHeight="1" x14ac:dyDescent="0.2">
      <c r="A60" s="27" t="s">
        <v>121</v>
      </c>
      <c r="B60" s="28" t="s">
        <v>122</v>
      </c>
      <c r="C60" s="58">
        <v>4228000</v>
      </c>
      <c r="D60" s="30">
        <f>1200000+200000</f>
        <v>1400000</v>
      </c>
      <c r="E60" s="31"/>
      <c r="F60" s="32"/>
      <c r="G60" s="32"/>
    </row>
    <row r="61" spans="1:7" s="20" customFormat="1" ht="12" customHeight="1" thickBot="1" x14ac:dyDescent="0.25">
      <c r="A61" s="35" t="s">
        <v>123</v>
      </c>
      <c r="B61" s="36" t="s">
        <v>124</v>
      </c>
      <c r="C61" s="58"/>
      <c r="D61" s="37">
        <f>SUM(E61:G61)</f>
        <v>0</v>
      </c>
      <c r="E61" s="31"/>
      <c r="F61" s="32"/>
      <c r="G61" s="32"/>
    </row>
    <row r="62" spans="1:7" s="20" customFormat="1" ht="12" customHeight="1" thickBot="1" x14ac:dyDescent="0.25">
      <c r="A62" s="63" t="s">
        <v>125</v>
      </c>
      <c r="B62" s="16" t="s">
        <v>126</v>
      </c>
      <c r="C62" s="53">
        <f>+C5+C12+C19+C26+C34+C46+C52+C57</f>
        <v>2753207000</v>
      </c>
      <c r="D62" s="18">
        <f>D57+D52+D46+D34+D26+D19+D12+D5</f>
        <v>2929720479</v>
      </c>
      <c r="E62" s="54">
        <f>+E5+E12+E19+E26+E34+E46+E52+E57</f>
        <v>1391439714</v>
      </c>
      <c r="F62" s="55">
        <f>+F5+F12+F19+F26+F34+F46+F52+F57</f>
        <v>9416500</v>
      </c>
      <c r="G62" s="55">
        <f>+G5+G12+G19+G26+G34+G46+G52+G57</f>
        <v>390751178</v>
      </c>
    </row>
    <row r="63" spans="1:7" s="20" customFormat="1" ht="12" customHeight="1" thickBot="1" x14ac:dyDescent="0.25">
      <c r="A63" s="64" t="s">
        <v>127</v>
      </c>
      <c r="B63" s="40" t="s">
        <v>128</v>
      </c>
      <c r="C63" s="17">
        <f>SUM(C64:C66)</f>
        <v>160303000</v>
      </c>
      <c r="D63" s="65">
        <f>SUM(D64:D66)</f>
        <v>187500000</v>
      </c>
      <c r="E63" s="19">
        <f>SUM(E64:E66)</f>
        <v>144100000</v>
      </c>
      <c r="F63" s="18">
        <f>SUM(F64:F66)</f>
        <v>0</v>
      </c>
      <c r="G63" s="18">
        <f>SUM(G64:G66)</f>
        <v>0</v>
      </c>
    </row>
    <row r="64" spans="1:7" s="20" customFormat="1" ht="12" customHeight="1" x14ac:dyDescent="0.2">
      <c r="A64" s="21" t="s">
        <v>129</v>
      </c>
      <c r="B64" s="22" t="s">
        <v>130</v>
      </c>
      <c r="C64" s="58">
        <v>60303000</v>
      </c>
      <c r="D64" s="24">
        <f>SUM(E64:G64)+37900000+5500000</f>
        <v>87500000</v>
      </c>
      <c r="E64" s="31">
        <v>44100000</v>
      </c>
      <c r="F64" s="32"/>
      <c r="G64" s="32"/>
    </row>
    <row r="65" spans="1:7" s="20" customFormat="1" ht="12" customHeight="1" x14ac:dyDescent="0.2">
      <c r="A65" s="27" t="s">
        <v>131</v>
      </c>
      <c r="B65" s="28" t="s">
        <v>132</v>
      </c>
      <c r="C65" s="58">
        <v>100000000</v>
      </c>
      <c r="D65" s="43">
        <f>SUM(E65:G65)</f>
        <v>100000000</v>
      </c>
      <c r="E65" s="31">
        <v>100000000</v>
      </c>
      <c r="F65" s="32"/>
      <c r="G65" s="32"/>
    </row>
    <row r="66" spans="1:7" s="20" customFormat="1" ht="12" customHeight="1" thickBot="1" x14ac:dyDescent="0.25">
      <c r="A66" s="35" t="s">
        <v>133</v>
      </c>
      <c r="B66" s="66" t="s">
        <v>134</v>
      </c>
      <c r="C66" s="58"/>
      <c r="D66" s="52">
        <f>SUM(E66:G66)</f>
        <v>0</v>
      </c>
      <c r="E66" s="31"/>
      <c r="F66" s="32"/>
      <c r="G66" s="32"/>
    </row>
    <row r="67" spans="1:7" s="20" customFormat="1" ht="12" customHeight="1" thickBot="1" x14ac:dyDescent="0.25">
      <c r="A67" s="64" t="s">
        <v>135</v>
      </c>
      <c r="B67" s="40" t="s">
        <v>136</v>
      </c>
      <c r="C67" s="17">
        <f>SUM(C68:C71)</f>
        <v>0</v>
      </c>
      <c r="D67" s="67">
        <f>SUM(D68:D71)</f>
        <v>0</v>
      </c>
      <c r="E67" s="19">
        <f>SUM(E68:E71)</f>
        <v>0</v>
      </c>
      <c r="F67" s="18">
        <f>SUM(F68:F71)</f>
        <v>0</v>
      </c>
      <c r="G67" s="18">
        <f>SUM(G68:G71)</f>
        <v>0</v>
      </c>
    </row>
    <row r="68" spans="1:7" s="20" customFormat="1" ht="12" customHeight="1" x14ac:dyDescent="0.2">
      <c r="A68" s="21" t="s">
        <v>137</v>
      </c>
      <c r="B68" s="22" t="s">
        <v>138</v>
      </c>
      <c r="C68" s="58"/>
      <c r="D68" s="24">
        <f>SUM(E68:G68)</f>
        <v>0</v>
      </c>
      <c r="E68" s="31"/>
      <c r="F68" s="32"/>
      <c r="G68" s="32"/>
    </row>
    <row r="69" spans="1:7" s="20" customFormat="1" ht="17.25" customHeight="1" x14ac:dyDescent="0.2">
      <c r="A69" s="27" t="s">
        <v>139</v>
      </c>
      <c r="B69" s="28" t="s">
        <v>140</v>
      </c>
      <c r="C69" s="58"/>
      <c r="D69" s="43">
        <f>SUM(E69:G69)</f>
        <v>0</v>
      </c>
      <c r="E69" s="31"/>
      <c r="F69" s="32"/>
      <c r="G69" s="32"/>
    </row>
    <row r="70" spans="1:7" s="20" customFormat="1" ht="12" customHeight="1" x14ac:dyDescent="0.2">
      <c r="A70" s="27" t="s">
        <v>141</v>
      </c>
      <c r="B70" s="28" t="s">
        <v>142</v>
      </c>
      <c r="C70" s="58"/>
      <c r="D70" s="43">
        <f>SUM(E70:G70)</f>
        <v>0</v>
      </c>
      <c r="E70" s="31"/>
      <c r="F70" s="32"/>
      <c r="G70" s="32"/>
    </row>
    <row r="71" spans="1:7" s="20" customFormat="1" ht="12" customHeight="1" thickBot="1" x14ac:dyDescent="0.25">
      <c r="A71" s="35" t="s">
        <v>143</v>
      </c>
      <c r="B71" s="36" t="s">
        <v>144</v>
      </c>
      <c r="C71" s="58"/>
      <c r="D71" s="52">
        <f>SUM(E71:G71)</f>
        <v>0</v>
      </c>
      <c r="E71" s="31"/>
      <c r="F71" s="32"/>
      <c r="G71" s="32"/>
    </row>
    <row r="72" spans="1:7" s="20" customFormat="1" ht="12" customHeight="1" thickBot="1" x14ac:dyDescent="0.25">
      <c r="A72" s="64" t="s">
        <v>145</v>
      </c>
      <c r="B72" s="40" t="s">
        <v>146</v>
      </c>
      <c r="C72" s="17">
        <f>SUM(C73:C74)</f>
        <v>264948000</v>
      </c>
      <c r="D72" s="18">
        <f>SUM(D73:D74)</f>
        <v>292999415</v>
      </c>
      <c r="E72" s="19">
        <f>SUM(E73:E74)</f>
        <v>289331423</v>
      </c>
      <c r="F72" s="18">
        <f>SUM(F73:F74)</f>
        <v>447404</v>
      </c>
      <c r="G72" s="18">
        <f>SUM(G73:G74)</f>
        <v>3220588</v>
      </c>
    </row>
    <row r="73" spans="1:7" s="20" customFormat="1" ht="12" customHeight="1" x14ac:dyDescent="0.2">
      <c r="A73" s="21" t="s">
        <v>147</v>
      </c>
      <c r="B73" s="22" t="s">
        <v>148</v>
      </c>
      <c r="C73" s="58">
        <v>264948000</v>
      </c>
      <c r="D73" s="24">
        <f>SUM(E73:G73)</f>
        <v>292999415</v>
      </c>
      <c r="E73" s="31">
        <v>289331423</v>
      </c>
      <c r="F73" s="32">
        <v>447404</v>
      </c>
      <c r="G73" s="32">
        <v>3220588</v>
      </c>
    </row>
    <row r="74" spans="1:7" s="20" customFormat="1" ht="12" customHeight="1" thickBot="1" x14ac:dyDescent="0.25">
      <c r="A74" s="35" t="s">
        <v>149</v>
      </c>
      <c r="B74" s="36" t="s">
        <v>150</v>
      </c>
      <c r="C74" s="58"/>
      <c r="D74" s="52">
        <f>SUM(E74:G74)</f>
        <v>0</v>
      </c>
      <c r="E74" s="31"/>
      <c r="F74" s="32"/>
      <c r="G74" s="32"/>
    </row>
    <row r="75" spans="1:7" s="20" customFormat="1" ht="12" customHeight="1" thickBot="1" x14ac:dyDescent="0.25">
      <c r="A75" s="64" t="s">
        <v>151</v>
      </c>
      <c r="B75" s="40" t="s">
        <v>152</v>
      </c>
      <c r="C75" s="17">
        <f>SUM(C76:C78)</f>
        <v>0</v>
      </c>
      <c r="D75" s="67">
        <f>SUM(D76:D78)</f>
        <v>0</v>
      </c>
      <c r="E75" s="19">
        <f>SUM(E76:E78)</f>
        <v>0</v>
      </c>
      <c r="F75" s="18">
        <f>SUM(F76:F78)</f>
        <v>0</v>
      </c>
      <c r="G75" s="18">
        <f>SUM(G76:G78)</f>
        <v>0</v>
      </c>
    </row>
    <row r="76" spans="1:7" s="20" customFormat="1" ht="12" customHeight="1" x14ac:dyDescent="0.2">
      <c r="A76" s="21" t="s">
        <v>153</v>
      </c>
      <c r="B76" s="22" t="s">
        <v>154</v>
      </c>
      <c r="C76" s="58"/>
      <c r="D76" s="24">
        <f>SUM(E76:G76)</f>
        <v>0</v>
      </c>
      <c r="E76" s="31"/>
      <c r="F76" s="32"/>
      <c r="G76" s="32"/>
    </row>
    <row r="77" spans="1:7" s="20" customFormat="1" ht="12" customHeight="1" x14ac:dyDescent="0.2">
      <c r="A77" s="27" t="s">
        <v>155</v>
      </c>
      <c r="B77" s="28" t="s">
        <v>156</v>
      </c>
      <c r="C77" s="58"/>
      <c r="D77" s="43">
        <f>SUM(E77:G77)</f>
        <v>0</v>
      </c>
      <c r="E77" s="31"/>
      <c r="F77" s="32"/>
      <c r="G77" s="32"/>
    </row>
    <row r="78" spans="1:7" s="20" customFormat="1" ht="12" customHeight="1" thickBot="1" x14ac:dyDescent="0.25">
      <c r="A78" s="35" t="s">
        <v>157</v>
      </c>
      <c r="B78" s="36" t="s">
        <v>158</v>
      </c>
      <c r="C78" s="58"/>
      <c r="D78" s="52">
        <f>SUM(E78:G78)</f>
        <v>0</v>
      </c>
      <c r="E78" s="31"/>
      <c r="F78" s="32"/>
      <c r="G78" s="32"/>
    </row>
    <row r="79" spans="1:7" s="20" customFormat="1" ht="12" customHeight="1" thickBot="1" x14ac:dyDescent="0.25">
      <c r="A79" s="64" t="s">
        <v>159</v>
      </c>
      <c r="B79" s="40" t="s">
        <v>160</v>
      </c>
      <c r="C79" s="17">
        <f>SUM(C80:C83)</f>
        <v>0</v>
      </c>
      <c r="D79" s="67">
        <f>SUM(D80:D83)</f>
        <v>0</v>
      </c>
      <c r="E79" s="19">
        <f>SUM(E80:E83)</f>
        <v>0</v>
      </c>
      <c r="F79" s="18">
        <f>SUM(F80:F83)</f>
        <v>0</v>
      </c>
      <c r="G79" s="18">
        <f>SUM(G80:G83)</f>
        <v>0</v>
      </c>
    </row>
    <row r="80" spans="1:7" s="20" customFormat="1" ht="12" customHeight="1" x14ac:dyDescent="0.2">
      <c r="A80" s="68" t="s">
        <v>161</v>
      </c>
      <c r="B80" s="22" t="s">
        <v>162</v>
      </c>
      <c r="C80" s="58"/>
      <c r="D80" s="24">
        <f t="shared" ref="D80:D85" si="0">SUM(E80:G80)</f>
        <v>0</v>
      </c>
      <c r="E80" s="31"/>
      <c r="F80" s="32"/>
      <c r="G80" s="32"/>
    </row>
    <row r="81" spans="1:7" s="20" customFormat="1" ht="12" customHeight="1" x14ac:dyDescent="0.2">
      <c r="A81" s="69" t="s">
        <v>163</v>
      </c>
      <c r="B81" s="28" t="s">
        <v>164</v>
      </c>
      <c r="C81" s="58"/>
      <c r="D81" s="43">
        <f t="shared" si="0"/>
        <v>0</v>
      </c>
      <c r="E81" s="31"/>
      <c r="F81" s="32"/>
      <c r="G81" s="32"/>
    </row>
    <row r="82" spans="1:7" s="20" customFormat="1" ht="12" customHeight="1" x14ac:dyDescent="0.2">
      <c r="A82" s="69" t="s">
        <v>165</v>
      </c>
      <c r="B82" s="28" t="s">
        <v>166</v>
      </c>
      <c r="C82" s="58"/>
      <c r="D82" s="43">
        <f t="shared" si="0"/>
        <v>0</v>
      </c>
      <c r="E82" s="31"/>
      <c r="F82" s="32"/>
      <c r="G82" s="32"/>
    </row>
    <row r="83" spans="1:7" s="20" customFormat="1" ht="12" customHeight="1" thickBot="1" x14ac:dyDescent="0.25">
      <c r="A83" s="70" t="s">
        <v>167</v>
      </c>
      <c r="B83" s="36" t="s">
        <v>168</v>
      </c>
      <c r="C83" s="58"/>
      <c r="D83" s="52">
        <f t="shared" si="0"/>
        <v>0</v>
      </c>
      <c r="E83" s="31"/>
      <c r="F83" s="32"/>
      <c r="G83" s="32"/>
    </row>
    <row r="84" spans="1:7" s="20" customFormat="1" ht="12" customHeight="1" thickBot="1" x14ac:dyDescent="0.25">
      <c r="A84" s="64" t="s">
        <v>169</v>
      </c>
      <c r="B84" s="40" t="s">
        <v>170</v>
      </c>
      <c r="C84" s="71"/>
      <c r="D84" s="72">
        <f t="shared" si="0"/>
        <v>0</v>
      </c>
      <c r="E84" s="73"/>
      <c r="F84" s="74"/>
      <c r="G84" s="74"/>
    </row>
    <row r="85" spans="1:7" s="20" customFormat="1" ht="12" customHeight="1" thickBot="1" x14ac:dyDescent="0.25">
      <c r="A85" s="64" t="s">
        <v>171</v>
      </c>
      <c r="B85" s="40" t="s">
        <v>172</v>
      </c>
      <c r="C85" s="71"/>
      <c r="D85" s="18">
        <f t="shared" si="0"/>
        <v>0</v>
      </c>
      <c r="E85" s="73"/>
      <c r="F85" s="74"/>
      <c r="G85" s="74"/>
    </row>
    <row r="86" spans="1:7" s="20" customFormat="1" ht="12" customHeight="1" thickBot="1" x14ac:dyDescent="0.25">
      <c r="A86" s="64" t="s">
        <v>173</v>
      </c>
      <c r="B86" s="75" t="s">
        <v>174</v>
      </c>
      <c r="C86" s="53">
        <f>+C63+C67+C72+C75+C79+C85+C84</f>
        <v>425251000</v>
      </c>
      <c r="D86" s="18">
        <f>D85+D84+D79+D75+D72+D67+D63</f>
        <v>480499415</v>
      </c>
      <c r="E86" s="54">
        <f>+E63+E67+E72+E75+E79+E85+E84</f>
        <v>433431423</v>
      </c>
      <c r="F86" s="55">
        <f>+F63+F67+F72+F75+F79+F85+F84</f>
        <v>447404</v>
      </c>
      <c r="G86" s="55">
        <f>+G63+G67+G72+G75+G79+G85+G84</f>
        <v>3220588</v>
      </c>
    </row>
    <row r="87" spans="1:7" s="20" customFormat="1" ht="12" customHeight="1" thickBot="1" x14ac:dyDescent="0.25">
      <c r="A87" s="76" t="s">
        <v>175</v>
      </c>
      <c r="B87" s="77" t="s">
        <v>176</v>
      </c>
      <c r="C87" s="53">
        <f>+C62+C86</f>
        <v>3178458000</v>
      </c>
      <c r="D87" s="18">
        <f>D62+D86</f>
        <v>3410219894</v>
      </c>
      <c r="E87" s="54">
        <f>+E62+E86</f>
        <v>1824871137</v>
      </c>
      <c r="F87" s="55">
        <f>+F62+F86</f>
        <v>9863904</v>
      </c>
      <c r="G87" s="55">
        <f>+G62+G86</f>
        <v>393971766</v>
      </c>
    </row>
    <row r="88" spans="1:7" s="20" customFormat="1" ht="12" customHeight="1" x14ac:dyDescent="0.2">
      <c r="A88" s="78"/>
      <c r="B88" s="79"/>
      <c r="C88" s="80"/>
      <c r="D88" s="81"/>
    </row>
    <row r="89" spans="1:7" s="20" customFormat="1" ht="12" customHeight="1" x14ac:dyDescent="0.2">
      <c r="A89" s="1" t="s">
        <v>177</v>
      </c>
      <c r="B89" s="1"/>
      <c r="C89" s="1"/>
      <c r="D89" s="1"/>
    </row>
    <row r="90" spans="1:7" s="20" customFormat="1" ht="12" customHeight="1" thickBot="1" x14ac:dyDescent="0.25">
      <c r="A90" s="82" t="s">
        <v>178</v>
      </c>
      <c r="B90" s="82"/>
      <c r="C90" s="4"/>
      <c r="D90" s="83" t="str">
        <f>D2</f>
        <v>Forintban!</v>
      </c>
    </row>
    <row r="91" spans="1:7" s="20" customFormat="1" ht="24" customHeight="1" thickBot="1" x14ac:dyDescent="0.25">
      <c r="A91" s="6" t="s">
        <v>179</v>
      </c>
      <c r="B91" s="7" t="s">
        <v>180</v>
      </c>
      <c r="C91" s="7" t="str">
        <f>+C3</f>
        <v>2016. évi módosított előirányzat</v>
      </c>
      <c r="D91" s="9" t="str">
        <f>+D3</f>
        <v>2017. évi előirányzat</v>
      </c>
    </row>
    <row r="92" spans="1:7" s="20" customFormat="1" ht="12" customHeight="1" thickBot="1" x14ac:dyDescent="0.25">
      <c r="A92" s="10" t="s">
        <v>7</v>
      </c>
      <c r="B92" s="11" t="s">
        <v>8</v>
      </c>
      <c r="C92" s="11" t="s">
        <v>9</v>
      </c>
      <c r="D92" s="13" t="s">
        <v>10</v>
      </c>
    </row>
    <row r="93" spans="1:7" s="20" customFormat="1" ht="15" customHeight="1" thickBot="1" x14ac:dyDescent="0.25">
      <c r="A93" s="84" t="s">
        <v>11</v>
      </c>
      <c r="B93" s="85" t="s">
        <v>181</v>
      </c>
      <c r="C93" s="86">
        <f>C94+C95+C96+C97+C98+C111</f>
        <v>2906143000</v>
      </c>
      <c r="D93" s="87">
        <f>SUM(D94:D98)+SUM(D111)</f>
        <v>2537502119</v>
      </c>
      <c r="E93" s="88">
        <f>+E94+E95+E96+E97+E98+E111</f>
        <v>336688965</v>
      </c>
      <c r="F93" s="72">
        <f>+F94+F95+F96+F97+F98+F111</f>
        <v>223822850</v>
      </c>
      <c r="G93" s="89">
        <f>G94+G95+G96+G97+G98+G111</f>
        <v>1388014694</v>
      </c>
    </row>
    <row r="94" spans="1:7" s="20" customFormat="1" ht="12.95" customHeight="1" x14ac:dyDescent="0.2">
      <c r="A94" s="90" t="s">
        <v>13</v>
      </c>
      <c r="B94" s="91" t="s">
        <v>182</v>
      </c>
      <c r="C94" s="92">
        <v>1371432000</v>
      </c>
      <c r="D94" s="93">
        <f>SUM(E94:G94)+252096521+85501355+27232396-1393308+7410662+5711096+12960546+166800</f>
        <v>1094113234</v>
      </c>
      <c r="E94" s="94">
        <f>25364000+485000+6010000+3749000+165142000+48000+105000-275033584+150179</f>
        <v>-73980405</v>
      </c>
      <c r="F94" s="95">
        <v>119212000</v>
      </c>
      <c r="G94" s="96">
        <v>659195571</v>
      </c>
    </row>
    <row r="95" spans="1:7" ht="16.5" customHeight="1" x14ac:dyDescent="0.25">
      <c r="A95" s="27" t="s">
        <v>15</v>
      </c>
      <c r="B95" s="97" t="s">
        <v>183</v>
      </c>
      <c r="C95" s="29">
        <v>295923000</v>
      </c>
      <c r="D95" s="98">
        <f>SUM(E95:G95)+28812821+9405149+5800271-280382+2089507-570939+1438961+3013037+175648</f>
        <v>230642127</v>
      </c>
      <c r="E95" s="31">
        <f>5239000+143000+1233000+14000+1652000+19299000+10000+23000-28480392-1528915</f>
        <v>-2396307</v>
      </c>
      <c r="F95" s="32">
        <v>28323500</v>
      </c>
      <c r="G95" s="45">
        <v>154830861</v>
      </c>
    </row>
    <row r="96" spans="1:7" x14ac:dyDescent="0.25">
      <c r="A96" s="27" t="s">
        <v>17</v>
      </c>
      <c r="B96" s="97" t="s">
        <v>184</v>
      </c>
      <c r="C96" s="46">
        <v>893999000</v>
      </c>
      <c r="D96" s="98">
        <f>SUM(E96:G96)+41579904+1600000+22320920+28158088+9295882+11813400+570939+10565807+4029458+20547308</f>
        <v>953351741</v>
      </c>
      <c r="E96" s="4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6" s="48">
        <v>52037350</v>
      </c>
      <c r="G96" s="45">
        <v>573988262</v>
      </c>
    </row>
    <row r="97" spans="1:7" s="14" customFormat="1" ht="12" customHeight="1" x14ac:dyDescent="0.2">
      <c r="A97" s="27" t="s">
        <v>19</v>
      </c>
      <c r="B97" s="99" t="s">
        <v>185</v>
      </c>
      <c r="C97" s="46">
        <v>76171000</v>
      </c>
      <c r="D97" s="98">
        <f>SUM(E97:G97)-6901260-4000000</f>
        <v>77248740</v>
      </c>
      <c r="E97" s="47">
        <f>70980000-5080000-2000000</f>
        <v>63900000</v>
      </c>
      <c r="F97" s="48">
        <v>24250000</v>
      </c>
      <c r="G97" s="100"/>
    </row>
    <row r="98" spans="1:7" ht="12" customHeight="1" x14ac:dyDescent="0.25">
      <c r="A98" s="27" t="s">
        <v>186</v>
      </c>
      <c r="B98" s="101" t="s">
        <v>187</v>
      </c>
      <c r="C98" s="46">
        <v>183928000</v>
      </c>
      <c r="D98" s="102">
        <f>SUM(D99:D110)</f>
        <v>117690011</v>
      </c>
      <c r="E98" s="47">
        <f>SUM(E99:E110)</f>
        <v>76126000</v>
      </c>
      <c r="F98" s="48">
        <f>SUM(F99:F110)</f>
        <v>0</v>
      </c>
      <c r="G98" s="100"/>
    </row>
    <row r="99" spans="1:7" ht="12" customHeight="1" x14ac:dyDescent="0.25">
      <c r="A99" s="27" t="s">
        <v>23</v>
      </c>
      <c r="B99" s="97" t="s">
        <v>188</v>
      </c>
      <c r="C99" s="46">
        <v>6599000</v>
      </c>
      <c r="D99" s="102">
        <f>SUM(E99:G99)+1500+7242044+114463+2792500+6504</f>
        <v>10157011</v>
      </c>
      <c r="E99" s="47"/>
      <c r="F99" s="48"/>
      <c r="G99" s="100"/>
    </row>
    <row r="100" spans="1:7" ht="12" customHeight="1" x14ac:dyDescent="0.25">
      <c r="A100" s="27" t="s">
        <v>189</v>
      </c>
      <c r="B100" s="103" t="s">
        <v>190</v>
      </c>
      <c r="C100" s="46"/>
      <c r="D100" s="102">
        <f>SUM(E100:G100)</f>
        <v>0</v>
      </c>
      <c r="E100" s="47"/>
      <c r="F100" s="48"/>
      <c r="G100" s="100"/>
    </row>
    <row r="101" spans="1:7" ht="12" customHeight="1" x14ac:dyDescent="0.25">
      <c r="A101" s="27" t="s">
        <v>191</v>
      </c>
      <c r="B101" s="103" t="s">
        <v>192</v>
      </c>
      <c r="C101" s="46"/>
      <c r="D101" s="102">
        <f>SUM(E101:G101)</f>
        <v>0</v>
      </c>
      <c r="E101" s="47"/>
      <c r="F101" s="48"/>
      <c r="G101" s="100"/>
    </row>
    <row r="102" spans="1:7" ht="12" customHeight="1" x14ac:dyDescent="0.25">
      <c r="A102" s="27" t="s">
        <v>193</v>
      </c>
      <c r="B102" s="104" t="s">
        <v>194</v>
      </c>
      <c r="C102" s="46"/>
      <c r="D102" s="102">
        <f>SUM(E102:G102)</f>
        <v>0</v>
      </c>
      <c r="E102" s="47"/>
      <c r="F102" s="48"/>
      <c r="G102" s="100"/>
    </row>
    <row r="103" spans="1:7" ht="12" customHeight="1" x14ac:dyDescent="0.25">
      <c r="A103" s="27" t="s">
        <v>195</v>
      </c>
      <c r="B103" s="105" t="s">
        <v>196</v>
      </c>
      <c r="C103" s="46"/>
      <c r="D103" s="102">
        <f>SUM(E103:G103)</f>
        <v>0</v>
      </c>
      <c r="E103" s="47"/>
      <c r="F103" s="48"/>
      <c r="G103" s="100"/>
    </row>
    <row r="104" spans="1:7" ht="12" customHeight="1" x14ac:dyDescent="0.25">
      <c r="A104" s="27" t="s">
        <v>197</v>
      </c>
      <c r="B104" s="105" t="s">
        <v>198</v>
      </c>
      <c r="C104" s="46"/>
      <c r="D104" s="102">
        <f>SUM(E104:G104)</f>
        <v>0</v>
      </c>
      <c r="E104" s="47"/>
      <c r="F104" s="48"/>
      <c r="G104" s="100"/>
    </row>
    <row r="105" spans="1:7" ht="12" customHeight="1" x14ac:dyDescent="0.25">
      <c r="A105" s="27" t="s">
        <v>199</v>
      </c>
      <c r="B105" s="104" t="s">
        <v>200</v>
      </c>
      <c r="C105" s="46">
        <v>113427000</v>
      </c>
      <c r="D105" s="102">
        <f>SUM(E105:G105)+60754-60754</f>
        <v>0</v>
      </c>
      <c r="E105" s="47"/>
      <c r="F105" s="48"/>
      <c r="G105" s="100"/>
    </row>
    <row r="106" spans="1:7" ht="12" customHeight="1" x14ac:dyDescent="0.25">
      <c r="A106" s="27" t="s">
        <v>201</v>
      </c>
      <c r="B106" s="104" t="s">
        <v>202</v>
      </c>
      <c r="C106" s="46"/>
      <c r="D106" s="102">
        <f>SUM(E106:G106)</f>
        <v>0</v>
      </c>
      <c r="E106" s="47"/>
      <c r="F106" s="48"/>
      <c r="G106" s="100"/>
    </row>
    <row r="107" spans="1:7" ht="12" customHeight="1" x14ac:dyDescent="0.25">
      <c r="A107" s="27" t="s">
        <v>203</v>
      </c>
      <c r="B107" s="105" t="s">
        <v>204</v>
      </c>
      <c r="C107" s="46"/>
      <c r="D107" s="102">
        <f>SUM(E107:G107)</f>
        <v>0</v>
      </c>
      <c r="E107" s="47"/>
      <c r="F107" s="48"/>
      <c r="G107" s="100"/>
    </row>
    <row r="108" spans="1:7" ht="12" customHeight="1" x14ac:dyDescent="0.25">
      <c r="A108" s="106" t="s">
        <v>205</v>
      </c>
      <c r="B108" s="103" t="s">
        <v>206</v>
      </c>
      <c r="C108" s="46"/>
      <c r="D108" s="102">
        <f>SUM(E108:G108)</f>
        <v>0</v>
      </c>
      <c r="E108" s="47"/>
      <c r="F108" s="48"/>
      <c r="G108" s="100"/>
    </row>
    <row r="109" spans="1:7" ht="12" customHeight="1" x14ac:dyDescent="0.25">
      <c r="A109" s="27" t="s">
        <v>207</v>
      </c>
      <c r="B109" s="103" t="s">
        <v>208</v>
      </c>
      <c r="C109" s="46"/>
      <c r="D109" s="102">
        <f>SUM(E109:G109)</f>
        <v>0</v>
      </c>
      <c r="E109" s="47"/>
      <c r="F109" s="48"/>
      <c r="G109" s="100"/>
    </row>
    <row r="110" spans="1:7" ht="12" customHeight="1" x14ac:dyDescent="0.25">
      <c r="A110" s="35" t="s">
        <v>209</v>
      </c>
      <c r="B110" s="103" t="s">
        <v>210</v>
      </c>
      <c r="C110" s="46">
        <v>63902000</v>
      </c>
      <c r="D110" s="98">
        <f>SUM(E110:G110)+3500000+6600000+2000000+16082000+3225000</f>
        <v>107533000</v>
      </c>
      <c r="E110" s="31">
        <f>536000+11389000+8562000+16678000+6401000+32560000</f>
        <v>76126000</v>
      </c>
      <c r="F110" s="32"/>
      <c r="G110" s="100"/>
    </row>
    <row r="111" spans="1:7" ht="12" customHeight="1" x14ac:dyDescent="0.25">
      <c r="A111" s="27" t="s">
        <v>211</v>
      </c>
      <c r="B111" s="99" t="s">
        <v>212</v>
      </c>
      <c r="C111" s="29">
        <v>84690000</v>
      </c>
      <c r="D111" s="102">
        <f>SUM(D112:D113)</f>
        <v>64456266</v>
      </c>
      <c r="E111" s="31">
        <f>E112+E113</f>
        <v>96195254</v>
      </c>
      <c r="F111" s="32"/>
      <c r="G111" s="45">
        <f>G112+G113</f>
        <v>0</v>
      </c>
    </row>
    <row r="112" spans="1:7" ht="12" customHeight="1" x14ac:dyDescent="0.25">
      <c r="A112" s="27" t="s">
        <v>213</v>
      </c>
      <c r="B112" s="97" t="s">
        <v>214</v>
      </c>
      <c r="C112" s="29">
        <v>908000</v>
      </c>
      <c r="D112" s="98">
        <f>SUM(E112:G112)-9172313+8719388-4010722-1042502-1846399+5485909+8185627+3000000</f>
        <v>4036034</v>
      </c>
      <c r="E112" s="47">
        <f>20000000+1656508-26939462</f>
        <v>-5282954</v>
      </c>
      <c r="F112" s="48"/>
      <c r="G112" s="45"/>
    </row>
    <row r="113" spans="1:7" ht="12" customHeight="1" thickBot="1" x14ac:dyDescent="0.3">
      <c r="A113" s="107" t="s">
        <v>215</v>
      </c>
      <c r="B113" s="108" t="s">
        <v>216</v>
      </c>
      <c r="C113" s="109">
        <v>83782000</v>
      </c>
      <c r="D113" s="110">
        <f>SUM(E113:G113)-8373330-1600000-8539600-6323156-7948000-7343244+31158286-32066515+411581-433998</f>
        <v>60420232</v>
      </c>
      <c r="E113" s="111">
        <f>110613300+500000-3261000-6374092</f>
        <v>101478208</v>
      </c>
      <c r="F113" s="112"/>
      <c r="G113" s="113"/>
    </row>
    <row r="114" spans="1:7" ht="12" customHeight="1" thickBot="1" x14ac:dyDescent="0.3">
      <c r="A114" s="114" t="s">
        <v>25</v>
      </c>
      <c r="B114" s="115" t="s">
        <v>217</v>
      </c>
      <c r="C114" s="116">
        <f>+C115+C117+C119</f>
        <v>135468000</v>
      </c>
      <c r="D114" s="87">
        <f>D115+D117+D119</f>
        <v>734391843</v>
      </c>
      <c r="E114" s="19">
        <f>+E115+E117+E119</f>
        <v>132599368</v>
      </c>
      <c r="F114" s="18">
        <f>+F115+F117+F119</f>
        <v>1901000</v>
      </c>
      <c r="G114" s="65">
        <f>+G115+G117+G119</f>
        <v>9272287</v>
      </c>
    </row>
    <row r="115" spans="1:7" ht="12" customHeight="1" x14ac:dyDescent="0.25">
      <c r="A115" s="21" t="s">
        <v>27</v>
      </c>
      <c r="B115" s="97" t="s">
        <v>218</v>
      </c>
      <c r="C115" s="23">
        <v>78647000</v>
      </c>
      <c r="D115" s="93">
        <f>SUM(E115:G115)+15239176+979170-265000+63976+93988736+220065714+8904148-1752617</f>
        <v>340602433</v>
      </c>
      <c r="E115" s="25">
        <f>6621000+2963001+787402+10624171+3081125+300001+529000+1654000+447000+2237000+90200+6604000+301000+204000-18155486-25581571</f>
        <v>-7294157</v>
      </c>
      <c r="F115" s="26">
        <v>1901000</v>
      </c>
      <c r="G115" s="117">
        <v>8772287</v>
      </c>
    </row>
    <row r="116" spans="1:7" x14ac:dyDescent="0.25">
      <c r="A116" s="21" t="s">
        <v>29</v>
      </c>
      <c r="B116" s="118" t="s">
        <v>219</v>
      </c>
      <c r="C116" s="23"/>
      <c r="D116" s="98">
        <f>SUM(E116:G116)-1000000+87765636+214128350+2959448</f>
        <v>304218048</v>
      </c>
      <c r="E116" s="25">
        <f>14492698-14128084</f>
        <v>364614</v>
      </c>
      <c r="F116" s="26"/>
      <c r="G116" s="117"/>
    </row>
    <row r="117" spans="1:7" ht="12" customHeight="1" x14ac:dyDescent="0.25">
      <c r="A117" s="21" t="s">
        <v>31</v>
      </c>
      <c r="B117" s="118" t="s">
        <v>220</v>
      </c>
      <c r="C117" s="29">
        <v>46476000</v>
      </c>
      <c r="D117" s="98">
        <f>SUM(E117:G117)-134607+7509510+735000+1000000+839841+49594413+188498728</f>
        <v>345284910</v>
      </c>
      <c r="E117" s="31">
        <f>53340000+21000000+1513000+2996000+809000+9333667+7750358</f>
        <v>96742025</v>
      </c>
      <c r="F117" s="32"/>
      <c r="G117" s="45">
        <v>500000</v>
      </c>
    </row>
    <row r="118" spans="1:7" ht="12" customHeight="1" x14ac:dyDescent="0.25">
      <c r="A118" s="21" t="s">
        <v>33</v>
      </c>
      <c r="B118" s="118" t="s">
        <v>221</v>
      </c>
      <c r="C118" s="29"/>
      <c r="D118" s="102">
        <f>SUM(E118:G118)+1000000+3795044+189429682-203244</f>
        <v>247361482</v>
      </c>
      <c r="E118" s="31">
        <v>53340000</v>
      </c>
      <c r="F118" s="119"/>
      <c r="G118" s="31"/>
    </row>
    <row r="119" spans="1:7" ht="12" customHeight="1" x14ac:dyDescent="0.25">
      <c r="A119" s="21" t="s">
        <v>35</v>
      </c>
      <c r="B119" s="36" t="s">
        <v>222</v>
      </c>
      <c r="C119" s="29">
        <v>10345000</v>
      </c>
      <c r="D119" s="102">
        <f>SUM(D120:D127)</f>
        <v>48504500</v>
      </c>
      <c r="E119" s="31">
        <f>SUM(E120:E127)</f>
        <v>43151500</v>
      </c>
      <c r="F119" s="31"/>
      <c r="G119" s="31"/>
    </row>
    <row r="120" spans="1:7" ht="12" customHeight="1" x14ac:dyDescent="0.25">
      <c r="A120" s="21" t="s">
        <v>37</v>
      </c>
      <c r="B120" s="34" t="s">
        <v>223</v>
      </c>
      <c r="C120" s="29"/>
      <c r="D120" s="102">
        <f t="shared" ref="D120:D126" si="1">SUM(E120:G120)</f>
        <v>0</v>
      </c>
      <c r="E120" s="38"/>
      <c r="F120" s="38"/>
      <c r="G120" s="31"/>
    </row>
    <row r="121" spans="1:7" ht="12" customHeight="1" x14ac:dyDescent="0.25">
      <c r="A121" s="21" t="s">
        <v>224</v>
      </c>
      <c r="B121" s="120" t="s">
        <v>225</v>
      </c>
      <c r="C121" s="29"/>
      <c r="D121" s="102">
        <f t="shared" si="1"/>
        <v>0</v>
      </c>
      <c r="E121" s="38"/>
      <c r="F121" s="38"/>
      <c r="G121" s="31"/>
    </row>
    <row r="122" spans="1:7" ht="12" customHeight="1" x14ac:dyDescent="0.25">
      <c r="A122" s="21" t="s">
        <v>226</v>
      </c>
      <c r="B122" s="105" t="s">
        <v>198</v>
      </c>
      <c r="C122" s="29"/>
      <c r="D122" s="102">
        <f t="shared" si="1"/>
        <v>0</v>
      </c>
      <c r="E122" s="38"/>
      <c r="F122" s="38"/>
      <c r="G122" s="31"/>
    </row>
    <row r="123" spans="1:7" ht="12" customHeight="1" x14ac:dyDescent="0.25">
      <c r="A123" s="21" t="s">
        <v>227</v>
      </c>
      <c r="B123" s="105" t="s">
        <v>228</v>
      </c>
      <c r="C123" s="29"/>
      <c r="D123" s="102">
        <f t="shared" si="1"/>
        <v>0</v>
      </c>
      <c r="E123" s="38"/>
      <c r="F123" s="38"/>
      <c r="G123" s="31"/>
    </row>
    <row r="124" spans="1:7" ht="12" customHeight="1" x14ac:dyDescent="0.25">
      <c r="A124" s="21" t="s">
        <v>229</v>
      </c>
      <c r="B124" s="105" t="s">
        <v>230</v>
      </c>
      <c r="C124" s="29"/>
      <c r="D124" s="102">
        <f t="shared" si="1"/>
        <v>0</v>
      </c>
      <c r="E124" s="38"/>
      <c r="F124" s="38"/>
      <c r="G124" s="31"/>
    </row>
    <row r="125" spans="1:7" ht="12" customHeight="1" x14ac:dyDescent="0.25">
      <c r="A125" s="21" t="s">
        <v>231</v>
      </c>
      <c r="B125" s="105" t="s">
        <v>204</v>
      </c>
      <c r="C125" s="29"/>
      <c r="D125" s="102">
        <f>SUM(E125:G125)+5000</f>
        <v>5000</v>
      </c>
      <c r="E125" s="38"/>
      <c r="F125" s="38"/>
      <c r="G125" s="31"/>
    </row>
    <row r="126" spans="1:7" ht="12" customHeight="1" x14ac:dyDescent="0.25">
      <c r="A126" s="21" t="s">
        <v>232</v>
      </c>
      <c r="B126" s="105" t="s">
        <v>233</v>
      </c>
      <c r="C126" s="29"/>
      <c r="D126" s="102">
        <f t="shared" si="1"/>
        <v>0</v>
      </c>
      <c r="E126" s="38"/>
      <c r="F126" s="38"/>
      <c r="G126" s="31"/>
    </row>
    <row r="127" spans="1:7" ht="12" customHeight="1" thickBot="1" x14ac:dyDescent="0.3">
      <c r="A127" s="106" t="s">
        <v>234</v>
      </c>
      <c r="B127" s="105" t="s">
        <v>235</v>
      </c>
      <c r="C127" s="46">
        <v>10345000</v>
      </c>
      <c r="D127" s="121">
        <f>SUM(E127:G127)+2400000+1348000+600000+1000000</f>
        <v>48499500</v>
      </c>
      <c r="E127" s="47">
        <f>42072000+1079500</f>
        <v>43151500</v>
      </c>
      <c r="F127" s="47"/>
      <c r="G127" s="47"/>
    </row>
    <row r="128" spans="1:7" ht="12" customHeight="1" thickBot="1" x14ac:dyDescent="0.3">
      <c r="A128" s="15" t="s">
        <v>39</v>
      </c>
      <c r="B128" s="122" t="s">
        <v>236</v>
      </c>
      <c r="C128" s="123">
        <f>+C93+C114</f>
        <v>3041611000</v>
      </c>
      <c r="D128" s="87">
        <f>D114+D93</f>
        <v>3271893962</v>
      </c>
      <c r="E128" s="19">
        <f>+E93+E114</f>
        <v>469288333</v>
      </c>
      <c r="F128" s="18">
        <f>+F93+F114</f>
        <v>225723850</v>
      </c>
      <c r="G128" s="18">
        <f>+G93+G114</f>
        <v>1397286981</v>
      </c>
    </row>
    <row r="129" spans="1:7" ht="12" customHeight="1" thickBot="1" x14ac:dyDescent="0.3">
      <c r="A129" s="15" t="s">
        <v>237</v>
      </c>
      <c r="B129" s="122" t="s">
        <v>238</v>
      </c>
      <c r="C129" s="123">
        <f>+C130+C131+C132</f>
        <v>103545000</v>
      </c>
      <c r="D129" s="87">
        <f>SUM(D130:D132)</f>
        <v>103161000</v>
      </c>
      <c r="E129" s="19">
        <f>+E130+E131+E132</f>
        <v>103161000</v>
      </c>
      <c r="F129" s="18">
        <f>+F130+F131+F132</f>
        <v>0</v>
      </c>
      <c r="G129" s="18">
        <f>+G130+G131+G132</f>
        <v>0</v>
      </c>
    </row>
    <row r="130" spans="1:7" ht="12" customHeight="1" x14ac:dyDescent="0.25">
      <c r="A130" s="21" t="s">
        <v>55</v>
      </c>
      <c r="B130" s="118" t="s">
        <v>239</v>
      </c>
      <c r="C130" s="29">
        <v>3545000</v>
      </c>
      <c r="D130" s="124">
        <f>SUM(E130:G130)</f>
        <v>3161000</v>
      </c>
      <c r="E130" s="31">
        <v>3161000</v>
      </c>
      <c r="F130" s="31"/>
      <c r="G130" s="31"/>
    </row>
    <row r="131" spans="1:7" ht="12" customHeight="1" x14ac:dyDescent="0.25">
      <c r="A131" s="21" t="s">
        <v>57</v>
      </c>
      <c r="B131" s="118" t="s">
        <v>240</v>
      </c>
      <c r="C131" s="29">
        <v>100000000</v>
      </c>
      <c r="D131" s="125">
        <f>SUM(E131:G131)</f>
        <v>100000000</v>
      </c>
      <c r="E131" s="38">
        <v>100000000</v>
      </c>
      <c r="F131" s="38"/>
      <c r="G131" s="38"/>
    </row>
    <row r="132" spans="1:7" ht="12" customHeight="1" thickBot="1" x14ac:dyDescent="0.3">
      <c r="A132" s="106" t="s">
        <v>59</v>
      </c>
      <c r="B132" s="118" t="s">
        <v>241</v>
      </c>
      <c r="C132" s="29"/>
      <c r="D132" s="126">
        <f>SUM(E132:G132)</f>
        <v>0</v>
      </c>
      <c r="E132" s="38"/>
      <c r="F132" s="38"/>
      <c r="G132" s="38"/>
    </row>
    <row r="133" spans="1:7" ht="12" customHeight="1" thickBot="1" x14ac:dyDescent="0.3">
      <c r="A133" s="15" t="s">
        <v>69</v>
      </c>
      <c r="B133" s="122" t="s">
        <v>242</v>
      </c>
      <c r="C133" s="123">
        <f>SUM(C134:C139)</f>
        <v>0</v>
      </c>
      <c r="D133" s="127">
        <f>SUM(D134:D139)</f>
        <v>0</v>
      </c>
      <c r="E133" s="19">
        <f>+E134+E135+E136+E137+E138+E139</f>
        <v>0</v>
      </c>
      <c r="F133" s="18">
        <f>+F134+F135+F136+F137+F138+F139</f>
        <v>0</v>
      </c>
      <c r="G133" s="18">
        <f>SUM(G134:G139)</f>
        <v>0</v>
      </c>
    </row>
    <row r="134" spans="1:7" ht="12" customHeight="1" x14ac:dyDescent="0.25">
      <c r="A134" s="21" t="s">
        <v>71</v>
      </c>
      <c r="B134" s="128" t="s">
        <v>243</v>
      </c>
      <c r="C134" s="29"/>
      <c r="D134" s="124">
        <f t="shared" ref="D134:D139" si="2">SUM(E134:G134)</f>
        <v>0</v>
      </c>
      <c r="E134" s="38"/>
      <c r="F134" s="38"/>
      <c r="G134" s="38"/>
    </row>
    <row r="135" spans="1:7" ht="12" customHeight="1" x14ac:dyDescent="0.25">
      <c r="A135" s="21" t="s">
        <v>73</v>
      </c>
      <c r="B135" s="128" t="s">
        <v>244</v>
      </c>
      <c r="C135" s="29"/>
      <c r="D135" s="125">
        <f t="shared" si="2"/>
        <v>0</v>
      </c>
      <c r="E135" s="38"/>
      <c r="F135" s="38"/>
      <c r="G135" s="38"/>
    </row>
    <row r="136" spans="1:7" ht="12" customHeight="1" x14ac:dyDescent="0.25">
      <c r="A136" s="21" t="s">
        <v>75</v>
      </c>
      <c r="B136" s="128" t="s">
        <v>245</v>
      </c>
      <c r="C136" s="29"/>
      <c r="D136" s="125">
        <f t="shared" si="2"/>
        <v>0</v>
      </c>
      <c r="E136" s="38"/>
      <c r="F136" s="38"/>
      <c r="G136" s="38"/>
    </row>
    <row r="137" spans="1:7" ht="12" customHeight="1" x14ac:dyDescent="0.25">
      <c r="A137" s="21" t="s">
        <v>77</v>
      </c>
      <c r="B137" s="128" t="s">
        <v>246</v>
      </c>
      <c r="C137" s="29"/>
      <c r="D137" s="125">
        <f t="shared" si="2"/>
        <v>0</v>
      </c>
      <c r="E137" s="38"/>
      <c r="F137" s="38"/>
      <c r="G137" s="38"/>
    </row>
    <row r="138" spans="1:7" ht="12" customHeight="1" x14ac:dyDescent="0.25">
      <c r="A138" s="21" t="s">
        <v>79</v>
      </c>
      <c r="B138" s="128" t="s">
        <v>247</v>
      </c>
      <c r="C138" s="29"/>
      <c r="D138" s="125">
        <f t="shared" si="2"/>
        <v>0</v>
      </c>
      <c r="E138" s="38"/>
      <c r="F138" s="38"/>
      <c r="G138" s="38"/>
    </row>
    <row r="139" spans="1:7" ht="12" customHeight="1" thickBot="1" x14ac:dyDescent="0.3">
      <c r="A139" s="106" t="s">
        <v>81</v>
      </c>
      <c r="B139" s="128" t="s">
        <v>248</v>
      </c>
      <c r="C139" s="29"/>
      <c r="D139" s="126">
        <f t="shared" si="2"/>
        <v>0</v>
      </c>
      <c r="E139" s="38"/>
      <c r="F139" s="38"/>
      <c r="G139" s="38"/>
    </row>
    <row r="140" spans="1:7" ht="12" customHeight="1" thickBot="1" x14ac:dyDescent="0.3">
      <c r="A140" s="15" t="s">
        <v>93</v>
      </c>
      <c r="B140" s="122" t="s">
        <v>249</v>
      </c>
      <c r="C140" s="129">
        <f>+C141+C142+C143+C144</f>
        <v>33302000</v>
      </c>
      <c r="D140" s="87">
        <f>SUM(D141:D144)</f>
        <v>35164932</v>
      </c>
      <c r="E140" s="54">
        <f>+E141+E142+E143+E144</f>
        <v>35164932</v>
      </c>
      <c r="F140" s="55">
        <f>+F141+F142+F143+F144</f>
        <v>0</v>
      </c>
      <c r="G140" s="55">
        <f>+G141+G142+G143+G144</f>
        <v>0</v>
      </c>
    </row>
    <row r="141" spans="1:7" ht="12" customHeight="1" x14ac:dyDescent="0.25">
      <c r="A141" s="21" t="s">
        <v>95</v>
      </c>
      <c r="B141" s="128" t="s">
        <v>250</v>
      </c>
      <c r="C141" s="29"/>
      <c r="D141" s="124">
        <f>SUM(E141:G141)</f>
        <v>0</v>
      </c>
      <c r="E141" s="38"/>
      <c r="F141" s="38"/>
      <c r="G141" s="38"/>
    </row>
    <row r="142" spans="1:7" ht="12" customHeight="1" x14ac:dyDescent="0.25">
      <c r="A142" s="21" t="s">
        <v>97</v>
      </c>
      <c r="B142" s="128" t="s">
        <v>251</v>
      </c>
      <c r="C142" s="29">
        <v>33302000</v>
      </c>
      <c r="D142" s="125">
        <f>SUM(E142:G142)</f>
        <v>35164932</v>
      </c>
      <c r="E142" s="38">
        <f>35164932</f>
        <v>35164932</v>
      </c>
      <c r="F142" s="38"/>
      <c r="G142" s="38"/>
    </row>
    <row r="143" spans="1:7" ht="12" customHeight="1" x14ac:dyDescent="0.25">
      <c r="A143" s="21" t="s">
        <v>99</v>
      </c>
      <c r="B143" s="128" t="s">
        <v>252</v>
      </c>
      <c r="C143" s="29"/>
      <c r="D143" s="125">
        <f>SUM(E143:G143)</f>
        <v>0</v>
      </c>
      <c r="E143" s="38"/>
      <c r="F143" s="38"/>
      <c r="G143" s="38"/>
    </row>
    <row r="144" spans="1:7" ht="12" customHeight="1" thickBot="1" x14ac:dyDescent="0.3">
      <c r="A144" s="106" t="s">
        <v>101</v>
      </c>
      <c r="B144" s="130" t="s">
        <v>253</v>
      </c>
      <c r="C144" s="29"/>
      <c r="D144" s="126">
        <f>SUM(E144:G144)</f>
        <v>0</v>
      </c>
      <c r="E144" s="38"/>
      <c r="F144" s="38"/>
      <c r="G144" s="38"/>
    </row>
    <row r="145" spans="1:7" ht="12" customHeight="1" thickBot="1" x14ac:dyDescent="0.3">
      <c r="A145" s="15" t="s">
        <v>254</v>
      </c>
      <c r="B145" s="122" t="s">
        <v>255</v>
      </c>
      <c r="C145" s="131">
        <f>SUM(C146:C150)</f>
        <v>0</v>
      </c>
      <c r="D145" s="127">
        <f>SUM(D146:D150)</f>
        <v>0</v>
      </c>
      <c r="E145" s="132">
        <f>+E146+E147+E148+E149+E150</f>
        <v>0</v>
      </c>
      <c r="F145" s="133">
        <f>+F146+F147+F148+F149+F150</f>
        <v>0</v>
      </c>
      <c r="G145" s="133">
        <f>SUM(G146:G150)</f>
        <v>0</v>
      </c>
    </row>
    <row r="146" spans="1:7" ht="12" customHeight="1" x14ac:dyDescent="0.25">
      <c r="A146" s="21" t="s">
        <v>107</v>
      </c>
      <c r="B146" s="128" t="s">
        <v>256</v>
      </c>
      <c r="C146" s="29"/>
      <c r="D146" s="124">
        <f t="shared" ref="D146:D152" si="3">SUM(E146:G146)</f>
        <v>0</v>
      </c>
      <c r="E146" s="38"/>
      <c r="F146" s="38"/>
      <c r="G146" s="38"/>
    </row>
    <row r="147" spans="1:7" ht="12" customHeight="1" x14ac:dyDescent="0.25">
      <c r="A147" s="21" t="s">
        <v>109</v>
      </c>
      <c r="B147" s="128" t="s">
        <v>257</v>
      </c>
      <c r="C147" s="29"/>
      <c r="D147" s="125">
        <f t="shared" si="3"/>
        <v>0</v>
      </c>
      <c r="E147" s="38"/>
      <c r="F147" s="38"/>
      <c r="G147" s="38"/>
    </row>
    <row r="148" spans="1:7" ht="12" customHeight="1" x14ac:dyDescent="0.25">
      <c r="A148" s="21" t="s">
        <v>111</v>
      </c>
      <c r="B148" s="128" t="s">
        <v>258</v>
      </c>
      <c r="C148" s="29"/>
      <c r="D148" s="125">
        <f t="shared" si="3"/>
        <v>0</v>
      </c>
      <c r="E148" s="38"/>
      <c r="F148" s="38"/>
      <c r="G148" s="38"/>
    </row>
    <row r="149" spans="1:7" ht="12" customHeight="1" x14ac:dyDescent="0.25">
      <c r="A149" s="21" t="s">
        <v>113</v>
      </c>
      <c r="B149" s="128" t="s">
        <v>259</v>
      </c>
      <c r="C149" s="29"/>
      <c r="D149" s="125">
        <f t="shared" si="3"/>
        <v>0</v>
      </c>
      <c r="E149" s="38"/>
      <c r="F149" s="38"/>
      <c r="G149" s="38"/>
    </row>
    <row r="150" spans="1:7" ht="12" customHeight="1" thickBot="1" x14ac:dyDescent="0.3">
      <c r="A150" s="21" t="s">
        <v>260</v>
      </c>
      <c r="B150" s="128" t="s">
        <v>261</v>
      </c>
      <c r="C150" s="29"/>
      <c r="D150" s="126">
        <f t="shared" si="3"/>
        <v>0</v>
      </c>
      <c r="E150" s="61"/>
      <c r="F150" s="61"/>
      <c r="G150" s="38"/>
    </row>
    <row r="151" spans="1:7" ht="12" customHeight="1" thickBot="1" x14ac:dyDescent="0.3">
      <c r="A151" s="15" t="s">
        <v>115</v>
      </c>
      <c r="B151" s="122" t="s">
        <v>262</v>
      </c>
      <c r="C151" s="134"/>
      <c r="D151" s="127">
        <f t="shared" si="3"/>
        <v>0</v>
      </c>
      <c r="E151" s="132"/>
      <c r="F151" s="133"/>
      <c r="G151" s="135"/>
    </row>
    <row r="152" spans="1:7" ht="12" customHeight="1" thickBot="1" x14ac:dyDescent="0.3">
      <c r="A152" s="15" t="s">
        <v>263</v>
      </c>
      <c r="B152" s="122" t="s">
        <v>264</v>
      </c>
      <c r="C152" s="134"/>
      <c r="D152" s="127">
        <f t="shared" si="3"/>
        <v>0</v>
      </c>
      <c r="E152" s="132"/>
      <c r="F152" s="133"/>
      <c r="G152" s="135"/>
    </row>
    <row r="153" spans="1:7" ht="15" customHeight="1" thickBot="1" x14ac:dyDescent="0.3">
      <c r="A153" s="15" t="s">
        <v>265</v>
      </c>
      <c r="B153" s="122" t="s">
        <v>266</v>
      </c>
      <c r="C153" s="136">
        <f>+C129+C133+C140+C145+C151+C152</f>
        <v>136847000</v>
      </c>
      <c r="D153" s="87">
        <f>D152+D151+D145+D140+D133+D129</f>
        <v>138325932</v>
      </c>
      <c r="E153" s="137">
        <f>+E129+E133+E140+E145+E151+E152</f>
        <v>138325932</v>
      </c>
      <c r="F153" s="138">
        <f>+F129+F133+F140+F145+F151+F152</f>
        <v>0</v>
      </c>
      <c r="G153" s="138">
        <f>+G129+G133+G140+G145+G151+G152</f>
        <v>0</v>
      </c>
    </row>
    <row r="154" spans="1:7" s="20" customFormat="1" ht="12.95" customHeight="1" thickBot="1" x14ac:dyDescent="0.25">
      <c r="A154" s="139" t="s">
        <v>267</v>
      </c>
      <c r="B154" s="140" t="s">
        <v>268</v>
      </c>
      <c r="C154" s="136">
        <f>+C128+C153</f>
        <v>3178458000</v>
      </c>
      <c r="D154" s="87">
        <f>D153+D128</f>
        <v>3410219894</v>
      </c>
      <c r="E154" s="137">
        <f>+E128+E153</f>
        <v>607614265</v>
      </c>
      <c r="F154" s="138">
        <f>+F128+F153</f>
        <v>225723850</v>
      </c>
      <c r="G154" s="138">
        <f>+G128+G153</f>
        <v>1397286981</v>
      </c>
    </row>
    <row r="158" spans="1:7" ht="16.5" customHeight="1" x14ac:dyDescent="0.25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&amp;R30. melléklet a 35/2017.(XII.21.)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2017-12-22T11:17:56Z</dcterms:created>
  <dcterms:modified xsi:type="dcterms:W3CDTF">2017-12-22T11:17:57Z</dcterms:modified>
</cp:coreProperties>
</file>