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9320" windowHeight="10230" tabRatio="598" activeTab="12"/>
  </bookViews>
  <sheets>
    <sheet name="1mell" sheetId="1" r:id="rId1"/>
    <sheet name="2mell" sheetId="2" r:id="rId2"/>
    <sheet name="3mell" sheetId="3" r:id="rId3"/>
    <sheet name="4mell" sheetId="4" r:id="rId4"/>
    <sheet name="4_1" sheetId="5" r:id="rId5"/>
    <sheet name="5mell" sheetId="6" r:id="rId6"/>
    <sheet name="6mell" sheetId="7" r:id="rId7"/>
    <sheet name="7mell" sheetId="8" r:id="rId8"/>
    <sheet name="8mell" sheetId="9" r:id="rId9"/>
    <sheet name="9mell" sheetId="10" r:id="rId10"/>
    <sheet name="10mell" sheetId="11" r:id="rId11"/>
    <sheet name="11mell" sheetId="12" r:id="rId12"/>
    <sheet name="12mell" sheetId="13" r:id="rId13"/>
    <sheet name="13mell" sheetId="14" r:id="rId14"/>
    <sheet name="14" sheetId="15" r:id="rId15"/>
    <sheet name="15mell" sheetId="16" r:id="rId16"/>
    <sheet name="16mell" sheetId="17" r:id="rId17"/>
    <sheet name="17mell" sheetId="18" r:id="rId18"/>
    <sheet name="18mell" sheetId="19" r:id="rId19"/>
    <sheet name="19mell" sheetId="20" r:id="rId20"/>
    <sheet name="20mell" sheetId="21" r:id="rId21"/>
    <sheet name="21mell" sheetId="22" r:id="rId22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0">'10mell'!$A$1:$D$38</definedName>
    <definedName name="_xlnm.Print_Area" localSheetId="11">'11mell'!$A$1:$K$23</definedName>
    <definedName name="_xlnm.Print_Area" localSheetId="12">'12mell'!$A$1:$V$70</definedName>
    <definedName name="_xlnm.Print_Area" localSheetId="13">'13mell'!$A$1:$H$74</definedName>
    <definedName name="_xlnm.Print_Area" localSheetId="15">'15mell'!$A$1:$P$30</definedName>
    <definedName name="_xlnm.Print_Area" localSheetId="16">'16mell'!$A$1:$O$29</definedName>
    <definedName name="_xlnm.Print_Area" localSheetId="17">'17mell'!$A$1:$P$33</definedName>
    <definedName name="_xlnm.Print_Area" localSheetId="18">'18mell'!$A$1:$P$33</definedName>
    <definedName name="_xlnm.Print_Area" localSheetId="19">'19mell'!$A$1:$P$33</definedName>
    <definedName name="_xlnm.Print_Area" localSheetId="0">'1mell'!$A$1:$E$45</definedName>
    <definedName name="_xlnm.Print_Area" localSheetId="20">'20mell'!$A$1:$P$32</definedName>
    <definedName name="_xlnm.Print_Area" localSheetId="21">'21mell'!$A$1:$N$21</definedName>
    <definedName name="_xlnm.Print_Area" localSheetId="1">'2mell'!$A$1:$E$34</definedName>
    <definedName name="_xlnm.Print_Area" localSheetId="2">'3mell'!$A$1:$M$34</definedName>
    <definedName name="_xlnm.Print_Area" localSheetId="3">'4mell'!$A$1:$M$29</definedName>
    <definedName name="_xlnm.Print_Area" localSheetId="5">'5mell'!$A$1:$C$24</definedName>
    <definedName name="_xlnm.Print_Area" localSheetId="6">'6mell'!$A$1:$J$31</definedName>
    <definedName name="_xlnm.Print_Area" localSheetId="7">'7mell'!$A$1:$C$21</definedName>
    <definedName name="_xlnm.Print_Area" localSheetId="8">'8mell'!$A$1:$C$18</definedName>
    <definedName name="_xlnm.Print_Area" localSheetId="9">'9mell'!$A$1:$E$26</definedName>
  </definedNames>
  <calcPr fullCalcOnLoad="1"/>
</workbook>
</file>

<file path=xl/sharedStrings.xml><?xml version="1.0" encoding="utf-8"?>
<sst xmlns="http://schemas.openxmlformats.org/spreadsheetml/2006/main" count="1484" uniqueCount="505">
  <si>
    <t>Intézmény/ jogcím</t>
  </si>
  <si>
    <t>Int.bev.</t>
  </si>
  <si>
    <t>Pénzm.</t>
  </si>
  <si>
    <t>Átvett pénzeszköz</t>
  </si>
  <si>
    <t>Finansz.</t>
  </si>
  <si>
    <t>Összesen</t>
  </si>
  <si>
    <t>Kiadás</t>
  </si>
  <si>
    <t>műk.</t>
  </si>
  <si>
    <t>PM</t>
  </si>
  <si>
    <t>felh.</t>
  </si>
  <si>
    <t>Állami támogatás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</si>
  <si>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</si>
  <si>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</si>
  <si>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</si>
  <si>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</si>
  <si>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</si>
  <si>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</si>
  <si>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</si>
  <si>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</si>
  <si>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</si>
  <si>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</si>
  <si>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</si>
  <si>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</si>
  <si>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</si>
  <si>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</si>
  <si>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</si>
  <si>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</si>
  <si>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</si>
  <si>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</si>
  <si>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</si>
  <si>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</si>
  <si>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</si>
  <si>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</si>
  <si>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</si>
  <si>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</si>
  <si>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</si>
  <si>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</si>
  <si>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</si>
  <si>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Kiadás összesen</t>
  </si>
  <si>
    <t>felhalm.</t>
  </si>
  <si>
    <t>19.</t>
  </si>
  <si>
    <t>Battonya Város Önkormányzata</t>
  </si>
  <si>
    <t>20.</t>
  </si>
  <si>
    <t>21.</t>
  </si>
  <si>
    <t>22.</t>
  </si>
  <si>
    <t>23.</t>
  </si>
  <si>
    <t>24.</t>
  </si>
  <si>
    <t>25.</t>
  </si>
  <si>
    <t>26.</t>
  </si>
  <si>
    <t>Önkormányzat mindössz.</t>
  </si>
  <si>
    <t>2013.évi er.ei.</t>
  </si>
  <si>
    <t>év</t>
  </si>
  <si>
    <t>szem.jutt</t>
  </si>
  <si>
    <t>járulék</t>
  </si>
  <si>
    <t>dologi</t>
  </si>
  <si>
    <t>műk.össz.</t>
  </si>
  <si>
    <t>átadott pénzeszközök</t>
  </si>
  <si>
    <t>összesen</t>
  </si>
  <si>
    <t>segély</t>
  </si>
  <si>
    <t>I</t>
  </si>
  <si>
    <t>Városi Művelődési Központ és Könyvtár</t>
  </si>
  <si>
    <t>Önkormányzat mindösszesen</t>
  </si>
  <si>
    <t>Átadott pénzeszközök  ( eFt-ban )</t>
  </si>
  <si>
    <t>Megnevezés</t>
  </si>
  <si>
    <t>er.ei.</t>
  </si>
  <si>
    <t>Működésre átadott összesen</t>
  </si>
  <si>
    <t>Felhalmozásra átadott</t>
  </si>
  <si>
    <t>Átadott pénzeszköz összesen</t>
  </si>
  <si>
    <t>Polgármesteri Hivatal</t>
  </si>
  <si>
    <t>Iskolai étkeztetés támogatása</t>
  </si>
  <si>
    <t>Társadalom- és szociálpolitikai juttatások (eFt-ban)</t>
  </si>
  <si>
    <t>Saját forr.</t>
  </si>
  <si>
    <t>Külső forr.</t>
  </si>
  <si>
    <t>Polghiv.</t>
  </si>
  <si>
    <t>Önk.</t>
  </si>
  <si>
    <t>Rendszeres szociális segély</t>
  </si>
  <si>
    <t>Lakásfenntartási támogatás</t>
  </si>
  <si>
    <t>Egyes jövedelempótló támogatás összesen</t>
  </si>
  <si>
    <t>Temetési segély</t>
  </si>
  <si>
    <t>Átmeneti segély</t>
  </si>
  <si>
    <t>Családok átmeneti gondozása(Orosháza)</t>
  </si>
  <si>
    <t>Rendkívüli gyermekvédelmi tám.</t>
  </si>
  <si>
    <t>Rászorultságtól függő ellátás</t>
  </si>
  <si>
    <t>Köztemetés</t>
  </si>
  <si>
    <t>Természetben nyújtott összesen</t>
  </si>
  <si>
    <t>Óvodáztatási támogatás</t>
  </si>
  <si>
    <t>Ingyenes nyári gyermekétkeztetés</t>
  </si>
  <si>
    <t>Mindösszesen önk.által folyósított szoc.ellátás</t>
  </si>
  <si>
    <t>Szociális segélyek összesen</t>
  </si>
  <si>
    <t>Felhalmozási kiadások eft-ban</t>
  </si>
  <si>
    <t>Beruházási kiadás</t>
  </si>
  <si>
    <t>Felújítási kiadás</t>
  </si>
  <si>
    <t>Mindösszesen</t>
  </si>
  <si>
    <t>Bevételek</t>
  </si>
  <si>
    <t>I.Saját bevételek</t>
  </si>
  <si>
    <t>Intézményi bevételek</t>
  </si>
  <si>
    <t xml:space="preserve"> -intézményi működési bevétel</t>
  </si>
  <si>
    <t xml:space="preserve"> -közhatalmi bevétel</t>
  </si>
  <si>
    <t xml:space="preserve"> -működési c. kamat bevétel</t>
  </si>
  <si>
    <t>Kommunális adó</t>
  </si>
  <si>
    <t xml:space="preserve"> -magánszemélyek</t>
  </si>
  <si>
    <t>Iparűzési adó</t>
  </si>
  <si>
    <t>Turisztikai adó</t>
  </si>
  <si>
    <t>Talajterhelési díj</t>
  </si>
  <si>
    <t>Pótlék, bírság</t>
  </si>
  <si>
    <t>II. Átengedett bevételek</t>
  </si>
  <si>
    <t>Gépjármű adó</t>
  </si>
  <si>
    <t>Termőföld SZJA</t>
  </si>
  <si>
    <t>III. Állami hozzájárulás</t>
  </si>
  <si>
    <t xml:space="preserve">IV. Átvett pénzeszközök, visszatérülések  </t>
  </si>
  <si>
    <t>Működésre átvett pénzeszközök</t>
  </si>
  <si>
    <t>TB</t>
  </si>
  <si>
    <t>Kiegészítő támogatás egyes jövpótló fel.</t>
  </si>
  <si>
    <t xml:space="preserve">Mezőőri szolgálatra átvett     </t>
  </si>
  <si>
    <t>Vállalkozók mezőőri hozzájárulása</t>
  </si>
  <si>
    <t>Szenvedélybetegek Közösségi Ellátása</t>
  </si>
  <si>
    <t>V. Kölcsön visszatérülés</t>
  </si>
  <si>
    <t>Önkormányzati dolgozóknak nyújtott kölcsönök</t>
  </si>
  <si>
    <t>Költségvetési bevételek összesen</t>
  </si>
  <si>
    <t>Bevételek összesen</t>
  </si>
  <si>
    <t>Kiadások összesen</t>
  </si>
  <si>
    <t>függő bev</t>
  </si>
  <si>
    <t>Kiadások</t>
  </si>
  <si>
    <t>I.</t>
  </si>
  <si>
    <t>fő</t>
  </si>
  <si>
    <t>I.1.bb) Közvilágítás fenntartásának támogatása</t>
  </si>
  <si>
    <t>I.1.bc) Köztemető fenntartással kapcsolatos feladatok támogatása</t>
  </si>
  <si>
    <t>I.1.bd) Közutak fenntartásának támogatása</t>
  </si>
  <si>
    <t>III.</t>
  </si>
  <si>
    <t>IV.</t>
  </si>
  <si>
    <t>II.</t>
  </si>
  <si>
    <t>Egészségügyi és Szociális  Ellátó Szervezet</t>
  </si>
  <si>
    <t>V.</t>
  </si>
  <si>
    <t>VI.</t>
  </si>
  <si>
    <t>VII.</t>
  </si>
  <si>
    <t>VIII.</t>
  </si>
  <si>
    <t>IX.</t>
  </si>
  <si>
    <t>Szociális segélyezés járulékokkal</t>
  </si>
  <si>
    <t xml:space="preserve">          Saját forrás</t>
  </si>
  <si>
    <t xml:space="preserve">          Külső forrás</t>
  </si>
  <si>
    <t>Működésre átadott pénzeszközök</t>
  </si>
  <si>
    <t>Felhalmozásra átadott pénzeszköz</t>
  </si>
  <si>
    <t>Felhalmozási kiadások</t>
  </si>
  <si>
    <t xml:space="preserve">               -beruházás</t>
  </si>
  <si>
    <t xml:space="preserve">               - felújítás</t>
  </si>
  <si>
    <t>Pénzügyi befektetés</t>
  </si>
  <si>
    <t>Költségvetési kiadások összesen</t>
  </si>
  <si>
    <t>Bevétel összesen</t>
  </si>
  <si>
    <t>Felhalmozási bevételek</t>
  </si>
  <si>
    <t>Jogcím</t>
  </si>
  <si>
    <t>Felhalmozási célú kölcsön visszatérülés</t>
  </si>
  <si>
    <t>Felhalmozási bevételek összesen</t>
  </si>
  <si>
    <t>bevételek</t>
  </si>
  <si>
    <t>kiadások</t>
  </si>
  <si>
    <t>megnevezés</t>
  </si>
  <si>
    <t>Beruházási feladatok</t>
  </si>
  <si>
    <t>Felújítási kiadások</t>
  </si>
  <si>
    <t>Kötvény kamata</t>
  </si>
  <si>
    <t>Felhalmozási kiadás összesen</t>
  </si>
  <si>
    <t>Bevétel - kiadás</t>
  </si>
  <si>
    <t>Több éves kihatású kötelezettségvállalások ( eFt-ban)</t>
  </si>
  <si>
    <t>Hitelvisszafizetési kötelezettség</t>
  </si>
  <si>
    <t>"BATTONYA 2027" kötvény</t>
  </si>
  <si>
    <t>2013. április 01-től félévetne 0,0333 CHF -2027. október 01-ig</t>
  </si>
  <si>
    <t>300000 ft, 1.986.361 CHF</t>
  </si>
  <si>
    <t>246 ft-os árfolyamon</t>
  </si>
  <si>
    <t>2010. és 2011. évben megvalósult beruházásokhoz kapcsoslódó önk.saját erő finanszírozása</t>
  </si>
  <si>
    <t>2013. 03-31-tól negyedévente 2.500 eft, 2020.12.31-ig</t>
  </si>
  <si>
    <t>Tőketörlesztés összesen</t>
  </si>
  <si>
    <t>Kamatok</t>
  </si>
  <si>
    <t>Kamatok összesen</t>
  </si>
  <si>
    <t>Adósságszolgálat összesen</t>
  </si>
  <si>
    <t>kiadás</t>
  </si>
  <si>
    <t>889926 KÖZÖSSÉGI ELLÁTÁS</t>
  </si>
  <si>
    <t>Bevétel</t>
  </si>
  <si>
    <t>Személyi juttatás</t>
  </si>
  <si>
    <t>Rendszeres személyi juttatás</t>
  </si>
  <si>
    <t>2 fő közalkalmazott bére</t>
  </si>
  <si>
    <t>ft*1 hó</t>
  </si>
  <si>
    <t>Ft*11 hó</t>
  </si>
  <si>
    <t>Nem rendszeres személyi juttatás</t>
  </si>
  <si>
    <t>munkábajárás ktsg-e</t>
  </si>
  <si>
    <t>Közlekedési költségtérítés</t>
  </si>
  <si>
    <t>szakmai vezető megbízási díja</t>
  </si>
  <si>
    <t>80000*12 hó</t>
  </si>
  <si>
    <t>Személyi juttatás összesen</t>
  </si>
  <si>
    <t>Munkaadókat terhelő járulékok</t>
  </si>
  <si>
    <t>Dologi kiadás</t>
  </si>
  <si>
    <t>irodaszer</t>
  </si>
  <si>
    <t>Könyv, folyóirat, egyéb inf.hord.</t>
  </si>
  <si>
    <t>Szakmai anyag</t>
  </si>
  <si>
    <t>telefon</t>
  </si>
  <si>
    <t xml:space="preserve">mobil </t>
  </si>
  <si>
    <t>vonalas</t>
  </si>
  <si>
    <t>12 hó*12000Ft/hó</t>
  </si>
  <si>
    <t>gázenergia</t>
  </si>
  <si>
    <t>villamosenergia</t>
  </si>
  <si>
    <t>vízdíj</t>
  </si>
  <si>
    <t>karbantartási szolgáltatás</t>
  </si>
  <si>
    <t>egyéb szolgáltatás</t>
  </si>
  <si>
    <t>vásárolt közszolgáltatás</t>
  </si>
  <si>
    <t>pszichiáter megbiz.díj</t>
  </si>
  <si>
    <t>pszichológus 40000Ft/hó</t>
  </si>
  <si>
    <t>továbbképzés</t>
  </si>
  <si>
    <t>előadók díja</t>
  </si>
  <si>
    <t>területre kijárás, továbbképzés utiktsge</t>
  </si>
  <si>
    <t>ÁFA</t>
  </si>
  <si>
    <t>Dologi kiadás összesen</t>
  </si>
  <si>
    <t>889926  Szakfeladat összesen</t>
  </si>
  <si>
    <t>Szoc.hozzájárulási adó</t>
  </si>
  <si>
    <t>Bevétel-kiadás</t>
  </si>
  <si>
    <t>e Ft-ban</t>
  </si>
  <si>
    <t>SZAKFELADATOK</t>
  </si>
  <si>
    <t>Személyi juttatások</t>
  </si>
  <si>
    <t>Munkaadót terhelő járulékok</t>
  </si>
  <si>
    <t>Dologi és folyó kiadások</t>
  </si>
  <si>
    <t>Beruházások, felújítások, pénzügyi befektetések</t>
  </si>
  <si>
    <t>Pénzeszköz átadás</t>
  </si>
  <si>
    <t>Ellátottak pénzbeni juttatása</t>
  </si>
  <si>
    <t>Működésre átadott</t>
  </si>
  <si>
    <t>Intézmény finanszírozás</t>
  </si>
  <si>
    <t>Önkormányzati képviselők</t>
  </si>
  <si>
    <t>Polgármesteri Hivatal összesen</t>
  </si>
  <si>
    <t>ÖNKORMÁNYZATI KIADÁSOK</t>
  </si>
  <si>
    <t>Közterületek rendjének fenntartása</t>
  </si>
  <si>
    <t>Közfoglalkoztatás</t>
  </si>
  <si>
    <t>Támogatások</t>
  </si>
  <si>
    <t>Önkormányzat összesen</t>
  </si>
  <si>
    <t>Gyerekház támogatása</t>
  </si>
  <si>
    <t>2012-ben 8950 eft. Előtörlesztés</t>
  </si>
  <si>
    <t>Strandfürdő működési támogatás</t>
  </si>
  <si>
    <t>Egészségügyi és Szociális Ellátó Szervezet</t>
  </si>
  <si>
    <t>járulékok</t>
  </si>
  <si>
    <t xml:space="preserve">dologi </t>
  </si>
  <si>
    <t>Korai fejl..gond.</t>
  </si>
  <si>
    <t>Közösségi ellátás</t>
  </si>
  <si>
    <t>Nappali ellátás</t>
  </si>
  <si>
    <t>Demens</t>
  </si>
  <si>
    <t>Gyerekjólét</t>
  </si>
  <si>
    <t>Családsegítö</t>
  </si>
  <si>
    <t>Házi segítségnyújtás</t>
  </si>
  <si>
    <t>Fogászat</t>
  </si>
  <si>
    <t>Védőnők</t>
  </si>
  <si>
    <t>Ifjúságieü.gondozás</t>
  </si>
  <si>
    <t>Labor</t>
  </si>
  <si>
    <t>Háziorvos</t>
  </si>
  <si>
    <t>műk-re átvett pénz</t>
  </si>
  <si>
    <t>TB fin</t>
  </si>
  <si>
    <t>műk.bev</t>
  </si>
  <si>
    <t>Dologi kiadások</t>
  </si>
  <si>
    <t>kiadások összesen :</t>
  </si>
  <si>
    <t xml:space="preserve"> Víztermelés,-kezelés,-ellátás</t>
  </si>
  <si>
    <t>Egyéb nem veszélyes hulladék gyűjtése, szállítása, átrakása</t>
  </si>
  <si>
    <t xml:space="preserve"> Közutak, hidak, alagutak üzemelt. Fenntartása(buszváró)</t>
  </si>
  <si>
    <t xml:space="preserve"> Intézményi étkeztetés</t>
  </si>
  <si>
    <t xml:space="preserve"> Lakóingatlan bérbeadása, üzemeltetése</t>
  </si>
  <si>
    <t xml:space="preserve"> Nem lakóingatlan bérbeadása, üzemeltetése</t>
  </si>
  <si>
    <t>Állat-egészségügyi ellátás</t>
  </si>
  <si>
    <t>M.n.s. egyéb kiegészítő szolg. -102</t>
  </si>
  <si>
    <t>Közvilágítás</t>
  </si>
  <si>
    <t>Város,-községgazdálkodási m.n.s. szolg.(piac)</t>
  </si>
  <si>
    <t>Sportlétesítmények működtetése és fejlesztése</t>
  </si>
  <si>
    <t>Köztemető fenntartás és működtetés</t>
  </si>
  <si>
    <t>állami</t>
  </si>
  <si>
    <t>Pénzforgalmi mérleg ( e ft-ban )</t>
  </si>
  <si>
    <t>II.félév</t>
  </si>
  <si>
    <t>I.félév</t>
  </si>
  <si>
    <t>Működési kiadások összesen (I-V.)</t>
  </si>
  <si>
    <t>Köztisztviselők, jegyző, polgármesterek</t>
  </si>
  <si>
    <t>Önkéntes tűzoltók</t>
  </si>
  <si>
    <t>intézmény összesen</t>
  </si>
  <si>
    <t>Városellátó Szervezet</t>
  </si>
  <si>
    <t>Önk.igazgatási feladatai</t>
  </si>
  <si>
    <t>Mezőőri szolgálat</t>
  </si>
  <si>
    <t>Önkéntes tűzoltói tevékenység</t>
  </si>
  <si>
    <t>átadott peszk.műk.</t>
  </si>
  <si>
    <t>átadott peszk. felhalm..</t>
  </si>
  <si>
    <t>kiadás össz.</t>
  </si>
  <si>
    <t>kiadás összesen:</t>
  </si>
  <si>
    <t>finanszírozás forrása</t>
  </si>
  <si>
    <t>Szociális étkezés</t>
  </si>
  <si>
    <t>Szociális segélyezés</t>
  </si>
  <si>
    <t>Közművelődési tev.</t>
  </si>
  <si>
    <t>Múzeumi tevékenység</t>
  </si>
  <si>
    <t>Könyvt.áll.gyarapítása</t>
  </si>
  <si>
    <t>Könyvt.áll.védelme</t>
  </si>
  <si>
    <t>Könyvtári szolg.</t>
  </si>
  <si>
    <t>felhal.bev.</t>
  </si>
  <si>
    <t>adó</t>
  </si>
  <si>
    <t>egyéb sajátos</t>
  </si>
  <si>
    <t>többlet bevételű tevékenységekről</t>
  </si>
  <si>
    <t>átengedett</t>
  </si>
  <si>
    <t>kölcsön visszatér</t>
  </si>
  <si>
    <t>bev.összesen</t>
  </si>
  <si>
    <t>tevékenység</t>
  </si>
  <si>
    <t>bevétel</t>
  </si>
  <si>
    <t>Előirányzat-felhasználási terv</t>
  </si>
  <si>
    <t>Ezer forintban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</si>
  <si>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</si>
  <si>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</si>
  <si>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</si>
  <si>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</si>
  <si>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</si>
  <si>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</si>
  <si>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</si>
  <si>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</si>
  <si>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</si>
  <si>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</si>
  <si>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</si>
  <si>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</si>
  <si>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</si>
  <si>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</si>
  <si>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Közhatalmi bevételek</t>
  </si>
  <si>
    <t>Intézményi működési bevételek</t>
  </si>
  <si>
    <t>Támogatások, hozzájárulások bevételei</t>
  </si>
  <si>
    <t>Támogatásértékű bevételek</t>
  </si>
  <si>
    <t>Felhalmozási célú bevételek</t>
  </si>
  <si>
    <t>Átvett pénzeszközök</t>
  </si>
  <si>
    <t>Kölcsönök</t>
  </si>
  <si>
    <t>Előző évi pénzmaradvány, vállalkozási eredmény</t>
  </si>
  <si>
    <t>Bevételek összesen:</t>
  </si>
  <si>
    <t>Munkaadókat terhelő járulékok és szociális hozzájárulási adó</t>
  </si>
  <si>
    <t>Ellátottak pénzbeli juttatása</t>
  </si>
  <si>
    <t>Támogatások, elvonások</t>
  </si>
  <si>
    <t>Támogatásértékű kiadások</t>
  </si>
  <si>
    <t>Lakosságnak juttatott tám., szociális, rászorultság jellegű tám.</t>
  </si>
  <si>
    <t>Tartalékok</t>
  </si>
  <si>
    <t>Hitelek kamatai</t>
  </si>
  <si>
    <t>Felhalmozási költségvetés kiadásai</t>
  </si>
  <si>
    <t>Finanszírozási célú kiadások</t>
  </si>
  <si>
    <t>Kiadások összesen:</t>
  </si>
  <si>
    <t>Egyenleg</t>
  </si>
  <si>
    <t>Nyitó pénzkészlet</t>
  </si>
  <si>
    <t>-----</t>
  </si>
  <si>
    <t>Finanszírozási célú bevételek</t>
  </si>
  <si>
    <t>Egyenleg (10-23)</t>
  </si>
  <si>
    <t>folyószámla</t>
  </si>
  <si>
    <t>Battonyai Polgármesteri Hivatal</t>
  </si>
  <si>
    <t>Felhalmozási célú kamat</t>
  </si>
  <si>
    <t>intézmény</t>
  </si>
  <si>
    <t>mindösszesen</t>
  </si>
  <si>
    <t>2013. évi er.ei.</t>
  </si>
  <si>
    <t>Battonya Város Önkormányzatának 2013. évi engedélyezett létszámkerete</t>
  </si>
  <si>
    <t xml:space="preserve">Közfoglalkoztatás </t>
  </si>
  <si>
    <t>Battonya Város Önkormányzat saját bevételeinek részletezése az adósságot keletkeztető ügyletből származó tárgyévi fizetési kötelezettség megállapításához</t>
  </si>
  <si>
    <t xml:space="preserve">Ezer forintban </t>
  </si>
  <si>
    <t>Bevételi jogcímek</t>
  </si>
  <si>
    <t>Helyi adók</t>
  </si>
  <si>
    <t>Osztalékok, koncessziós díjak, hozam</t>
  </si>
  <si>
    <t>Díjak, pótlékok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</si>
  <si>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</si>
  <si>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</si>
  <si>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</si>
  <si>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</si>
  <si>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</si>
  <si>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</si>
  <si>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2013. évi előirányzat</t>
  </si>
  <si>
    <t xml:space="preserve">Fizikoterápia </t>
  </si>
  <si>
    <t>Egészségügyi és Szociális Ellátó Szervezet Előirányzat-felhasználási terv</t>
  </si>
  <si>
    <t>Városellátó  Szervezet Előirányzat-felhasználási terv</t>
  </si>
  <si>
    <t>Városi Művelődési Központ és Könyvtár Előirányzat-felhasználási terv</t>
  </si>
  <si>
    <t>Támogatások, hozzájárulások, sajátos</t>
  </si>
  <si>
    <t xml:space="preserve">B </t>
  </si>
  <si>
    <t>K</t>
  </si>
  <si>
    <t>L</t>
  </si>
  <si>
    <t xml:space="preserve">A </t>
  </si>
  <si>
    <t>M</t>
  </si>
  <si>
    <t>jogcím/ intézmény</t>
  </si>
  <si>
    <t xml:space="preserve">I </t>
  </si>
  <si>
    <t xml:space="preserve">J </t>
  </si>
  <si>
    <t xml:space="preserve">N </t>
  </si>
  <si>
    <t>O</t>
  </si>
  <si>
    <t>P</t>
  </si>
  <si>
    <t xml:space="preserve">J  </t>
  </si>
  <si>
    <t>2013.mód.ei</t>
  </si>
  <si>
    <t>2013.évi mód.ei.</t>
  </si>
  <si>
    <t>működési</t>
  </si>
  <si>
    <t>tagdíj</t>
  </si>
  <si>
    <t>vasutas települések</t>
  </si>
  <si>
    <t>dareh működési hozzájár 2012 évi</t>
  </si>
  <si>
    <t xml:space="preserve">dareh működési hozzájár </t>
  </si>
  <si>
    <t>előző évi állami visszafiz.</t>
  </si>
  <si>
    <t>kamatok</t>
  </si>
  <si>
    <t>munkabér</t>
  </si>
  <si>
    <t>kötvény</t>
  </si>
  <si>
    <t>80 millió</t>
  </si>
  <si>
    <t>felhalmozási</t>
  </si>
  <si>
    <t>pályázat</t>
  </si>
  <si>
    <t>Erzsébet utalvány</t>
  </si>
  <si>
    <t>2014.évi er.ei.</t>
  </si>
  <si>
    <t>2014.</t>
  </si>
  <si>
    <t>Felhalmozási tartalék</t>
  </si>
  <si>
    <t xml:space="preserve">E </t>
  </si>
  <si>
    <t>2014. évi felhalmozási bevételek és kiadások bemutatása mérlegszerűen, eft-ban</t>
  </si>
  <si>
    <t>Időskorúak járadéka</t>
  </si>
  <si>
    <t>Ápolási díj</t>
  </si>
  <si>
    <t>Mutató</t>
  </si>
  <si>
    <t xml:space="preserve"> I. A HELYI ÖNKORMÁNYZATOK MŰKÖDÉSÉNEK ÁLTALÁNOS TÁMOGATÁSA</t>
  </si>
  <si>
    <t>I.1.a) Önkormányzati hivatal működésének támogatása</t>
  </si>
  <si>
    <t>I.1.a) Önkormányzati hivatal működésének támogatása - elismert hivatali létszám alapján</t>
  </si>
  <si>
    <t xml:space="preserve">I.1.a) - V. Önkormányzati hivatal működésének támogatása - beszámítás után
</t>
  </si>
  <si>
    <t>I.1.b) Település-üzemeltetéshez kapcsolódó feladatellátás támogatása összesen</t>
  </si>
  <si>
    <t>I.1.b) - V. Támogatás összesen - beszámítás után</t>
  </si>
  <si>
    <t>I.1.ba) A zöldterület-gazdálkodással kapcsolatos feladatok ellátásának támogatása</t>
  </si>
  <si>
    <t>I.1.ba) - V. A zöldterület-gazdálkodással kapcsolatos feladatok ellátásának támogatása - beszámítás után</t>
  </si>
  <si>
    <t xml:space="preserve">I.1.bb) - V. Közvilágítás fenntartásának támogatása - beszámítás után
</t>
  </si>
  <si>
    <t>I.1.bc) - V. Köztemető fenntartással kapcsolatos feladatok támogatása - beszámítás után</t>
  </si>
  <si>
    <t>I.1.bd) - V. Közutak fenntartásának támogatása - beszámítás után</t>
  </si>
  <si>
    <t>I.1.c) Egyéb önkormányzati feladatok támogatása</t>
  </si>
  <si>
    <t xml:space="preserve">I.1.c) - V. Egyéb önkormányzati feladatok támogatása - beszámítás után 
</t>
  </si>
  <si>
    <t xml:space="preserve">I.2. Nem közművel összegyűjtött háztartási szennyvíz ártalmatlanítása 
</t>
  </si>
  <si>
    <t>köbméter</t>
  </si>
  <si>
    <t>V. Info Beszámítás</t>
  </si>
  <si>
    <t xml:space="preserve"> III. A TELEPÜLÉSI ÖNKORMÁNYZATOK SZOCIÁLIS ÉS GYERMEKJÓLÉTI FELADATAINAK TÁMOGATÁSA</t>
  </si>
  <si>
    <t xml:space="preserve">III.2. Hozzájárulás a pénzbeli szociális ellátásokhoz </t>
  </si>
  <si>
    <t>III.2. - V. Hozzájárulás a pénzbeli szociális ellátásokhoz beszámítás után</t>
  </si>
  <si>
    <t>III.3. Egyes szociális és gyermekjóléti feladatok támogatása</t>
  </si>
  <si>
    <t>III.3.a (1) Szociális és gyermekjóléti alapszolgáltatások általános feladatai - családsegítés</t>
  </si>
  <si>
    <t>III.3.aa (1) 70 000 fő lakosságszámig működési engedéllyel családsegítés</t>
  </si>
  <si>
    <t>III.3.a (2) Szociális és gyermekjóléti alapszolgáltatások általános feladatai - gyermekjóléti szolgálat</t>
  </si>
  <si>
    <t>III.3.aa (2) 70 000 fő lakosságszámig működési engedéllyel - gyermekjóléti szolgálat</t>
  </si>
  <si>
    <t>III.3.b gyermekjóléti központ</t>
  </si>
  <si>
    <t>működési hó</t>
  </si>
  <si>
    <t>III.3.c (1) szociális étkeztetés</t>
  </si>
  <si>
    <t>III.3.d (1) házi segítségnyújtás</t>
  </si>
  <si>
    <t>III.3.f Időskorúak nappali intézményi ellátása</t>
  </si>
  <si>
    <t>III.3.f (1) időskorúak nappali intézményi ellátása</t>
  </si>
  <si>
    <t xml:space="preserve">III.3.g Fogyatékos és demens személyek nappali intézményi ellátása </t>
  </si>
  <si>
    <t>III.3.g (5) demens személyek nappali intézményi ellátása</t>
  </si>
  <si>
    <t>X.</t>
  </si>
  <si>
    <t>Finanszírozási műveletek</t>
  </si>
  <si>
    <t>Felhalmozási c. hitel törlesztése</t>
  </si>
  <si>
    <t>Felhalmozási c. kötvény törl.első félévi</t>
  </si>
  <si>
    <t>Felhalmozási c. kötvény törl.mádodik félévi 50%</t>
  </si>
  <si>
    <t>2013.</t>
  </si>
  <si>
    <t>Felhalmozási és tőkejellegű bevétel</t>
  </si>
  <si>
    <t>menny.e</t>
  </si>
  <si>
    <t>2014. évre</t>
  </si>
  <si>
    <t>Battonya Város Önkormányzat előirányzat felhasználási terve
2014. évre</t>
  </si>
  <si>
    <t xml:space="preserve">5830 Battonya, Hunyadi u. </t>
  </si>
  <si>
    <t>2014. évi költségvetés</t>
  </si>
  <si>
    <t>2013. dec.31</t>
  </si>
  <si>
    <t>2014.jan.01</t>
  </si>
  <si>
    <t>22 nap*36 km*9Ft/km*12 hó</t>
  </si>
  <si>
    <t>Külsős megbizási díj,és további jogviszony</t>
  </si>
  <si>
    <t>rendszeres szem.juttatás</t>
  </si>
  <si>
    <t>ft*27%</t>
  </si>
  <si>
    <t>külső személyi juttatás</t>
  </si>
  <si>
    <t>ft*90%*27%</t>
  </si>
  <si>
    <t>Munkaadókat terhelő árulék összesen</t>
  </si>
  <si>
    <t>3*4000Ft/hó</t>
  </si>
  <si>
    <t>ft*12hó</t>
  </si>
  <si>
    <t>ft*6hó</t>
  </si>
  <si>
    <t>alkalmassági vizsgálat</t>
  </si>
  <si>
    <t>ft*2fő</t>
  </si>
  <si>
    <t xml:space="preserve"> </t>
  </si>
  <si>
    <t>Strandfürdő</t>
  </si>
  <si>
    <t>Központi költségvetéstől átvett</t>
  </si>
  <si>
    <t>Városnap</t>
  </si>
  <si>
    <t>Számítógéppark cseréje az önkormányzatnál</t>
  </si>
  <si>
    <t>Gimnázium hőszolgáltatás kiváltása</t>
  </si>
  <si>
    <t>2014. ÉVI SZÖVEGES KÖLTSÉGVETÉS ÖSSZESÍTŐ</t>
  </si>
  <si>
    <t>felhalm.bev.</t>
  </si>
  <si>
    <t>Átadott felhalmozásra</t>
  </si>
  <si>
    <t>Felhalmozási bevétel áfa befizetés</t>
  </si>
  <si>
    <t>Hősök tere 11. értékesítése</t>
  </si>
  <si>
    <t>Egyéb ingatlan értékesítése</t>
  </si>
  <si>
    <t>2011 december</t>
  </si>
  <si>
    <t>KÖZÖSSÉGI ELLÁTÁS</t>
  </si>
  <si>
    <t>Fizetési fokozat</t>
  </si>
  <si>
    <t>Köt.lépés</t>
  </si>
  <si>
    <t>Alapilletmény</t>
  </si>
  <si>
    <t>bérkieg.</t>
  </si>
  <si>
    <t>munk dönt</t>
  </si>
  <si>
    <t>Min.bérre kieg.</t>
  </si>
  <si>
    <t>Gar.bérmin.kieg</t>
  </si>
  <si>
    <t>Illetmény összesen</t>
  </si>
  <si>
    <t>Nagy Csaba</t>
  </si>
  <si>
    <t>E03</t>
  </si>
  <si>
    <t>Sebők Máté</t>
  </si>
  <si>
    <t>E02</t>
  </si>
  <si>
    <t>2012 január</t>
  </si>
  <si>
    <t>Korobán Éva</t>
  </si>
  <si>
    <t>megbízási díj</t>
  </si>
  <si>
    <t>Felhalm áfa befizetés</t>
  </si>
  <si>
    <t>Hitelkamatok</t>
  </si>
  <si>
    <t>Mg-i ügyintéző és honlap szerkesztő</t>
  </si>
  <si>
    <t>Battonyai Polgármesteri Hivatala és Battonya Város Önkormányzata kiadásai szakfeladatonként 2014.év</t>
  </si>
  <si>
    <t>ebbő áfa befizetés az önkormányzat dologi kiadásai között megtervezve</t>
  </si>
  <si>
    <t>A HELYI ÖNKORMÁNYZATOK MŰKÖDÉSÉNEK ÁLTALÁNOS TÁMOGATÁSA    ft-ban</t>
  </si>
  <si>
    <t>2014. évben teljes konszolidáció</t>
  </si>
  <si>
    <t>Működési pályázati alap</t>
  </si>
  <si>
    <t>Battonya Város Önkormányzat likvidási terve
2014. évre</t>
  </si>
  <si>
    <t>Közművelődési érdekeltségnövelő pályázati alap</t>
  </si>
  <si>
    <t>Múzeumi érdekeltségnövelő pályázati alap</t>
  </si>
  <si>
    <t>Számíthatsz Ránk! Egyesület pályázati önerő</t>
  </si>
  <si>
    <t>Temető ravatalozó tető felújítása</t>
  </si>
  <si>
    <t>Temetőbe urnafal építése</t>
  </si>
  <si>
    <t>Foglalkoztatást helyettesítő támogatás</t>
  </si>
  <si>
    <t>Egészségkárosodottak rendszeres szociális segélye</t>
  </si>
  <si>
    <t>Felhalmozási kiadás</t>
  </si>
  <si>
    <t>Önkormányzati segélyek  ( 2014-től    )</t>
  </si>
  <si>
    <t>Jelzőrendszeres házi segítségnyújtás működtetésének támogatása, 15 fő*3.000ft</t>
  </si>
  <si>
    <t>II. IV.1.d. Közművelődési támogatás</t>
  </si>
  <si>
    <t>III. 15. Üdülőhelyi feladatok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</si>
</sst>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0.0%"/>
    <numFmt numFmtId="166" formatCode="0.00_ ;[Red]\-0.00\ "/>
    <numFmt numFmtId="167" formatCode="yyyy\-mm\-dd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-40E]yyyy\.\ mmmm\ d\."/>
    <numFmt numFmtId="173" formatCode="m\.\ d\.;@"/>
    <numFmt numFmtId="174" formatCode="0.0"/>
    <numFmt numFmtId="175" formatCode="#,##0.000"/>
    <numFmt numFmtId="176" formatCode="#,##0.0000"/>
  </numFmts>
  <fonts count="82">
    <font>
      <sz val="10"/>
      <name val="Arial"/>
      <family val="0"/>
    </font>
    <font>
      <b/>
      <sz val="12"/>
      <name val="Arial"/>
      <family val="0"/>
    </font>
    <font>
      <b/>
      <sz val="12"/>
      <name val="Arial CE"/>
      <family val="2"/>
    </font>
    <font>
      <b/>
      <sz val="11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u val="single"/>
      <sz val="12"/>
      <name val="Arial CE"/>
      <family val="2"/>
    </font>
    <font>
      <sz val="12"/>
      <name val="Arial CE"/>
      <family val="2"/>
    </font>
    <font>
      <sz val="12"/>
      <name val="Arial"/>
      <family val="0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0"/>
    </font>
    <font>
      <b/>
      <i/>
      <sz val="11"/>
      <name val="Arial"/>
      <family val="2"/>
    </font>
    <font>
      <b/>
      <sz val="10"/>
      <name val="Arial CE"/>
      <family val="2"/>
    </font>
    <font>
      <i/>
      <sz val="11"/>
      <name val="Arial CE"/>
      <family val="2"/>
    </font>
    <font>
      <b/>
      <i/>
      <sz val="12"/>
      <name val="Arial CE"/>
      <family val="2"/>
    </font>
    <font>
      <b/>
      <u val="single"/>
      <sz val="11"/>
      <name val="Arial CE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u val="single"/>
      <sz val="11"/>
      <name val="Times New Roman CE"/>
      <family val="1"/>
    </font>
    <font>
      <b/>
      <sz val="9"/>
      <color indexed="8"/>
      <name val="Arial CE"/>
      <family val="0"/>
    </font>
    <font>
      <u val="single"/>
      <sz val="9"/>
      <color indexed="8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12"/>
      <color indexed="8"/>
      <name val="Arial CE"/>
      <family val="2"/>
    </font>
    <font>
      <b/>
      <u val="single"/>
      <sz val="11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u val="single"/>
      <sz val="11"/>
      <name val="Arial CE"/>
      <family val="0"/>
    </font>
    <font>
      <b/>
      <i/>
      <sz val="11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  <font>
      <sz val="10"/>
      <color indexed="48"/>
      <name val="Arial"/>
      <family val="0"/>
    </font>
    <font>
      <i/>
      <sz val="11"/>
      <color indexed="8"/>
      <name val="Arial CE"/>
      <family val="0"/>
    </font>
    <font>
      <b/>
      <sz val="9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sz val="9"/>
      <color indexed="10"/>
      <name val="Arial CE"/>
      <family val="2"/>
    </font>
    <font>
      <sz val="8"/>
      <color indexed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>
        <color indexed="8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/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/>
      <top style="medium">
        <color indexed="8"/>
      </top>
      <bottom/>
    </border>
    <border>
      <left>
        <color indexed="63"/>
      </left>
      <right style="medium"/>
      <top style="medium">
        <color indexed="8"/>
      </top>
      <bottom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64" fillId="7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17" borderId="7" applyNumberFormat="0" applyFont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21" borderId="0" applyNumberFormat="0" applyBorder="0" applyAlignment="0" applyProtection="0"/>
    <xf numFmtId="0" fontId="61" fillId="4" borderId="0" applyNumberFormat="0" applyBorder="0" applyAlignment="0" applyProtection="0"/>
    <xf numFmtId="0" fontId="65" fillId="22" borderId="8" applyNumberFormat="0" applyAlignment="0" applyProtection="0"/>
    <xf numFmtId="0" fontId="7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" borderId="0" applyNumberFormat="0" applyBorder="0" applyAlignment="0" applyProtection="0"/>
    <xf numFmtId="0" fontId="63" fillId="23" borderId="0" applyNumberFormat="0" applyBorder="0" applyAlignment="0" applyProtection="0"/>
    <xf numFmtId="0" fontId="66" fillId="22" borderId="1" applyNumberFormat="0" applyAlignment="0" applyProtection="0"/>
    <xf numFmtId="9" fontId="0" fillId="0" borderId="0" applyFont="0" applyFill="0" applyBorder="0" applyAlignment="0" applyProtection="0"/>
  </cellStyleXfs>
  <cellXfs count="7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19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3" fontId="17" fillId="0" borderId="0" xfId="0" applyNumberFormat="1" applyFont="1" applyAlignment="1">
      <alignment/>
    </xf>
    <xf numFmtId="0" fontId="2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22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22" xfId="0" applyFont="1" applyBorder="1" applyAlignment="1">
      <alignment/>
    </xf>
    <xf numFmtId="0" fontId="23" fillId="0" borderId="22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22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1" fontId="2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3" fontId="11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1" fillId="0" borderId="23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3" fontId="31" fillId="0" borderId="24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/>
    </xf>
    <xf numFmtId="3" fontId="33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3" fontId="34" fillId="0" borderId="0" xfId="0" applyNumberFormat="1" applyFont="1" applyFill="1" applyAlignment="1">
      <alignment/>
    </xf>
    <xf numFmtId="1" fontId="33" fillId="0" borderId="0" xfId="0" applyNumberFormat="1" applyFont="1" applyFill="1" applyBorder="1" applyAlignment="1">
      <alignment/>
    </xf>
    <xf numFmtId="0" fontId="34" fillId="0" borderId="23" xfId="0" applyFont="1" applyFill="1" applyBorder="1" applyAlignment="1">
      <alignment/>
    </xf>
    <xf numFmtId="0" fontId="33" fillId="0" borderId="24" xfId="0" applyFont="1" applyFill="1" applyBorder="1" applyAlignment="1">
      <alignment/>
    </xf>
    <xf numFmtId="3" fontId="34" fillId="0" borderId="24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35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35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36" fillId="0" borderId="0" xfId="0" applyNumberFormat="1" applyFont="1" applyFill="1" applyAlignment="1">
      <alignment/>
    </xf>
    <xf numFmtId="3" fontId="29" fillId="0" borderId="0" xfId="0" applyNumberFormat="1" applyFont="1" applyFill="1" applyBorder="1" applyAlignment="1">
      <alignment/>
    </xf>
    <xf numFmtId="0" fontId="34" fillId="0" borderId="24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7" fillId="0" borderId="24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7" fillId="0" borderId="25" xfId="0" applyFont="1" applyBorder="1" applyAlignment="1">
      <alignment vertical="top" wrapText="1"/>
    </xf>
    <xf numFmtId="0" fontId="38" fillId="0" borderId="25" xfId="0" applyFont="1" applyBorder="1" applyAlignment="1">
      <alignment horizontal="right" vertical="top" wrapText="1"/>
    </xf>
    <xf numFmtId="0" fontId="38" fillId="0" borderId="26" xfId="0" applyFont="1" applyBorder="1" applyAlignment="1">
      <alignment horizontal="right" vertical="top" wrapText="1"/>
    </xf>
    <xf numFmtId="0" fontId="38" fillId="0" borderId="25" xfId="0" applyFont="1" applyBorder="1" applyAlignment="1">
      <alignment horizontal="right" vertical="center" wrapText="1"/>
    </xf>
    <xf numFmtId="0" fontId="38" fillId="0" borderId="27" xfId="0" applyFont="1" applyBorder="1" applyAlignment="1">
      <alignment horizontal="right" vertical="top" wrapText="1"/>
    </xf>
    <xf numFmtId="0" fontId="38" fillId="0" borderId="28" xfId="0" applyFont="1" applyBorder="1" applyAlignment="1">
      <alignment horizontal="right" vertical="top" wrapText="1"/>
    </xf>
    <xf numFmtId="3" fontId="37" fillId="0" borderId="29" xfId="0" applyNumberFormat="1" applyFont="1" applyBorder="1" applyAlignment="1">
      <alignment horizontal="right" vertical="top" wrapText="1"/>
    </xf>
    <xf numFmtId="3" fontId="37" fillId="0" borderId="25" xfId="0" applyNumberFormat="1" applyFont="1" applyBorder="1" applyAlignment="1">
      <alignment horizontal="right" vertical="top" wrapText="1"/>
    </xf>
    <xf numFmtId="0" fontId="38" fillId="0" borderId="30" xfId="0" applyFont="1" applyBorder="1" applyAlignment="1">
      <alignment vertical="top" wrapText="1"/>
    </xf>
    <xf numFmtId="3" fontId="38" fillId="0" borderId="31" xfId="0" applyNumberFormat="1" applyFont="1" applyBorder="1" applyAlignment="1">
      <alignment horizontal="right" vertical="top" wrapText="1"/>
    </xf>
    <xf numFmtId="3" fontId="38" fillId="0" borderId="30" xfId="0" applyNumberFormat="1" applyFont="1" applyBorder="1" applyAlignment="1">
      <alignment horizontal="right" vertical="top" wrapText="1"/>
    </xf>
    <xf numFmtId="3" fontId="38" fillId="0" borderId="32" xfId="0" applyNumberFormat="1" applyFont="1" applyBorder="1" applyAlignment="1">
      <alignment horizontal="right" vertical="top" wrapText="1"/>
    </xf>
    <xf numFmtId="3" fontId="38" fillId="0" borderId="33" xfId="0" applyNumberFormat="1" applyFont="1" applyBorder="1" applyAlignment="1">
      <alignment horizontal="right" vertical="top" wrapText="1"/>
    </xf>
    <xf numFmtId="3" fontId="38" fillId="0" borderId="34" xfId="0" applyNumberFormat="1" applyFont="1" applyBorder="1" applyAlignment="1">
      <alignment horizontal="right" vertical="top" wrapText="1"/>
    </xf>
    <xf numFmtId="3" fontId="37" fillId="0" borderId="30" xfId="0" applyNumberFormat="1" applyFont="1" applyBorder="1" applyAlignment="1">
      <alignment horizontal="right" vertical="top" wrapText="1"/>
    </xf>
    <xf numFmtId="0" fontId="38" fillId="0" borderId="35" xfId="0" applyFont="1" applyBorder="1" applyAlignment="1">
      <alignment vertical="top" wrapText="1"/>
    </xf>
    <xf numFmtId="3" fontId="38" fillId="0" borderId="35" xfId="0" applyNumberFormat="1" applyFont="1" applyBorder="1" applyAlignment="1">
      <alignment horizontal="right" vertical="top" wrapText="1"/>
    </xf>
    <xf numFmtId="3" fontId="38" fillId="0" borderId="36" xfId="0" applyNumberFormat="1" applyFont="1" applyBorder="1" applyAlignment="1">
      <alignment horizontal="right" vertical="top" wrapText="1"/>
    </xf>
    <xf numFmtId="4" fontId="38" fillId="0" borderId="35" xfId="0" applyNumberFormat="1" applyFont="1" applyBorder="1" applyAlignment="1">
      <alignment horizontal="right" vertical="top" wrapText="1"/>
    </xf>
    <xf numFmtId="4" fontId="38" fillId="0" borderId="37" xfId="0" applyNumberFormat="1" applyFont="1" applyBorder="1" applyAlignment="1">
      <alignment horizontal="right" vertical="top" wrapText="1"/>
    </xf>
    <xf numFmtId="4" fontId="38" fillId="0" borderId="38" xfId="0" applyNumberFormat="1" applyFont="1" applyBorder="1" applyAlignment="1">
      <alignment horizontal="right" vertical="top" wrapText="1"/>
    </xf>
    <xf numFmtId="3" fontId="38" fillId="0" borderId="39" xfId="0" applyNumberFormat="1" applyFont="1" applyBorder="1" applyAlignment="1">
      <alignment horizontal="right" vertical="top" wrapText="1"/>
    </xf>
    <xf numFmtId="3" fontId="37" fillId="0" borderId="35" xfId="0" applyNumberFormat="1" applyFont="1" applyBorder="1" applyAlignment="1">
      <alignment horizontal="right" vertical="top" wrapText="1"/>
    </xf>
    <xf numFmtId="0" fontId="37" fillId="0" borderId="21" xfId="0" applyFont="1" applyBorder="1" applyAlignment="1">
      <alignment vertical="top" wrapText="1"/>
    </xf>
    <xf numFmtId="3" fontId="37" fillId="0" borderId="21" xfId="0" applyNumberFormat="1" applyFont="1" applyBorder="1" applyAlignment="1">
      <alignment horizontal="right" vertical="top" wrapText="1"/>
    </xf>
    <xf numFmtId="3" fontId="37" fillId="0" borderId="20" xfId="0" applyNumberFormat="1" applyFont="1" applyBorder="1" applyAlignment="1">
      <alignment horizontal="right" vertical="top" wrapText="1"/>
    </xf>
    <xf numFmtId="3" fontId="37" fillId="0" borderId="40" xfId="0" applyNumberFormat="1" applyFont="1" applyBorder="1" applyAlignment="1">
      <alignment horizontal="right" vertical="top" wrapText="1"/>
    </xf>
    <xf numFmtId="3" fontId="37" fillId="0" borderId="41" xfId="0" applyNumberFormat="1" applyFont="1" applyBorder="1" applyAlignment="1">
      <alignment horizontal="right" vertical="top" wrapText="1"/>
    </xf>
    <xf numFmtId="3" fontId="37" fillId="0" borderId="26" xfId="0" applyNumberFormat="1" applyFont="1" applyBorder="1" applyAlignment="1">
      <alignment horizontal="right" vertical="top" wrapText="1"/>
    </xf>
    <xf numFmtId="4" fontId="37" fillId="0" borderId="25" xfId="0" applyNumberFormat="1" applyFont="1" applyBorder="1" applyAlignment="1">
      <alignment horizontal="right" vertical="top" wrapText="1"/>
    </xf>
    <xf numFmtId="4" fontId="37" fillId="0" borderId="27" xfId="0" applyNumberFormat="1" applyFont="1" applyBorder="1" applyAlignment="1">
      <alignment horizontal="right" vertical="top" wrapText="1"/>
    </xf>
    <xf numFmtId="4" fontId="37" fillId="0" borderId="28" xfId="0" applyNumberFormat="1" applyFont="1" applyBorder="1" applyAlignment="1">
      <alignment horizontal="right" vertical="top" wrapText="1"/>
    </xf>
    <xf numFmtId="4" fontId="38" fillId="0" borderId="30" xfId="0" applyNumberFormat="1" applyFont="1" applyBorder="1" applyAlignment="1">
      <alignment horizontal="right" vertical="top" wrapText="1"/>
    </xf>
    <xf numFmtId="4" fontId="38" fillId="0" borderId="32" xfId="0" applyNumberFormat="1" applyFont="1" applyBorder="1" applyAlignment="1">
      <alignment horizontal="right" vertical="top" wrapText="1"/>
    </xf>
    <xf numFmtId="4" fontId="38" fillId="0" borderId="33" xfId="0" applyNumberFormat="1" applyFont="1" applyBorder="1" applyAlignment="1">
      <alignment horizontal="right" vertical="top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8" fillId="0" borderId="0" xfId="0" applyFont="1" applyBorder="1" applyAlignment="1">
      <alignment vertical="top" wrapText="1"/>
    </xf>
    <xf numFmtId="3" fontId="38" fillId="0" borderId="0" xfId="0" applyNumberFormat="1" applyFont="1" applyBorder="1" applyAlignment="1">
      <alignment horizontal="right" vertical="top" wrapText="1"/>
    </xf>
    <xf numFmtId="3" fontId="37" fillId="0" borderId="0" xfId="0" applyNumberFormat="1" applyFont="1" applyBorder="1" applyAlignment="1">
      <alignment horizontal="right" vertical="top" wrapText="1"/>
    </xf>
    <xf numFmtId="0" fontId="38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24" fillId="0" borderId="42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3" fontId="24" fillId="0" borderId="43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24" fillId="0" borderId="44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3" fontId="25" fillId="0" borderId="16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26" fillId="0" borderId="14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3" fontId="25" fillId="0" borderId="0" xfId="0" applyNumberFormat="1" applyFont="1" applyBorder="1" applyAlignment="1">
      <alignment wrapText="1"/>
    </xf>
    <xf numFmtId="3" fontId="25" fillId="0" borderId="19" xfId="0" applyNumberFormat="1" applyFont="1" applyBorder="1" applyAlignment="1">
      <alignment wrapText="1"/>
    </xf>
    <xf numFmtId="0" fontId="24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24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20" xfId="0" applyFont="1" applyBorder="1" applyAlignment="1">
      <alignment/>
    </xf>
    <xf numFmtId="3" fontId="38" fillId="0" borderId="31" xfId="0" applyNumberFormat="1" applyFont="1" applyBorder="1" applyAlignment="1">
      <alignment vertical="top" wrapText="1"/>
    </xf>
    <xf numFmtId="3" fontId="38" fillId="0" borderId="30" xfId="0" applyNumberFormat="1" applyFont="1" applyBorder="1" applyAlignment="1">
      <alignment vertical="top" wrapText="1"/>
    </xf>
    <xf numFmtId="3" fontId="0" fillId="0" borderId="16" xfId="0" applyNumberFormat="1" applyBorder="1" applyAlignment="1">
      <alignment/>
    </xf>
    <xf numFmtId="1" fontId="8" fillId="0" borderId="0" xfId="0" applyNumberFormat="1" applyFont="1" applyFill="1" applyAlignment="1">
      <alignment/>
    </xf>
    <xf numFmtId="3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4" fontId="24" fillId="0" borderId="12" xfId="0" applyNumberFormat="1" applyFont="1" applyBorder="1" applyAlignment="1">
      <alignment/>
    </xf>
    <xf numFmtId="0" fontId="0" fillId="0" borderId="0" xfId="0" applyFont="1" applyFill="1" applyAlignment="1">
      <alignment wrapText="1"/>
    </xf>
    <xf numFmtId="0" fontId="0" fillId="0" borderId="21" xfId="0" applyFont="1" applyFill="1" applyBorder="1" applyAlignment="1">
      <alignment/>
    </xf>
    <xf numFmtId="0" fontId="43" fillId="0" borderId="0" xfId="58" applyFont="1" applyFill="1" applyAlignment="1" applyProtection="1">
      <alignment horizontal="center" vertical="center" wrapText="1"/>
      <protection/>
    </xf>
    <xf numFmtId="0" fontId="44" fillId="0" borderId="0" xfId="58" applyFill="1" applyProtection="1">
      <alignment/>
      <protection/>
    </xf>
    <xf numFmtId="0" fontId="44" fillId="0" borderId="0" xfId="58" applyFill="1" applyProtection="1">
      <alignment/>
      <protection locked="0"/>
    </xf>
    <xf numFmtId="0" fontId="45" fillId="0" borderId="0" xfId="57" applyFont="1" applyFill="1" applyAlignment="1">
      <alignment horizontal="right"/>
      <protection/>
    </xf>
    <xf numFmtId="0" fontId="47" fillId="0" borderId="45" xfId="58" applyFont="1" applyFill="1" applyBorder="1" applyAlignment="1" applyProtection="1">
      <alignment horizontal="center" vertical="center" wrapText="1"/>
      <protection/>
    </xf>
    <xf numFmtId="0" fontId="47" fillId="0" borderId="46" xfId="58" applyFont="1" applyFill="1" applyBorder="1" applyAlignment="1" applyProtection="1">
      <alignment horizontal="center" vertical="center"/>
      <protection/>
    </xf>
    <xf numFmtId="0" fontId="47" fillId="0" borderId="47" xfId="58" applyFont="1" applyFill="1" applyBorder="1" applyAlignment="1" applyProtection="1">
      <alignment horizontal="center" vertical="center"/>
      <protection/>
    </xf>
    <xf numFmtId="0" fontId="48" fillId="0" borderId="48" xfId="58" applyFont="1" applyFill="1" applyBorder="1" applyAlignment="1" applyProtection="1">
      <alignment horizontal="left" vertical="center" indent="1"/>
      <protection/>
    </xf>
    <xf numFmtId="0" fontId="49" fillId="0" borderId="49" xfId="58" applyFont="1" applyFill="1" applyBorder="1" applyAlignment="1" applyProtection="1">
      <alignment horizontal="left" vertical="center" indent="1"/>
      <protection/>
    </xf>
    <xf numFmtId="0" fontId="49" fillId="0" borderId="20" xfId="58" applyFont="1" applyFill="1" applyBorder="1" applyAlignment="1" applyProtection="1">
      <alignment horizontal="left" vertical="center" indent="1"/>
      <protection/>
    </xf>
    <xf numFmtId="0" fontId="48" fillId="0" borderId="50" xfId="58" applyFont="1" applyFill="1" applyBorder="1" applyAlignment="1" applyProtection="1">
      <alignment horizontal="left" vertical="center" indent="1"/>
      <protection/>
    </xf>
    <xf numFmtId="0" fontId="48" fillId="0" borderId="51" xfId="58" applyFont="1" applyFill="1" applyBorder="1" applyAlignment="1" applyProtection="1">
      <alignment horizontal="left" vertical="center" indent="1"/>
      <protection/>
    </xf>
    <xf numFmtId="3" fontId="48" fillId="0" borderId="51" xfId="58" applyNumberFormat="1" applyFont="1" applyFill="1" applyBorder="1" applyAlignment="1" applyProtection="1">
      <alignment vertical="center"/>
      <protection locked="0"/>
    </xf>
    <xf numFmtId="3" fontId="48" fillId="0" borderId="52" xfId="58" applyNumberFormat="1" applyFont="1" applyFill="1" applyBorder="1" applyAlignment="1" applyProtection="1">
      <alignment vertical="center"/>
      <protection/>
    </xf>
    <xf numFmtId="0" fontId="48" fillId="0" borderId="53" xfId="58" applyFont="1" applyFill="1" applyBorder="1" applyAlignment="1" applyProtection="1">
      <alignment horizontal="left" vertical="center" indent="1"/>
      <protection/>
    </xf>
    <xf numFmtId="0" fontId="48" fillId="0" borderId="33" xfId="58" applyFont="1" applyFill="1" applyBorder="1" applyAlignment="1" applyProtection="1">
      <alignment horizontal="left" vertical="center" indent="1"/>
      <protection/>
    </xf>
    <xf numFmtId="3" fontId="48" fillId="0" borderId="33" xfId="58" applyNumberFormat="1" applyFont="1" applyFill="1" applyBorder="1" applyAlignment="1" applyProtection="1">
      <alignment vertical="center"/>
      <protection locked="0"/>
    </xf>
    <xf numFmtId="3" fontId="48" fillId="0" borderId="54" xfId="58" applyNumberFormat="1" applyFont="1" applyFill="1" applyBorder="1" applyAlignment="1" applyProtection="1">
      <alignment vertical="center"/>
      <protection/>
    </xf>
    <xf numFmtId="0" fontId="48" fillId="0" borderId="28" xfId="58" applyFont="1" applyFill="1" applyBorder="1" applyAlignment="1" applyProtection="1">
      <alignment horizontal="left" vertical="center" wrapText="1" indent="1"/>
      <protection/>
    </xf>
    <xf numFmtId="3" fontId="48" fillId="0" borderId="28" xfId="58" applyNumberFormat="1" applyFont="1" applyFill="1" applyBorder="1" applyAlignment="1" applyProtection="1">
      <alignment vertical="center"/>
      <protection locked="0"/>
    </xf>
    <xf numFmtId="0" fontId="48" fillId="0" borderId="33" xfId="58" applyFont="1" applyFill="1" applyBorder="1" applyAlignment="1" applyProtection="1">
      <alignment horizontal="left" vertical="center" wrapText="1" indent="1"/>
      <protection/>
    </xf>
    <xf numFmtId="3" fontId="48" fillId="0" borderId="55" xfId="58" applyNumberFormat="1" applyFont="1" applyFill="1" applyBorder="1" applyAlignment="1" applyProtection="1">
      <alignment vertical="center"/>
      <protection/>
    </xf>
    <xf numFmtId="0" fontId="47" fillId="0" borderId="41" xfId="58" applyFont="1" applyFill="1" applyBorder="1" applyAlignment="1" applyProtection="1">
      <alignment horizontal="left" vertical="center" indent="1"/>
      <protection/>
    </xf>
    <xf numFmtId="3" fontId="50" fillId="0" borderId="41" xfId="58" applyNumberFormat="1" applyFont="1" applyFill="1" applyBorder="1" applyAlignment="1" applyProtection="1">
      <alignment vertical="center"/>
      <protection/>
    </xf>
    <xf numFmtId="0" fontId="49" fillId="0" borderId="44" xfId="58" applyFont="1" applyFill="1" applyBorder="1" applyAlignment="1" applyProtection="1">
      <alignment horizontal="left" vertical="center" indent="1"/>
      <protection/>
    </xf>
    <xf numFmtId="0" fontId="48" fillId="0" borderId="56" xfId="58" applyFont="1" applyFill="1" applyBorder="1" applyAlignment="1" applyProtection="1">
      <alignment horizontal="left" vertical="center" indent="1"/>
      <protection/>
    </xf>
    <xf numFmtId="0" fontId="48" fillId="0" borderId="28" xfId="58" applyFont="1" applyFill="1" applyBorder="1" applyAlignment="1" applyProtection="1">
      <alignment horizontal="left" vertical="center" indent="1"/>
      <protection/>
    </xf>
    <xf numFmtId="3" fontId="48" fillId="0" borderId="57" xfId="58" applyNumberFormat="1" applyFont="1" applyFill="1" applyBorder="1" applyAlignment="1" applyProtection="1">
      <alignment vertical="center"/>
      <protection/>
    </xf>
    <xf numFmtId="0" fontId="50" fillId="0" borderId="48" xfId="58" applyFont="1" applyFill="1" applyBorder="1" applyAlignment="1" applyProtection="1">
      <alignment horizontal="left" vertical="center" indent="1"/>
      <protection/>
    </xf>
    <xf numFmtId="3" fontId="50" fillId="0" borderId="58" xfId="58" applyNumberFormat="1" applyFont="1" applyFill="1" applyBorder="1" applyAlignment="1" applyProtection="1">
      <alignment vertical="center"/>
      <protection/>
    </xf>
    <xf numFmtId="0" fontId="47" fillId="0" borderId="41" xfId="58" applyFont="1" applyFill="1" applyBorder="1" applyAlignment="1" applyProtection="1">
      <alignment horizontal="left" indent="1"/>
      <protection/>
    </xf>
    <xf numFmtId="3" fontId="50" fillId="0" borderId="41" xfId="58" applyNumberFormat="1" applyFont="1" applyFill="1" applyBorder="1" applyProtection="1">
      <alignment/>
      <protection/>
    </xf>
    <xf numFmtId="0" fontId="46" fillId="0" borderId="0" xfId="58" applyFont="1" applyFill="1" applyProtection="1">
      <alignment/>
      <protection/>
    </xf>
    <xf numFmtId="0" fontId="24" fillId="0" borderId="0" xfId="58" applyFont="1" applyFill="1" applyProtection="1">
      <alignment/>
      <protection locked="0"/>
    </xf>
    <xf numFmtId="0" fontId="43" fillId="0" borderId="0" xfId="58" applyFont="1" applyFill="1" applyProtection="1">
      <alignment/>
      <protection locked="0"/>
    </xf>
    <xf numFmtId="3" fontId="43" fillId="0" borderId="0" xfId="58" applyNumberFormat="1" applyFont="1" applyFill="1" applyProtection="1">
      <alignment/>
      <protection locked="0"/>
    </xf>
    <xf numFmtId="3" fontId="0" fillId="0" borderId="0" xfId="0" applyNumberFormat="1" applyBorder="1" applyAlignment="1">
      <alignment/>
    </xf>
    <xf numFmtId="3" fontId="13" fillId="0" borderId="0" xfId="0" applyNumberFormat="1" applyFont="1" applyAlignment="1">
      <alignment/>
    </xf>
    <xf numFmtId="0" fontId="43" fillId="0" borderId="0" xfId="58" applyFont="1" applyFill="1" applyBorder="1" applyAlignment="1" applyProtection="1">
      <alignment horizontal="center" wrapText="1"/>
      <protection locked="0"/>
    </xf>
    <xf numFmtId="168" fontId="48" fillId="0" borderId="51" xfId="58" applyNumberFormat="1" applyFont="1" applyFill="1" applyBorder="1" applyAlignment="1" applyProtection="1">
      <alignment vertical="center"/>
      <protection locked="0"/>
    </xf>
    <xf numFmtId="168" fontId="48" fillId="0" borderId="51" xfId="58" applyNumberFormat="1" applyFont="1" applyFill="1" applyBorder="1" applyAlignment="1" applyProtection="1">
      <alignment vertical="center"/>
      <protection/>
    </xf>
    <xf numFmtId="168" fontId="48" fillId="0" borderId="59" xfId="58" applyNumberFormat="1" applyFont="1" applyFill="1" applyBorder="1" applyAlignment="1" applyProtection="1" quotePrefix="1">
      <alignment horizontal="center" vertical="center"/>
      <protection/>
    </xf>
    <xf numFmtId="168" fontId="48" fillId="0" borderId="33" xfId="58" applyNumberFormat="1" applyFont="1" applyFill="1" applyBorder="1" applyAlignment="1" applyProtection="1">
      <alignment vertical="center"/>
      <protection locked="0"/>
    </xf>
    <xf numFmtId="168" fontId="48" fillId="0" borderId="54" xfId="58" applyNumberFormat="1" applyFont="1" applyFill="1" applyBorder="1" applyAlignment="1" applyProtection="1">
      <alignment vertical="center"/>
      <protection/>
    </xf>
    <xf numFmtId="168" fontId="48" fillId="0" borderId="28" xfId="58" applyNumberFormat="1" applyFont="1" applyFill="1" applyBorder="1" applyAlignment="1" applyProtection="1">
      <alignment vertical="center"/>
      <protection locked="0"/>
    </xf>
    <xf numFmtId="168" fontId="48" fillId="0" borderId="57" xfId="58" applyNumberFormat="1" applyFont="1" applyFill="1" applyBorder="1" applyAlignment="1" applyProtection="1">
      <alignment vertical="center"/>
      <protection/>
    </xf>
    <xf numFmtId="168" fontId="50" fillId="0" borderId="41" xfId="58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Border="1" applyAlignment="1">
      <alignment/>
    </xf>
    <xf numFmtId="168" fontId="50" fillId="0" borderId="58" xfId="58" applyNumberFormat="1" applyFont="1" applyFill="1" applyBorder="1" applyAlignment="1" applyProtection="1">
      <alignment vertical="center"/>
      <protection/>
    </xf>
    <xf numFmtId="168" fontId="50" fillId="0" borderId="41" xfId="58" applyNumberFormat="1" applyFont="1" applyFill="1" applyBorder="1" applyProtection="1">
      <alignment/>
      <protection/>
    </xf>
    <xf numFmtId="168" fontId="50" fillId="0" borderId="58" xfId="58" applyNumberFormat="1" applyFont="1" applyFill="1" applyBorder="1" applyAlignment="1" applyProtection="1" quotePrefix="1">
      <alignment horizontal="center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9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wrapText="1"/>
    </xf>
    <xf numFmtId="0" fontId="39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9" fillId="0" borderId="19" xfId="0" applyNumberFormat="1" applyFont="1" applyFill="1" applyBorder="1" applyAlignment="1">
      <alignment/>
    </xf>
    <xf numFmtId="0" fontId="40" fillId="0" borderId="19" xfId="0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9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0" fontId="41" fillId="0" borderId="16" xfId="0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39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21" xfId="0" applyFont="1" applyFill="1" applyBorder="1" applyAlignment="1">
      <alignment wrapText="1"/>
    </xf>
    <xf numFmtId="0" fontId="39" fillId="0" borderId="20" xfId="0" applyFont="1" applyFill="1" applyBorder="1" applyAlignment="1">
      <alignment horizontal="center" wrapText="1"/>
    </xf>
    <xf numFmtId="0" fontId="40" fillId="0" borderId="20" xfId="0" applyFont="1" applyFill="1" applyBorder="1" applyAlignment="1">
      <alignment/>
    </xf>
    <xf numFmtId="0" fontId="4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0" borderId="21" xfId="0" applyFont="1" applyFill="1" applyBorder="1" applyAlignment="1">
      <alignment/>
    </xf>
    <xf numFmtId="3" fontId="39" fillId="0" borderId="20" xfId="0" applyNumberFormat="1" applyFont="1" applyFill="1" applyBorder="1" applyAlignment="1">
      <alignment/>
    </xf>
    <xf numFmtId="0" fontId="40" fillId="0" borderId="44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3" fontId="39" fillId="0" borderId="18" xfId="0" applyNumberFormat="1" applyFont="1" applyFill="1" applyBorder="1" applyAlignment="1">
      <alignment/>
    </xf>
    <xf numFmtId="3" fontId="39" fillId="0" borderId="43" xfId="0" applyNumberFormat="1" applyFont="1" applyFill="1" applyBorder="1" applyAlignment="1">
      <alignment/>
    </xf>
    <xf numFmtId="3" fontId="39" fillId="0" borderId="44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40" fillId="0" borderId="19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39" fillId="0" borderId="17" xfId="0" applyFont="1" applyFill="1" applyBorder="1" applyAlignment="1">
      <alignment horizontal="center" wrapText="1"/>
    </xf>
    <xf numFmtId="0" fontId="40" fillId="0" borderId="17" xfId="0" applyFont="1" applyFill="1" applyBorder="1" applyAlignment="1">
      <alignment/>
    </xf>
    <xf numFmtId="0" fontId="40" fillId="0" borderId="17" xfId="0" applyFont="1" applyFill="1" applyBorder="1" applyAlignment="1">
      <alignment wrapText="1"/>
    </xf>
    <xf numFmtId="0" fontId="40" fillId="0" borderId="12" xfId="0" applyFont="1" applyFill="1" applyBorder="1" applyAlignment="1">
      <alignment wrapText="1"/>
    </xf>
    <xf numFmtId="0" fontId="39" fillId="0" borderId="12" xfId="0" applyFont="1" applyFill="1" applyBorder="1" applyAlignment="1">
      <alignment wrapText="1"/>
    </xf>
    <xf numFmtId="0" fontId="10" fillId="0" borderId="19" xfId="0" applyFont="1" applyFill="1" applyBorder="1" applyAlignment="1">
      <alignment/>
    </xf>
    <xf numFmtId="164" fontId="39" fillId="0" borderId="0" xfId="0" applyNumberFormat="1" applyFont="1" applyFill="1" applyBorder="1" applyAlignment="1">
      <alignment/>
    </xf>
    <xf numFmtId="164" fontId="39" fillId="0" borderId="19" xfId="0" applyNumberFormat="1" applyFont="1" applyFill="1" applyBorder="1" applyAlignment="1">
      <alignment/>
    </xf>
    <xf numFmtId="0" fontId="39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10" fillId="0" borderId="42" xfId="0" applyFont="1" applyFill="1" applyBorder="1" applyAlignment="1">
      <alignment/>
    </xf>
    <xf numFmtId="164" fontId="39" fillId="0" borderId="18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164" fontId="10" fillId="0" borderId="16" xfId="0" applyNumberFormat="1" applyFont="1" applyFill="1" applyBorder="1" applyAlignment="1">
      <alignment/>
    </xf>
    <xf numFmtId="164" fontId="39" fillId="0" borderId="16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4" fontId="10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34" fillId="0" borderId="60" xfId="0" applyNumberFormat="1" applyFont="1" applyFill="1" applyBorder="1" applyAlignment="1">
      <alignment/>
    </xf>
    <xf numFmtId="3" fontId="31" fillId="0" borderId="6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 wrapText="1"/>
    </xf>
    <xf numFmtId="0" fontId="25" fillId="0" borderId="0" xfId="56" applyFont="1" applyFill="1">
      <alignment/>
      <protection/>
    </xf>
    <xf numFmtId="168" fontId="24" fillId="0" borderId="0" xfId="56" applyNumberFormat="1" applyFont="1" applyFill="1" applyBorder="1" applyAlignment="1" applyProtection="1">
      <alignment horizontal="centerContinuous" vertical="center"/>
      <protection/>
    </xf>
    <xf numFmtId="0" fontId="52" fillId="0" borderId="0" xfId="0" applyFont="1" applyFill="1" applyBorder="1" applyAlignment="1" applyProtection="1">
      <alignment horizontal="right"/>
      <protection/>
    </xf>
    <xf numFmtId="0" fontId="53" fillId="0" borderId="0" xfId="0" applyFont="1" applyFill="1" applyBorder="1" applyAlignment="1" applyProtection="1">
      <alignment/>
      <protection/>
    </xf>
    <xf numFmtId="0" fontId="43" fillId="0" borderId="61" xfId="56" applyFont="1" applyFill="1" applyBorder="1" applyAlignment="1" applyProtection="1">
      <alignment horizontal="center" vertical="center" wrapText="1"/>
      <protection/>
    </xf>
    <xf numFmtId="0" fontId="43" fillId="0" borderId="62" xfId="56" applyFont="1" applyFill="1" applyBorder="1" applyAlignment="1" applyProtection="1">
      <alignment horizontal="center" vertical="center" wrapText="1"/>
      <protection/>
    </xf>
    <xf numFmtId="0" fontId="43" fillId="0" borderId="52" xfId="56" applyFont="1" applyFill="1" applyBorder="1" applyAlignment="1" applyProtection="1">
      <alignment horizontal="center" vertical="center" wrapText="1"/>
      <protection/>
    </xf>
    <xf numFmtId="0" fontId="44" fillId="0" borderId="48" xfId="56" applyFont="1" applyFill="1" applyBorder="1" applyAlignment="1" applyProtection="1">
      <alignment horizontal="center" vertical="center"/>
      <protection/>
    </xf>
    <xf numFmtId="0" fontId="44" fillId="0" borderId="41" xfId="56" applyFont="1" applyFill="1" applyBorder="1" applyAlignment="1" applyProtection="1">
      <alignment horizontal="center" vertical="center"/>
      <protection/>
    </xf>
    <xf numFmtId="0" fontId="44" fillId="0" borderId="58" xfId="56" applyFont="1" applyFill="1" applyBorder="1" applyAlignment="1" applyProtection="1">
      <alignment horizontal="center" vertical="center"/>
      <protection/>
    </xf>
    <xf numFmtId="0" fontId="44" fillId="0" borderId="62" xfId="56" applyFont="1" applyFill="1" applyBorder="1" applyProtection="1">
      <alignment/>
      <protection/>
    </xf>
    <xf numFmtId="3" fontId="17" fillId="0" borderId="52" xfId="0" applyNumberFormat="1" applyFont="1" applyBorder="1" applyAlignment="1">
      <alignment horizontal="right" vertical="center" wrapText="1"/>
    </xf>
    <xf numFmtId="0" fontId="44" fillId="0" borderId="33" xfId="56" applyFont="1" applyFill="1" applyBorder="1" applyProtection="1">
      <alignment/>
      <protection/>
    </xf>
    <xf numFmtId="3" fontId="17" fillId="0" borderId="54" xfId="0" applyNumberFormat="1" applyFont="1" applyBorder="1" applyAlignment="1">
      <alignment horizontal="right" vertical="center" wrapText="1"/>
    </xf>
    <xf numFmtId="0" fontId="44" fillId="0" borderId="33" xfId="56" applyFont="1" applyFill="1" applyBorder="1" applyAlignment="1" applyProtection="1">
      <alignment wrapText="1"/>
      <protection/>
    </xf>
    <xf numFmtId="0" fontId="44" fillId="0" borderId="38" xfId="56" applyFont="1" applyFill="1" applyBorder="1" applyProtection="1">
      <alignment/>
      <protection/>
    </xf>
    <xf numFmtId="3" fontId="20" fillId="0" borderId="58" xfId="0" applyNumberFormat="1" applyFont="1" applyBorder="1" applyAlignment="1">
      <alignment horizontal="right" vertical="center" wrapText="1"/>
    </xf>
    <xf numFmtId="3" fontId="44" fillId="0" borderId="0" xfId="58" applyNumberFormat="1" applyFill="1" applyProtection="1">
      <alignment/>
      <protection/>
    </xf>
    <xf numFmtId="0" fontId="43" fillId="0" borderId="0" xfId="58" applyFont="1" applyFill="1" applyAlignment="1" applyProtection="1">
      <alignment horizontal="center" wrapText="1"/>
      <protection/>
    </xf>
    <xf numFmtId="0" fontId="43" fillId="0" borderId="0" xfId="58" applyFont="1" applyFill="1" applyAlignment="1" applyProtection="1">
      <alignment horizontal="center"/>
      <protection/>
    </xf>
    <xf numFmtId="0" fontId="43" fillId="0" borderId="43" xfId="56" applyFont="1" applyFill="1" applyBorder="1" applyAlignment="1" applyProtection="1">
      <alignment/>
      <protection/>
    </xf>
    <xf numFmtId="3" fontId="17" fillId="0" borderId="63" xfId="0" applyNumberFormat="1" applyFont="1" applyBorder="1" applyAlignment="1">
      <alignment horizontal="right" vertical="center" wrapText="1"/>
    </xf>
    <xf numFmtId="0" fontId="21" fillId="0" borderId="61" xfId="56" applyFont="1" applyFill="1" applyBorder="1" applyAlignment="1" applyProtection="1">
      <alignment horizontal="right" vertical="center"/>
      <protection/>
    </xf>
    <xf numFmtId="0" fontId="21" fillId="0" borderId="53" xfId="56" applyFont="1" applyFill="1" applyBorder="1" applyAlignment="1" applyProtection="1">
      <alignment horizontal="right" vertical="center"/>
      <protection/>
    </xf>
    <xf numFmtId="0" fontId="21" fillId="0" borderId="64" xfId="56" applyFont="1" applyFill="1" applyBorder="1" applyAlignment="1" applyProtection="1">
      <alignment horizontal="right" vertical="center"/>
      <protection/>
    </xf>
    <xf numFmtId="0" fontId="54" fillId="0" borderId="43" xfId="56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44" fillId="0" borderId="0" xfId="58" applyFont="1" applyFill="1" applyProtection="1">
      <alignment/>
      <protection/>
    </xf>
    <xf numFmtId="0" fontId="44" fillId="0" borderId="0" xfId="58" applyFont="1" applyFill="1" applyProtection="1">
      <alignment/>
      <protection locked="0"/>
    </xf>
    <xf numFmtId="0" fontId="44" fillId="0" borderId="0" xfId="58" applyFont="1" applyFill="1" applyAlignment="1" applyProtection="1">
      <alignment horizontal="right"/>
      <protection/>
    </xf>
    <xf numFmtId="0" fontId="44" fillId="0" borderId="0" xfId="58" applyFont="1" applyFill="1" applyAlignment="1" applyProtection="1">
      <alignment horizontal="right"/>
      <protection locked="0"/>
    </xf>
    <xf numFmtId="3" fontId="2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/>
    </xf>
    <xf numFmtId="3" fontId="24" fillId="0" borderId="21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3" fontId="11" fillId="0" borderId="65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11" fillId="0" borderId="66" xfId="0" applyFont="1" applyFill="1" applyBorder="1" applyAlignment="1">
      <alignment/>
    </xf>
    <xf numFmtId="0" fontId="11" fillId="0" borderId="66" xfId="0" applyFont="1" applyFill="1" applyBorder="1" applyAlignment="1">
      <alignment/>
    </xf>
    <xf numFmtId="3" fontId="9" fillId="0" borderId="67" xfId="0" applyNumberFormat="1" applyFont="1" applyFill="1" applyBorder="1" applyAlignment="1">
      <alignment/>
    </xf>
    <xf numFmtId="4" fontId="0" fillId="0" borderId="0" xfId="0" applyAlignment="1">
      <alignment/>
    </xf>
    <xf numFmtId="3" fontId="0" fillId="0" borderId="0" xfId="0" applyAlignment="1">
      <alignment/>
    </xf>
    <xf numFmtId="176" fontId="0" fillId="0" borderId="0" xfId="0" applyAlignment="1">
      <alignment/>
    </xf>
    <xf numFmtId="3" fontId="3" fillId="0" borderId="68" xfId="0" applyNumberFormat="1" applyFont="1" applyFill="1" applyBorder="1" applyAlignment="1">
      <alignment horizontal="right"/>
    </xf>
    <xf numFmtId="3" fontId="11" fillId="0" borderId="67" xfId="0" applyNumberFormat="1" applyFont="1" applyFill="1" applyBorder="1" applyAlignment="1">
      <alignment/>
    </xf>
    <xf numFmtId="3" fontId="3" fillId="0" borderId="69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 horizontal="right"/>
    </xf>
    <xf numFmtId="3" fontId="11" fillId="0" borderId="70" xfId="0" applyNumberFormat="1" applyFont="1" applyFill="1" applyBorder="1" applyAlignment="1">
      <alignment/>
    </xf>
    <xf numFmtId="3" fontId="11" fillId="0" borderId="66" xfId="0" applyNumberFormat="1" applyFont="1" applyFill="1" applyBorder="1" applyAlignment="1">
      <alignment/>
    </xf>
    <xf numFmtId="3" fontId="9" fillId="0" borderId="71" xfId="0" applyNumberFormat="1" applyFont="1" applyFill="1" applyBorder="1" applyAlignment="1">
      <alignment/>
    </xf>
    <xf numFmtId="3" fontId="12" fillId="0" borderId="72" xfId="0" applyNumberFormat="1" applyFont="1" applyFill="1" applyBorder="1" applyAlignment="1">
      <alignment/>
    </xf>
    <xf numFmtId="3" fontId="12" fillId="0" borderId="73" xfId="0" applyNumberFormat="1" applyFont="1" applyFill="1" applyBorder="1" applyAlignment="1">
      <alignment/>
    </xf>
    <xf numFmtId="3" fontId="12" fillId="0" borderId="68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/>
    </xf>
    <xf numFmtId="3" fontId="12" fillId="0" borderId="67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7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1" fillId="0" borderId="75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3" fontId="12" fillId="0" borderId="7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74" fillId="0" borderId="0" xfId="0" applyNumberFormat="1" applyFont="1" applyAlignment="1">
      <alignment/>
    </xf>
    <xf numFmtId="3" fontId="75" fillId="0" borderId="0" xfId="0" applyNumberFormat="1" applyFont="1" applyAlignment="1">
      <alignment/>
    </xf>
    <xf numFmtId="3" fontId="0" fillId="0" borderId="31" xfId="0" applyNumberFormat="1" applyBorder="1" applyAlignment="1">
      <alignment/>
    </xf>
    <xf numFmtId="3" fontId="30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27" fillId="0" borderId="24" xfId="0" applyNumberFormat="1" applyFont="1" applyFill="1" applyBorder="1" applyAlignment="1">
      <alignment/>
    </xf>
    <xf numFmtId="3" fontId="27" fillId="0" borderId="6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1" fontId="16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0" fontId="76" fillId="0" borderId="0" xfId="0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39" fillId="0" borderId="43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9" fillId="0" borderId="0" xfId="0" applyFont="1" applyFill="1" applyAlignment="1">
      <alignment wrapText="1"/>
    </xf>
    <xf numFmtId="0" fontId="16" fillId="0" borderId="0" xfId="0" applyFont="1" applyFill="1" applyAlignment="1">
      <alignment horizontal="right" wrapText="1"/>
    </xf>
    <xf numFmtId="0" fontId="11" fillId="0" borderId="0" xfId="0" applyFont="1" applyAlignment="1">
      <alignment wrapText="1"/>
    </xf>
    <xf numFmtId="0" fontId="16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3" fillId="0" borderId="77" xfId="0" applyFont="1" applyFill="1" applyBorder="1" applyAlignment="1">
      <alignment/>
    </xf>
    <xf numFmtId="3" fontId="3" fillId="0" borderId="74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3" fontId="3" fillId="0" borderId="71" xfId="0" applyNumberFormat="1" applyFont="1" applyFill="1" applyBorder="1" applyAlignment="1">
      <alignment horizontal="center"/>
    </xf>
    <xf numFmtId="3" fontId="3" fillId="0" borderId="78" xfId="0" applyNumberFormat="1" applyFont="1" applyFill="1" applyBorder="1" applyAlignment="1">
      <alignment/>
    </xf>
    <xf numFmtId="3" fontId="3" fillId="0" borderId="79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2" fillId="0" borderId="75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8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2" fillId="0" borderId="72" xfId="0" applyNumberFormat="1" applyFont="1" applyFill="1" applyBorder="1" applyAlignment="1">
      <alignment/>
    </xf>
    <xf numFmtId="3" fontId="12" fillId="0" borderId="73" xfId="0" applyNumberFormat="1" applyFont="1" applyFill="1" applyBorder="1" applyAlignment="1">
      <alignment/>
    </xf>
    <xf numFmtId="3" fontId="12" fillId="0" borderId="68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/>
    </xf>
    <xf numFmtId="3" fontId="12" fillId="0" borderId="67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3" fontId="9" fillId="0" borderId="67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0" fontId="39" fillId="0" borderId="20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 wrapText="1"/>
    </xf>
    <xf numFmtId="0" fontId="39" fillId="0" borderId="18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39" fillId="0" borderId="17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left" wrapText="1"/>
    </xf>
    <xf numFmtId="164" fontId="10" fillId="0" borderId="0" xfId="0" applyNumberFormat="1" applyFont="1" applyFill="1" applyAlignment="1">
      <alignment horizontal="right"/>
    </xf>
    <xf numFmtId="164" fontId="1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left" wrapText="1"/>
    </xf>
    <xf numFmtId="164" fontId="0" fillId="0" borderId="16" xfId="0" applyNumberFormat="1" applyFont="1" applyFill="1" applyBorder="1" applyAlignment="1">
      <alignment wrapText="1"/>
    </xf>
    <xf numFmtId="164" fontId="0" fillId="0" borderId="18" xfId="0" applyNumberFormat="1" applyFont="1" applyFill="1" applyBorder="1" applyAlignment="1">
      <alignment horizontal="right"/>
    </xf>
    <xf numFmtId="164" fontId="39" fillId="0" borderId="21" xfId="0" applyNumberFormat="1" applyFont="1" applyFill="1" applyBorder="1" applyAlignment="1">
      <alignment/>
    </xf>
    <xf numFmtId="164" fontId="39" fillId="0" borderId="20" xfId="0" applyNumberFormat="1" applyFont="1" applyFill="1" applyBorder="1" applyAlignment="1">
      <alignment horizontal="right"/>
    </xf>
    <xf numFmtId="164" fontId="39" fillId="0" borderId="21" xfId="0" applyNumberFormat="1" applyFont="1" applyFill="1" applyBorder="1" applyAlignment="1">
      <alignment horizontal="right"/>
    </xf>
    <xf numFmtId="164" fontId="39" fillId="0" borderId="43" xfId="0" applyNumberFormat="1" applyFont="1" applyFill="1" applyBorder="1" applyAlignment="1">
      <alignment horizontal="right"/>
    </xf>
    <xf numFmtId="164" fontId="39" fillId="0" borderId="44" xfId="0" applyNumberFormat="1" applyFont="1" applyFill="1" applyBorder="1" applyAlignment="1">
      <alignment horizontal="right"/>
    </xf>
    <xf numFmtId="164" fontId="39" fillId="0" borderId="0" xfId="0" applyNumberFormat="1" applyFont="1" applyFill="1" applyAlignment="1">
      <alignment horizontal="right"/>
    </xf>
    <xf numFmtId="164" fontId="39" fillId="0" borderId="16" xfId="0" applyNumberFormat="1" applyFont="1" applyFill="1" applyBorder="1" applyAlignment="1">
      <alignment wrapText="1"/>
    </xf>
    <xf numFmtId="0" fontId="39" fillId="0" borderId="19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77" fillId="0" borderId="34" xfId="0" applyFont="1" applyFill="1" applyBorder="1" applyAlignment="1">
      <alignment horizontal="center"/>
    </xf>
    <xf numFmtId="0" fontId="77" fillId="0" borderId="31" xfId="0" applyFont="1" applyFill="1" applyBorder="1" applyAlignment="1">
      <alignment horizontal="center"/>
    </xf>
    <xf numFmtId="0" fontId="77" fillId="0" borderId="32" xfId="0" applyFont="1" applyFill="1" applyBorder="1" applyAlignment="1">
      <alignment horizontal="center"/>
    </xf>
    <xf numFmtId="14" fontId="77" fillId="0" borderId="0" xfId="0" applyNumberFormat="1" applyFont="1" applyFill="1" applyBorder="1" applyAlignment="1">
      <alignment horizontal="center"/>
    </xf>
    <xf numFmtId="0" fontId="30" fillId="0" borderId="33" xfId="0" applyFont="1" applyFill="1" applyBorder="1" applyAlignment="1">
      <alignment/>
    </xf>
    <xf numFmtId="0" fontId="78" fillId="0" borderId="81" xfId="0" applyFont="1" applyFill="1" applyBorder="1" applyAlignment="1">
      <alignment horizontal="center"/>
    </xf>
    <xf numFmtId="0" fontId="30" fillId="0" borderId="81" xfId="0" applyFont="1" applyFill="1" applyBorder="1" applyAlignment="1">
      <alignment/>
    </xf>
    <xf numFmtId="0" fontId="77" fillId="0" borderId="33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7" fillId="0" borderId="33" xfId="0" applyFont="1" applyFill="1" applyBorder="1" applyAlignment="1">
      <alignment horizontal="center"/>
    </xf>
    <xf numFmtId="0" fontId="41" fillId="0" borderId="33" xfId="0" applyFont="1" applyFill="1" applyBorder="1" applyAlignment="1">
      <alignment/>
    </xf>
    <xf numFmtId="1" fontId="13" fillId="0" borderId="33" xfId="0" applyNumberFormat="1" applyFont="1" applyFill="1" applyBorder="1" applyAlignment="1">
      <alignment/>
    </xf>
    <xf numFmtId="1" fontId="30" fillId="0" borderId="0" xfId="0" applyNumberFormat="1" applyFont="1" applyFill="1" applyBorder="1" applyAlignment="1">
      <alignment/>
    </xf>
    <xf numFmtId="1" fontId="41" fillId="0" borderId="33" xfId="0" applyNumberFormat="1" applyFont="1" applyFill="1" applyBorder="1" applyAlignment="1">
      <alignment/>
    </xf>
    <xf numFmtId="0" fontId="41" fillId="0" borderId="34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1" fontId="77" fillId="0" borderId="33" xfId="0" applyNumberFormat="1" applyFont="1" applyFill="1" applyBorder="1" applyAlignment="1">
      <alignment horizontal="center"/>
    </xf>
    <xf numFmtId="1" fontId="13" fillId="0" borderId="34" xfId="0" applyNumberFormat="1" applyFont="1" applyFill="1" applyBorder="1" applyAlignment="1">
      <alignment/>
    </xf>
    <xf numFmtId="1" fontId="77" fillId="0" borderId="0" xfId="0" applyNumberFormat="1" applyFont="1" applyFill="1" applyBorder="1" applyAlignment="1">
      <alignment/>
    </xf>
    <xf numFmtId="14" fontId="77" fillId="0" borderId="33" xfId="0" applyNumberFormat="1" applyFont="1" applyFill="1" applyBorder="1" applyAlignment="1">
      <alignment horizontal="center"/>
    </xf>
    <xf numFmtId="0" fontId="77" fillId="0" borderId="81" xfId="0" applyFont="1" applyFill="1" applyBorder="1" applyAlignment="1">
      <alignment/>
    </xf>
    <xf numFmtId="0" fontId="77" fillId="0" borderId="38" xfId="0" applyFont="1" applyFill="1" applyBorder="1" applyAlignment="1">
      <alignment/>
    </xf>
    <xf numFmtId="1" fontId="13" fillId="0" borderId="38" xfId="0" applyNumberFormat="1" applyFont="1" applyFill="1" applyBorder="1" applyAlignment="1">
      <alignment/>
    </xf>
    <xf numFmtId="1" fontId="41" fillId="0" borderId="0" xfId="0" applyNumberFormat="1" applyFont="1" applyFill="1" applyBorder="1" applyAlignment="1">
      <alignment/>
    </xf>
    <xf numFmtId="1" fontId="30" fillId="0" borderId="33" xfId="0" applyNumberFormat="1" applyFont="1" applyFill="1" applyBorder="1" applyAlignment="1">
      <alignment/>
    </xf>
    <xf numFmtId="0" fontId="77" fillId="0" borderId="33" xfId="0" applyFont="1" applyFill="1" applyBorder="1" applyAlignment="1">
      <alignment/>
    </xf>
    <xf numFmtId="1" fontId="77" fillId="0" borderId="33" xfId="0" applyNumberFormat="1" applyFont="1" applyFill="1" applyBorder="1" applyAlignment="1">
      <alignment/>
    </xf>
    <xf numFmtId="0" fontId="79" fillId="0" borderId="33" xfId="0" applyFont="1" applyFill="1" applyBorder="1" applyAlignment="1">
      <alignment wrapText="1"/>
    </xf>
    <xf numFmtId="0" fontId="30" fillId="0" borderId="33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80" fillId="0" borderId="0" xfId="0" applyFont="1" applyFill="1" applyAlignment="1">
      <alignment/>
    </xf>
    <xf numFmtId="1" fontId="8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" fontId="30" fillId="0" borderId="0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164" fontId="10" fillId="0" borderId="43" xfId="0" applyNumberFormat="1" applyFont="1" applyFill="1" applyBorder="1" applyAlignment="1">
      <alignment/>
    </xf>
    <xf numFmtId="164" fontId="10" fillId="0" borderId="20" xfId="0" applyNumberFormat="1" applyFont="1" applyFill="1" applyBorder="1" applyAlignment="1">
      <alignment/>
    </xf>
    <xf numFmtId="164" fontId="10" fillId="0" borderId="44" xfId="0" applyNumberFormat="1" applyFont="1" applyFill="1" applyBorder="1" applyAlignment="1">
      <alignment/>
    </xf>
    <xf numFmtId="3" fontId="0" fillId="0" borderId="33" xfId="0" applyNumberFormat="1" applyBorder="1" applyAlignment="1">
      <alignment/>
    </xf>
    <xf numFmtId="0" fontId="38" fillId="0" borderId="16" xfId="0" applyFont="1" applyBorder="1" applyAlignment="1">
      <alignment vertical="top" wrapText="1"/>
    </xf>
    <xf numFmtId="3" fontId="38" fillId="0" borderId="16" xfId="0" applyNumberFormat="1" applyFont="1" applyBorder="1" applyAlignment="1">
      <alignment horizontal="right" vertical="top" wrapText="1"/>
    </xf>
    <xf numFmtId="3" fontId="38" fillId="0" borderId="82" xfId="0" applyNumberFormat="1" applyFont="1" applyBorder="1" applyAlignment="1">
      <alignment horizontal="right" vertical="top" wrapText="1"/>
    </xf>
    <xf numFmtId="3" fontId="38" fillId="0" borderId="51" xfId="0" applyNumberFormat="1" applyFont="1" applyBorder="1" applyAlignment="1">
      <alignment horizontal="right" vertical="top" wrapText="1"/>
    </xf>
    <xf numFmtId="3" fontId="38" fillId="0" borderId="83" xfId="0" applyNumberFormat="1" applyFont="1" applyBorder="1" applyAlignment="1">
      <alignment horizontal="right" vertical="top" wrapText="1"/>
    </xf>
    <xf numFmtId="3" fontId="38" fillId="0" borderId="54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 horizontal="right"/>
    </xf>
    <xf numFmtId="168" fontId="81" fillId="0" borderId="54" xfId="58" applyNumberFormat="1" applyFont="1" applyFill="1" applyBorder="1" applyAlignment="1" applyProtection="1">
      <alignment vertical="center"/>
      <protection/>
    </xf>
    <xf numFmtId="0" fontId="24" fillId="0" borderId="73" xfId="0" applyFont="1" applyBorder="1" applyAlignment="1">
      <alignment horizontal="center"/>
    </xf>
    <xf numFmtId="4" fontId="24" fillId="0" borderId="17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wrapText="1"/>
    </xf>
    <xf numFmtId="3" fontId="24" fillId="0" borderId="20" xfId="0" applyNumberFormat="1" applyFont="1" applyBorder="1" applyAlignment="1">
      <alignment/>
    </xf>
    <xf numFmtId="3" fontId="25" fillId="0" borderId="75" xfId="0" applyNumberFormat="1" applyFont="1" applyBorder="1" applyAlignment="1">
      <alignment/>
    </xf>
    <xf numFmtId="3" fontId="25" fillId="0" borderId="80" xfId="0" applyNumberFormat="1" applyFont="1" applyBorder="1" applyAlignment="1">
      <alignment/>
    </xf>
    <xf numFmtId="3" fontId="24" fillId="0" borderId="74" xfId="0" applyNumberFormat="1" applyFont="1" applyBorder="1" applyAlignment="1">
      <alignment/>
    </xf>
    <xf numFmtId="3" fontId="24" fillId="0" borderId="71" xfId="0" applyNumberFormat="1" applyFont="1" applyBorder="1" applyAlignment="1">
      <alignment/>
    </xf>
    <xf numFmtId="3" fontId="24" fillId="0" borderId="0" xfId="0" applyNumberFormat="1" applyFont="1" applyBorder="1" applyAlignment="1">
      <alignment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84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9" fillId="0" borderId="85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12" fillId="0" borderId="68" xfId="0" applyFont="1" applyFill="1" applyBorder="1" applyAlignment="1">
      <alignment/>
    </xf>
    <xf numFmtId="0" fontId="12" fillId="0" borderId="67" xfId="0" applyFont="1" applyFill="1" applyBorder="1" applyAlignment="1">
      <alignment/>
    </xf>
    <xf numFmtId="0" fontId="12" fillId="0" borderId="67" xfId="0" applyFont="1" applyFill="1" applyBorder="1" applyAlignment="1">
      <alignment/>
    </xf>
    <xf numFmtId="0" fontId="12" fillId="0" borderId="67" xfId="0" applyFont="1" applyFill="1" applyBorder="1" applyAlignment="1">
      <alignment wrapText="1"/>
    </xf>
    <xf numFmtId="0" fontId="3" fillId="0" borderId="67" xfId="0" applyFont="1" applyFill="1" applyBorder="1" applyAlignment="1">
      <alignment wrapText="1"/>
    </xf>
    <xf numFmtId="0" fontId="3" fillId="0" borderId="67" xfId="0" applyFont="1" applyFill="1" applyBorder="1" applyAlignment="1">
      <alignment/>
    </xf>
    <xf numFmtId="0" fontId="3" fillId="0" borderId="79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37" fillId="0" borderId="86" xfId="0" applyFont="1" applyBorder="1" applyAlignment="1">
      <alignment horizontal="center" vertical="top" wrapText="1"/>
    </xf>
    <xf numFmtId="3" fontId="74" fillId="0" borderId="0" xfId="0" applyNumberFormat="1" applyFont="1" applyAlignment="1">
      <alignment/>
    </xf>
    <xf numFmtId="0" fontId="37" fillId="0" borderId="17" xfId="0" applyFont="1" applyBorder="1" applyAlignment="1">
      <alignment horizontal="center" vertical="top" wrapText="1"/>
    </xf>
    <xf numFmtId="0" fontId="18" fillId="0" borderId="87" xfId="0" applyFont="1" applyBorder="1" applyAlignment="1">
      <alignment horizontal="center"/>
    </xf>
    <xf numFmtId="0" fontId="37" fillId="0" borderId="37" xfId="0" applyFont="1" applyBorder="1" applyAlignment="1">
      <alignment horizontal="center" vertical="top" wrapText="1"/>
    </xf>
    <xf numFmtId="0" fontId="37" fillId="0" borderId="88" xfId="0" applyFont="1" applyBorder="1" applyAlignment="1">
      <alignment horizontal="center" vertical="top" wrapText="1"/>
    </xf>
    <xf numFmtId="0" fontId="37" fillId="0" borderId="38" xfId="0" applyFont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89" xfId="0" applyNumberFormat="1" applyFont="1" applyFill="1" applyBorder="1" applyAlignment="1">
      <alignment horizontal="center"/>
    </xf>
    <xf numFmtId="3" fontId="3" fillId="0" borderId="90" xfId="0" applyNumberFormat="1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3" fontId="3" fillId="0" borderId="77" xfId="0" applyNumberFormat="1" applyFont="1" applyFill="1" applyBorder="1" applyAlignment="1">
      <alignment horizontal="center"/>
    </xf>
    <xf numFmtId="3" fontId="3" fillId="0" borderId="91" xfId="0" applyNumberFormat="1" applyFont="1" applyFill="1" applyBorder="1" applyAlignment="1">
      <alignment horizontal="center"/>
    </xf>
    <xf numFmtId="3" fontId="3" fillId="0" borderId="9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39" xfId="0" applyFont="1" applyBorder="1" applyAlignment="1">
      <alignment horizontal="center" vertical="top" wrapText="1"/>
    </xf>
    <xf numFmtId="0" fontId="10" fillId="0" borderId="93" xfId="0" applyFont="1" applyBorder="1" applyAlignment="1">
      <alignment/>
    </xf>
    <xf numFmtId="0" fontId="39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4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39" fillId="0" borderId="43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9" fillId="0" borderId="44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168" fontId="51" fillId="0" borderId="0" xfId="56" applyNumberFormat="1" applyFont="1" applyFill="1" applyBorder="1" applyAlignment="1" applyProtection="1">
      <alignment horizontal="center" vertical="center" wrapText="1"/>
      <protection/>
    </xf>
    <xf numFmtId="0" fontId="48" fillId="0" borderId="15" xfId="56" applyFont="1" applyFill="1" applyBorder="1" applyAlignment="1">
      <alignment horizontal="justify" vertical="center" wrapText="1"/>
      <protection/>
    </xf>
    <xf numFmtId="0" fontId="43" fillId="0" borderId="0" xfId="58" applyFont="1" applyFill="1" applyBorder="1" applyAlignment="1" applyProtection="1">
      <alignment horizontal="center" wrapText="1"/>
      <protection locked="0"/>
    </xf>
    <xf numFmtId="0" fontId="43" fillId="0" borderId="17" xfId="58" applyFont="1" applyFill="1" applyBorder="1" applyAlignment="1" applyProtection="1">
      <alignment horizontal="center" wrapText="1"/>
      <protection locked="0"/>
    </xf>
    <xf numFmtId="0" fontId="49" fillId="0" borderId="49" xfId="58" applyFont="1" applyFill="1" applyBorder="1" applyAlignment="1" applyProtection="1">
      <alignment horizontal="left" vertical="center" indent="1"/>
      <protection/>
    </xf>
    <xf numFmtId="0" fontId="49" fillId="0" borderId="20" xfId="58" applyFont="1" applyFill="1" applyBorder="1" applyAlignment="1" applyProtection="1">
      <alignment horizontal="left" vertical="center" indent="1"/>
      <protection/>
    </xf>
    <xf numFmtId="0" fontId="49" fillId="0" borderId="42" xfId="58" applyFont="1" applyFill="1" applyBorder="1" applyAlignment="1" applyProtection="1">
      <alignment horizontal="left" vertical="center" indent="1"/>
      <protection/>
    </xf>
    <xf numFmtId="0" fontId="49" fillId="0" borderId="44" xfId="58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right"/>
    </xf>
    <xf numFmtId="0" fontId="43" fillId="0" borderId="0" xfId="58" applyFont="1" applyFill="1" applyAlignment="1" applyProtection="1">
      <alignment horizontal="center" vertical="center" wrapText="1"/>
      <protection/>
    </xf>
    <xf numFmtId="0" fontId="43" fillId="0" borderId="0" xfId="58" applyFont="1" applyFill="1" applyAlignment="1" applyProtection="1">
      <alignment horizontal="center" vertical="center"/>
      <protection/>
    </xf>
    <xf numFmtId="0" fontId="43" fillId="0" borderId="0" xfId="58" applyFont="1" applyFill="1" applyAlignment="1" applyProtection="1">
      <alignment horizontal="center" wrapText="1"/>
      <protection/>
    </xf>
    <xf numFmtId="0" fontId="43" fillId="0" borderId="0" xfId="58" applyFont="1" applyFill="1" applyAlignment="1" applyProtection="1">
      <alignment horizontal="center"/>
      <protection/>
    </xf>
    <xf numFmtId="0" fontId="24" fillId="0" borderId="72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Normál_Munka1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olya\Work_Ibolya\DOCUME~1\URBNLA~1\LOCALS~1\Temp\k&#246;ltjavaslat2011csak%20seg&#237;ts&#233;gn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olya\Work_Ibolya\MENT&#201;S_C\Documents%20and%20Settings\Kocsisn&#233;\Dokumentumok\Marian2012\k&#246;ltm&#243;d2012&#233;v\november\k&#246;ltm&#243;dnovember2012%20elfogadot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olya\Work_Ibolya\Documents%20and%20Settings\Kocsisn&#233;\Dokumentumok\Marian2012\l&#233;tsz&#225;mcs&#246;kkent&#233;s\2012.&#233;vi%20k&#246;lts&#233;gvet&#233;s%20l&#233;tsz&#225;mcs&#246;kkent&#233;she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olya\Work_Ibolya\Users\User\AppData\Local\Temp\int&#233;zm&#233;nyi%20sz&#246;veges%20k&#246;lts&#233;gvet&#233;sek%202014&#233;v\PH%20sz&#246;veges%20k&#246;lt.2014%20el&#337;terjeszt&#233;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olya\Work_Ibolya\Marian2014\k&#246;lts&#233;gvet&#233;s\int&#233;zm&#233;nyi%20sz&#246;veges%20k&#246;lts&#233;gvet&#233;sek%202014&#233;v\ESZESZ%202014%20&#233;vi%20sz&#246;veges%20k&#246;lts&#233;gve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rb_ök_"/>
      <sheetName val="román ök_"/>
      <sheetName val="cigány"/>
      <sheetName val="eszesz"/>
      <sheetName val="vsz"/>
      <sheetName val="Gimi"/>
      <sheetName val="könyvtár"/>
      <sheetName val="Óvoda"/>
      <sheetName val="románok"/>
      <sheetName val="szia"/>
      <sheetName val="szerbek"/>
      <sheetName val="kultúr"/>
      <sheetName val="2mell 2ápr"/>
      <sheetName val="2mell_2"/>
      <sheetName val="Munka2"/>
      <sheetName val="2mell2011k"/>
      <sheetName val="2mell2011"/>
      <sheetName val="2mell 1ápr"/>
      <sheetName val="2mell_1"/>
      <sheetName val="létszám jó"/>
      <sheetName val="er.ei.felhalmozás09"/>
      <sheetName val="felhalmozás"/>
      <sheetName val="szoc jó"/>
      <sheetName val="felhalm2010"/>
      <sheetName val="felhmérleg"/>
      <sheetName val="felh_mérleg"/>
      <sheetName val="felh bev"/>
      <sheetName val="átadott"/>
      <sheetName val="int10"/>
      <sheetName val="norm2011"/>
      <sheetName val="Munka1"/>
      <sheetName val="norm"/>
      <sheetName val="több  éves kötelezettség"/>
      <sheetName val="polg_hiv_"/>
      <sheetName val="kincstár fin_terv"/>
      <sheetName val="_PH_ei_felh_terv_"/>
      <sheetName val="román eifelh"/>
      <sheetName val="szerbeifelh"/>
      <sheetName val="közösségi ell"/>
      <sheetName val="likviditási terv"/>
      <sheetName val="1mell1"/>
      <sheetName val="3 éves terv"/>
      <sheetName val="1mell1a"/>
      <sheetName val="1mell2"/>
    </sheetNames>
    <sheetDataSet>
      <sheetData sheetId="13">
        <row r="110">
          <cell r="A110" t="str">
            <v>Városellátó Szervezet</v>
          </cell>
        </row>
      </sheetData>
      <sheetData sheetId="17">
        <row r="28">
          <cell r="A28" t="str">
            <v>Városellátó  Szervezet</v>
          </cell>
        </row>
        <row r="32">
          <cell r="A32" t="str">
            <v>Egészségügyi és Szociális Ellátó Szervezet</v>
          </cell>
        </row>
      </sheetData>
      <sheetData sheetId="26">
        <row r="35">
          <cell r="A35" t="str">
            <v>Felhalmozási bevételek összesen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deletkönyv"/>
      <sheetName val="nettó"/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cigány besz"/>
      <sheetName val="szerb besz"/>
      <sheetName val="román besz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jó"/>
      <sheetName val="létszám 2012"/>
      <sheetName val="norm2012"/>
    </sheetNames>
    <sheetDataSet>
      <sheetData sheetId="3">
        <row r="24">
          <cell r="B24" t="str">
            <v>Városi Művelődési Központ és Könyvtár</v>
          </cell>
        </row>
      </sheetData>
      <sheetData sheetId="4">
        <row r="34">
          <cell r="B34" t="str">
            <v>Battonya Város Önkormányzata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román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2012"/>
      <sheetName val="norm2012"/>
    </sheetNames>
    <sheetDataSet>
      <sheetData sheetId="2">
        <row r="40">
          <cell r="A40" t="str">
            <v>Városellátó  Szervezet</v>
          </cell>
        </row>
        <row r="46">
          <cell r="A46" t="str">
            <v>Egészségügyi és Szociális Ellátó Szervezet</v>
          </cell>
        </row>
        <row r="62">
          <cell r="A62" t="str">
            <v>Városi Művelődési Központ és Könyvtár</v>
          </cell>
        </row>
        <row r="76">
          <cell r="A76" t="str">
            <v>Battonya Város Önkormányzata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nka3"/>
      <sheetName val="751153"/>
      <sheetName val="emelt 08"/>
      <sheetName val="bérek08"/>
      <sheetName val="PH08"/>
      <sheetName val="PH09"/>
      <sheetName val="össz"/>
      <sheetName val="Munka1"/>
      <sheetName val="ÖK 2014"/>
      <sheetName val="PH 2014"/>
      <sheetName val="PH 2013"/>
      <sheetName val="bér 2014"/>
      <sheetName val="közhasznúak"/>
      <sheetName val="Munka2"/>
    </sheetNames>
    <sheetDataSet>
      <sheetData sheetId="8">
        <row r="12">
          <cell r="H12">
            <v>1620</v>
          </cell>
        </row>
        <row r="17">
          <cell r="H17">
            <v>393.66</v>
          </cell>
        </row>
        <row r="49">
          <cell r="H49">
            <v>1412000</v>
          </cell>
        </row>
        <row r="55">
          <cell r="H55">
            <v>381240</v>
          </cell>
        </row>
        <row r="66">
          <cell r="H66">
            <v>2104960</v>
          </cell>
        </row>
        <row r="78">
          <cell r="H78">
            <v>507.492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nterv"/>
      <sheetName val="2013bérek"/>
      <sheetName val="normatíva2014"/>
      <sheetName val="2014 bérek"/>
      <sheetName val="összesítő"/>
      <sheetName val="889921 szoc.étk."/>
      <sheetName val="856012 Korai fejl.gondozás"/>
      <sheetName val="889926 közösségiell."/>
      <sheetName val="881011 nappaliell."/>
      <sheetName val="881012 demens"/>
      <sheetName val="889201 gyermekjólét"/>
      <sheetName val="889924 családs."/>
      <sheetName val="889922 házis.ny."/>
      <sheetName val="862301 fogorvosi ell."/>
      <sheetName val="869041 védőnők"/>
      <sheetName val="869042 ifjuság-eü.gondozás"/>
      <sheetName val="869031 labor"/>
      <sheetName val="869037 fizikoterápiás szolg."/>
      <sheetName val="862101 háziorv."/>
      <sheetName val="ESZESZ BEVÉTEL"/>
      <sheetName val="ESZESZ2_es"/>
    </sheetNames>
    <sheetDataSet>
      <sheetData sheetId="3">
        <row r="48">
          <cell r="J48">
            <v>130800</v>
          </cell>
        </row>
        <row r="49">
          <cell r="J49">
            <v>126300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zoomScalePageLayoutView="0" workbookViewId="0" topLeftCell="A19">
      <selection activeCell="E25" sqref="E25"/>
    </sheetView>
  </sheetViews>
  <sheetFormatPr defaultColWidth="9.140625" defaultRowHeight="15" customHeight="1"/>
  <cols>
    <col min="1" max="1" width="5.00390625" style="44" customWidth="1"/>
    <col min="2" max="2" width="3.28125" style="44" customWidth="1"/>
    <col min="3" max="3" width="50.28125" style="90" customWidth="1"/>
    <col min="4" max="4" width="10.421875" style="487" bestFit="1" customWidth="1"/>
    <col min="5" max="5" width="14.8515625" style="89" bestFit="1" customWidth="1"/>
    <col min="6" max="8" width="15.00390625" style="89" customWidth="1"/>
    <col min="9" max="9" width="10.28125" style="98" bestFit="1" customWidth="1"/>
    <col min="10" max="10" width="16.57421875" style="89" bestFit="1" customWidth="1"/>
    <col min="11" max="11" width="13.140625" style="89" bestFit="1" customWidth="1"/>
    <col min="12" max="12" width="16.57421875" style="89" bestFit="1" customWidth="1"/>
    <col min="13" max="15" width="17.8515625" style="89" bestFit="1" customWidth="1"/>
    <col min="16" max="21" width="19.140625" style="89" customWidth="1"/>
    <col min="22" max="22" width="14.421875" style="89" bestFit="1" customWidth="1"/>
    <col min="23" max="23" width="22.28125" style="86" customWidth="1"/>
    <col min="24" max="24" width="19.00390625" style="86" customWidth="1"/>
    <col min="25" max="26" width="10.57421875" style="86" customWidth="1"/>
    <col min="27" max="34" width="14.421875" style="86" customWidth="1"/>
    <col min="35" max="35" width="14.421875" style="44" customWidth="1"/>
    <col min="36" max="36" width="14.57421875" style="44" customWidth="1"/>
    <col min="37" max="38" width="14.421875" style="44" customWidth="1"/>
    <col min="39" max="39" width="9.140625" style="44" customWidth="1"/>
    <col min="40" max="40" width="14.140625" style="44" customWidth="1"/>
    <col min="41" max="16384" width="9.140625" style="44" customWidth="1"/>
  </cols>
  <sheetData>
    <row r="1" spans="1:33" ht="15" customHeight="1">
      <c r="A1" s="5" t="s">
        <v>264</v>
      </c>
      <c r="C1" s="23"/>
      <c r="D1" s="486" t="s">
        <v>434</v>
      </c>
      <c r="E1" s="3" t="s">
        <v>390</v>
      </c>
      <c r="F1" s="3"/>
      <c r="G1" s="3"/>
      <c r="H1" s="3"/>
      <c r="I1" s="8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ht="15" customHeight="1">
      <c r="A2" s="87" t="s">
        <v>174</v>
      </c>
      <c r="C2" s="88"/>
      <c r="D2" s="486" t="s">
        <v>64</v>
      </c>
      <c r="E2" s="3" t="s">
        <v>64</v>
      </c>
      <c r="F2" s="3"/>
      <c r="G2" s="3"/>
      <c r="H2" s="3"/>
      <c r="I2" s="8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75">
      <c r="A3" s="87"/>
      <c r="C3" s="88"/>
      <c r="D3" s="486"/>
      <c r="E3" s="3"/>
      <c r="F3" s="3"/>
      <c r="G3" s="3"/>
      <c r="H3" s="3"/>
      <c r="I3" s="8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s="86" customFormat="1" ht="15" customHeight="1">
      <c r="A4" s="2" t="s">
        <v>11</v>
      </c>
      <c r="B4" s="2" t="s">
        <v>12</v>
      </c>
      <c r="C4" s="18" t="s">
        <v>13</v>
      </c>
      <c r="D4" s="3" t="s">
        <v>14</v>
      </c>
      <c r="E4" s="450" t="s">
        <v>15</v>
      </c>
      <c r="F4" s="3"/>
      <c r="G4" s="3"/>
      <c r="H4" s="3"/>
      <c r="I4" s="8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5:27" ht="15.75">
      <c r="E5" s="3"/>
      <c r="F5" s="3"/>
      <c r="G5" s="3"/>
      <c r="H5" s="3"/>
      <c r="I5" s="85"/>
      <c r="J5" s="3"/>
      <c r="K5" s="3"/>
      <c r="L5" s="3"/>
      <c r="O5" s="3"/>
      <c r="P5" s="3"/>
      <c r="Q5" s="3"/>
      <c r="R5" s="3"/>
      <c r="S5" s="3"/>
      <c r="T5" s="3"/>
      <c r="U5" s="3"/>
      <c r="V5" s="3"/>
      <c r="W5" s="2"/>
      <c r="X5" s="2"/>
      <c r="Y5" s="2"/>
      <c r="Z5" s="2"/>
      <c r="AA5" s="2"/>
    </row>
    <row r="6" spans="2:39" s="5" customFormat="1" ht="15" customHeight="1">
      <c r="B6" s="5" t="s">
        <v>94</v>
      </c>
      <c r="C6" s="23"/>
      <c r="D6" s="35">
        <f>SUM(D7:D17)-D7-D11</f>
        <v>307125</v>
      </c>
      <c r="E6" s="7">
        <f>SUM(E7:E17)-E7-E11</f>
        <v>296199</v>
      </c>
      <c r="F6" s="7"/>
      <c r="G6" s="7"/>
      <c r="H6" s="7"/>
      <c r="I6" s="44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AJ6" s="44"/>
      <c r="AL6" s="44"/>
      <c r="AM6" s="44"/>
    </row>
    <row r="7" spans="3:34" ht="15" customHeight="1">
      <c r="C7" s="90" t="s">
        <v>95</v>
      </c>
      <c r="D7" s="485">
        <f>SUM(D8:D10)</f>
        <v>114297</v>
      </c>
      <c r="E7" s="89">
        <f>SUM(E8:E10)</f>
        <v>99471</v>
      </c>
      <c r="M7" s="3"/>
      <c r="AH7" s="2"/>
    </row>
    <row r="8" spans="3:34" ht="15" customHeight="1">
      <c r="C8" s="92" t="s">
        <v>96</v>
      </c>
      <c r="D8" s="488">
        <f>+3mell!D32-2100-500</f>
        <v>111697</v>
      </c>
      <c r="E8" s="89">
        <f>+3mell!D34-2100-500</f>
        <v>96871</v>
      </c>
      <c r="M8" s="3"/>
      <c r="AH8" s="2"/>
    </row>
    <row r="9" spans="3:34" ht="15" customHeight="1">
      <c r="C9" s="92" t="s">
        <v>97</v>
      </c>
      <c r="D9" s="488">
        <v>2100</v>
      </c>
      <c r="E9" s="89">
        <v>2100</v>
      </c>
      <c r="M9" s="3"/>
      <c r="AH9" s="2"/>
    </row>
    <row r="10" spans="3:34" ht="15" customHeight="1">
      <c r="C10" s="92" t="s">
        <v>98</v>
      </c>
      <c r="D10" s="488">
        <v>500</v>
      </c>
      <c r="E10" s="89">
        <v>500</v>
      </c>
      <c r="M10" s="3"/>
      <c r="AH10" s="2"/>
    </row>
    <row r="11" spans="3:34" ht="15" customHeight="1">
      <c r="C11" s="90" t="s">
        <v>99</v>
      </c>
      <c r="D11" s="485">
        <f>SUM(D12:D12)</f>
        <v>15214</v>
      </c>
      <c r="E11" s="89">
        <f>SUM(E12:E12)</f>
        <v>15214</v>
      </c>
      <c r="AH11" s="2"/>
    </row>
    <row r="12" spans="3:34" ht="15" customHeight="1">
      <c r="C12" s="92" t="s">
        <v>100</v>
      </c>
      <c r="D12" s="489">
        <v>15214</v>
      </c>
      <c r="E12" s="89">
        <v>15214</v>
      </c>
      <c r="M12" s="93"/>
      <c r="N12" s="3"/>
      <c r="X12" s="89"/>
      <c r="Y12" s="89"/>
      <c r="AH12" s="2"/>
    </row>
    <row r="13" spans="3:34" ht="15" customHeight="1">
      <c r="C13" s="90" t="s">
        <v>101</v>
      </c>
      <c r="D13" s="487">
        <v>125000</v>
      </c>
      <c r="E13" s="89">
        <v>125000</v>
      </c>
      <c r="X13" s="89"/>
      <c r="Y13" s="89"/>
      <c r="AH13" s="2"/>
    </row>
    <row r="14" spans="3:34" ht="15" customHeight="1">
      <c r="C14" s="90" t="s">
        <v>102</v>
      </c>
      <c r="D14" s="487">
        <v>3</v>
      </c>
      <c r="E14" s="89">
        <v>3</v>
      </c>
      <c r="M14" s="93"/>
      <c r="N14" s="3"/>
      <c r="AH14" s="2"/>
    </row>
    <row r="15" spans="3:34" ht="15" customHeight="1">
      <c r="C15" s="90" t="s">
        <v>103</v>
      </c>
      <c r="D15" s="487">
        <v>2561</v>
      </c>
      <c r="E15" s="89">
        <v>2561</v>
      </c>
      <c r="AH15" s="2"/>
    </row>
    <row r="16" spans="3:34" ht="15" customHeight="1">
      <c r="C16" s="90" t="s">
        <v>104</v>
      </c>
      <c r="D16" s="487">
        <v>2500</v>
      </c>
      <c r="E16" s="89">
        <v>2500</v>
      </c>
      <c r="AB16" s="44"/>
      <c r="AC16" s="44"/>
      <c r="AD16" s="44"/>
      <c r="AH16" s="2"/>
    </row>
    <row r="17" spans="3:34" ht="15" customHeight="1">
      <c r="C17" s="90" t="s">
        <v>435</v>
      </c>
      <c r="D17" s="487">
        <v>47550</v>
      </c>
      <c r="E17" s="89">
        <f>7000+35000+9450</f>
        <v>51450</v>
      </c>
      <c r="AB17" s="44"/>
      <c r="AC17" s="44"/>
      <c r="AD17" s="44"/>
      <c r="AH17" s="2"/>
    </row>
    <row r="18" spans="28:34" ht="15" customHeight="1">
      <c r="AB18" s="44"/>
      <c r="AC18" s="44"/>
      <c r="AD18" s="44"/>
      <c r="AH18" s="2"/>
    </row>
    <row r="19" spans="2:37" s="5" customFormat="1" ht="15" customHeight="1">
      <c r="B19" s="5" t="s">
        <v>105</v>
      </c>
      <c r="C19" s="23"/>
      <c r="D19" s="35">
        <f>+D20+D21</f>
        <v>9964</v>
      </c>
      <c r="E19" s="7">
        <f>+E20+E21</f>
        <v>9964</v>
      </c>
      <c r="F19" s="7"/>
      <c r="G19" s="7"/>
      <c r="H19" s="7"/>
      <c r="I19" s="44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AI19" s="44"/>
      <c r="AJ19" s="44"/>
      <c r="AK19" s="44"/>
    </row>
    <row r="20" spans="3:34" ht="15" customHeight="1">
      <c r="C20" s="90" t="s">
        <v>106</v>
      </c>
      <c r="D20" s="487">
        <v>9814</v>
      </c>
      <c r="E20" s="47">
        <v>9814</v>
      </c>
      <c r="F20" s="44"/>
      <c r="G20" s="44"/>
      <c r="H20" s="44"/>
      <c r="W20" s="89"/>
      <c r="X20" s="89"/>
      <c r="AA20" s="89"/>
      <c r="AB20" s="89"/>
      <c r="AH20" s="5"/>
    </row>
    <row r="21" spans="3:34" ht="15" customHeight="1">
      <c r="C21" s="90" t="s">
        <v>107</v>
      </c>
      <c r="D21" s="487">
        <v>150</v>
      </c>
      <c r="E21" s="89">
        <v>150</v>
      </c>
      <c r="W21" s="89"/>
      <c r="X21" s="89"/>
      <c r="AA21" s="89"/>
      <c r="AB21" s="89"/>
      <c r="AH21" s="5"/>
    </row>
    <row r="22" ht="15.75">
      <c r="AH22" s="5"/>
    </row>
    <row r="23" spans="2:37" s="5" customFormat="1" ht="15" customHeight="1">
      <c r="B23" s="5" t="s">
        <v>108</v>
      </c>
      <c r="C23" s="23"/>
      <c r="D23" s="35">
        <f>SUM(D24:D24)</f>
        <v>251962</v>
      </c>
      <c r="E23" s="7">
        <f>SUM(E24:E24)</f>
        <v>241074</v>
      </c>
      <c r="F23" s="7"/>
      <c r="G23" s="7"/>
      <c r="H23" s="7"/>
      <c r="I23" s="44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AB23" s="7"/>
      <c r="AJ23" s="44"/>
      <c r="AK23" s="44"/>
    </row>
    <row r="24" spans="3:34" ht="15" customHeight="1">
      <c r="C24" s="90" t="s">
        <v>10</v>
      </c>
      <c r="D24" s="487">
        <v>251962</v>
      </c>
      <c r="E24" s="527">
        <v>241074</v>
      </c>
      <c r="W24" s="89"/>
      <c r="X24" s="89"/>
      <c r="Y24" s="89"/>
      <c r="AA24" s="89"/>
      <c r="AB24" s="89"/>
      <c r="AH24" s="2"/>
    </row>
    <row r="25" spans="23:34" ht="15.75">
      <c r="W25" s="89"/>
      <c r="X25" s="89"/>
      <c r="Y25" s="89"/>
      <c r="AA25" s="89"/>
      <c r="AB25" s="89"/>
      <c r="AH25" s="2"/>
    </row>
    <row r="26" spans="2:28" ht="14.25" customHeight="1">
      <c r="B26" s="5" t="s">
        <v>109</v>
      </c>
      <c r="C26" s="23"/>
      <c r="D26" s="7">
        <f>+D28</f>
        <v>198097</v>
      </c>
      <c r="E26" s="7">
        <f>+E28</f>
        <v>150344</v>
      </c>
      <c r="F26" s="7"/>
      <c r="G26" s="7"/>
      <c r="H26" s="7"/>
      <c r="I26" s="44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47"/>
      <c r="X26" s="5"/>
      <c r="Y26" s="5"/>
      <c r="Z26" s="5"/>
      <c r="AA26" s="5"/>
      <c r="AB26" s="5"/>
    </row>
    <row r="27" spans="2:28" ht="15.75">
      <c r="B27" s="5"/>
      <c r="C27" s="23"/>
      <c r="D27" s="486"/>
      <c r="E27" s="7"/>
      <c r="F27" s="7"/>
      <c r="G27" s="7"/>
      <c r="H27" s="7"/>
      <c r="I27" s="44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47"/>
      <c r="X27" s="5"/>
      <c r="Y27" s="5"/>
      <c r="Z27" s="5"/>
      <c r="AA27" s="5"/>
      <c r="AB27" s="5"/>
    </row>
    <row r="28" spans="2:28" ht="15" customHeight="1">
      <c r="B28" s="5"/>
      <c r="C28" s="97" t="s">
        <v>110</v>
      </c>
      <c r="D28" s="95">
        <f>SUM(D29:D34)</f>
        <v>198097</v>
      </c>
      <c r="E28" s="95">
        <f>SUM(E29:E35)</f>
        <v>150344</v>
      </c>
      <c r="F28" s="95"/>
      <c r="G28" s="95"/>
      <c r="H28" s="95"/>
      <c r="I28" s="94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6"/>
    </row>
    <row r="29" spans="3:27" ht="15" customHeight="1">
      <c r="C29" s="90" t="s">
        <v>111</v>
      </c>
      <c r="D29" s="487">
        <v>34000</v>
      </c>
      <c r="E29" s="89">
        <f>+3mell!F12</f>
        <v>32500</v>
      </c>
      <c r="AA29" s="89"/>
    </row>
    <row r="30" spans="3:26" ht="15" customHeight="1">
      <c r="C30" s="90" t="s">
        <v>112</v>
      </c>
      <c r="D30" s="487">
        <v>146826</v>
      </c>
      <c r="E30" s="89">
        <v>94553</v>
      </c>
      <c r="P30" s="91"/>
      <c r="W30" s="89"/>
      <c r="X30" s="89"/>
      <c r="Y30" s="89"/>
      <c r="Z30" s="89"/>
    </row>
    <row r="31" spans="3:5" ht="15" customHeight="1">
      <c r="C31" s="90" t="s">
        <v>113</v>
      </c>
      <c r="D31" s="487">
        <v>600</v>
      </c>
      <c r="E31" s="89">
        <v>600</v>
      </c>
    </row>
    <row r="32" spans="3:5" ht="15" customHeight="1">
      <c r="C32" s="90" t="s">
        <v>114</v>
      </c>
      <c r="D32" s="487">
        <v>3000</v>
      </c>
      <c r="E32" s="89">
        <v>4500</v>
      </c>
    </row>
    <row r="33" spans="3:5" ht="15" customHeight="1">
      <c r="C33" s="90" t="s">
        <v>115</v>
      </c>
      <c r="D33" s="487">
        <v>8000</v>
      </c>
      <c r="E33" s="89">
        <v>8000</v>
      </c>
    </row>
    <row r="34" spans="3:5" ht="15" customHeight="1">
      <c r="C34" s="90" t="s">
        <v>228</v>
      </c>
      <c r="D34" s="487">
        <v>5671</v>
      </c>
      <c r="E34" s="89">
        <f>6900-655</f>
        <v>6245</v>
      </c>
    </row>
    <row r="35" spans="3:5" ht="15" customHeight="1">
      <c r="C35" s="90" t="s">
        <v>457</v>
      </c>
      <c r="E35" s="89">
        <v>3946</v>
      </c>
    </row>
    <row r="37" spans="2:35" ht="15" customHeight="1">
      <c r="B37" s="5" t="s">
        <v>116</v>
      </c>
      <c r="C37" s="23"/>
      <c r="D37" s="3">
        <f>SUM(D38:D38)</f>
        <v>150</v>
      </c>
      <c r="E37" s="3">
        <f>SUM(E38:E38)</f>
        <v>150</v>
      </c>
      <c r="F37" s="3"/>
      <c r="G37" s="3"/>
      <c r="H37" s="3"/>
      <c r="I37" s="8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5"/>
    </row>
    <row r="38" spans="2:35" ht="15" customHeight="1">
      <c r="B38" s="5"/>
      <c r="C38" s="90" t="s">
        <v>117</v>
      </c>
      <c r="D38" s="487">
        <v>150</v>
      </c>
      <c r="E38" s="89">
        <v>150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5"/>
    </row>
    <row r="39" spans="2:35" ht="15" customHeight="1">
      <c r="B39" s="5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5"/>
    </row>
    <row r="40" spans="2:35" ht="15" customHeight="1">
      <c r="B40" s="5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5"/>
    </row>
    <row r="41" spans="1:35" ht="15" customHeight="1">
      <c r="A41" s="5"/>
      <c r="B41" s="5" t="s">
        <v>118</v>
      </c>
      <c r="D41" s="450">
        <f>+D37+D26+D23+D19+D6</f>
        <v>767298</v>
      </c>
      <c r="E41" s="450">
        <f>+E37+E26+E23+E19+E6</f>
        <v>697731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5"/>
    </row>
    <row r="42" spans="2:35" ht="15" customHeight="1">
      <c r="B42" s="5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5"/>
    </row>
    <row r="43" spans="3:34" s="5" customFormat="1" ht="15.75">
      <c r="C43" s="23"/>
      <c r="D43" s="486"/>
      <c r="E43" s="47"/>
      <c r="F43" s="47"/>
      <c r="G43" s="47"/>
      <c r="H43" s="47"/>
      <c r="I43" s="441"/>
      <c r="J43" s="7"/>
      <c r="K43" s="7"/>
      <c r="L43" s="7"/>
      <c r="M43" s="7"/>
      <c r="N43" s="7"/>
      <c r="O43" s="7"/>
      <c r="P43" s="47"/>
      <c r="Q43" s="47"/>
      <c r="R43" s="47"/>
      <c r="S43" s="47"/>
      <c r="T43" s="47"/>
      <c r="U43" s="47"/>
      <c r="V43" s="47"/>
      <c r="W43" s="44"/>
      <c r="X43" s="44"/>
      <c r="Y43" s="44"/>
      <c r="Z43" s="44"/>
      <c r="AA43" s="47"/>
      <c r="AC43" s="44"/>
      <c r="AD43" s="44"/>
      <c r="AF43" s="86"/>
      <c r="AG43" s="86"/>
      <c r="AH43" s="86"/>
    </row>
    <row r="44" spans="1:34" s="5" customFormat="1" ht="15" customHeight="1">
      <c r="A44" s="6"/>
      <c r="B44" s="6" t="s">
        <v>119</v>
      </c>
      <c r="C44" s="24"/>
      <c r="D44" s="439">
        <f>+D41</f>
        <v>767298</v>
      </c>
      <c r="E44" s="439">
        <f>+E41</f>
        <v>697731</v>
      </c>
      <c r="F44" s="47"/>
      <c r="G44" s="47"/>
      <c r="H44" s="47"/>
      <c r="I44" s="441"/>
      <c r="J44" s="7"/>
      <c r="K44" s="7"/>
      <c r="L44" s="7"/>
      <c r="M44" s="7"/>
      <c r="N44" s="7"/>
      <c r="O44" s="7"/>
      <c r="P44" s="47"/>
      <c r="Q44" s="47"/>
      <c r="R44" s="47"/>
      <c r="S44" s="47"/>
      <c r="T44" s="47"/>
      <c r="U44" s="47"/>
      <c r="V44" s="47"/>
      <c r="W44" s="44"/>
      <c r="X44" s="44"/>
      <c r="Y44" s="44"/>
      <c r="Z44" s="44"/>
      <c r="AA44" s="47"/>
      <c r="AC44" s="44"/>
      <c r="AD44" s="44"/>
      <c r="AF44" s="86"/>
      <c r="AG44" s="86"/>
      <c r="AH44" s="86"/>
    </row>
    <row r="45" spans="2:5" ht="15" customHeight="1">
      <c r="B45" s="44" t="s">
        <v>120</v>
      </c>
      <c r="D45" s="487">
        <f>+2mell!D33</f>
        <v>0</v>
      </c>
      <c r="E45" s="89">
        <f>+2mell!E33</f>
        <v>697731</v>
      </c>
    </row>
    <row r="46" spans="2:34" s="5" customFormat="1" ht="15" customHeight="1">
      <c r="B46" s="44"/>
      <c r="C46" s="90"/>
      <c r="D46" s="487"/>
      <c r="E46" s="47"/>
      <c r="F46" s="47"/>
      <c r="G46" s="47"/>
      <c r="H46" s="47"/>
      <c r="I46" s="442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4"/>
      <c r="X46" s="44"/>
      <c r="Y46" s="44"/>
      <c r="Z46" s="44"/>
      <c r="AA46" s="44"/>
      <c r="AB46" s="44"/>
      <c r="AC46" s="44"/>
      <c r="AD46" s="44"/>
      <c r="AE46" s="86"/>
      <c r="AF46" s="86"/>
      <c r="AG46" s="86"/>
      <c r="AH46" s="86"/>
    </row>
    <row r="47" spans="1:34" ht="15" customHeight="1">
      <c r="A47" s="5"/>
      <c r="D47" s="89">
        <f>+D44-D45</f>
        <v>767298</v>
      </c>
      <c r="E47" s="89">
        <f>+E44-E45</f>
        <v>0</v>
      </c>
      <c r="V47" s="7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9" spans="1:34" ht="15" customHeight="1">
      <c r="A49" s="5"/>
      <c r="B49" s="5"/>
      <c r="V49" s="47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</row>
    <row r="50" spans="5:33" ht="15" customHeight="1">
      <c r="E50" s="99"/>
      <c r="F50" s="99"/>
      <c r="G50" s="99"/>
      <c r="H50" s="99"/>
      <c r="I50" s="443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100"/>
      <c r="X50" s="100"/>
      <c r="Y50" s="100"/>
      <c r="Z50" s="100"/>
      <c r="AA50" s="44"/>
      <c r="AB50" s="44"/>
      <c r="AC50" s="44"/>
      <c r="AD50" s="44"/>
      <c r="AE50" s="100"/>
      <c r="AF50" s="100"/>
      <c r="AG50" s="100"/>
    </row>
    <row r="51" spans="5:33" ht="15" customHeight="1">
      <c r="E51" s="47"/>
      <c r="F51" s="47"/>
      <c r="G51" s="47"/>
      <c r="H51" s="47"/>
      <c r="I51" s="442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4"/>
      <c r="X51" s="44"/>
      <c r="Y51" s="44"/>
      <c r="Z51" s="44"/>
      <c r="AA51" s="44"/>
      <c r="AB51" s="44"/>
      <c r="AC51" s="44"/>
      <c r="AD51" s="44"/>
      <c r="AE51" s="100"/>
      <c r="AF51" s="100"/>
      <c r="AG51" s="100"/>
    </row>
    <row r="52" spans="5:30" ht="15" customHeight="1">
      <c r="E52" s="99"/>
      <c r="F52" s="99"/>
      <c r="G52" s="99"/>
      <c r="H52" s="99"/>
      <c r="I52" s="443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100"/>
      <c r="X52" s="100"/>
      <c r="Y52" s="100"/>
      <c r="Z52" s="100"/>
      <c r="AA52" s="100"/>
      <c r="AB52" s="100"/>
      <c r="AC52" s="100"/>
      <c r="AD52" s="100"/>
    </row>
    <row r="53" ht="15" customHeight="1">
      <c r="B53" s="100"/>
    </row>
    <row r="54" spans="2:34" ht="15" customHeight="1">
      <c r="B54" s="100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</row>
    <row r="55" spans="23:34" ht="15" customHeight="1">
      <c r="W55" s="98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</row>
    <row r="56" ht="15" customHeight="1">
      <c r="AJ56" s="5"/>
    </row>
    <row r="57" spans="23:34" ht="15" customHeight="1">
      <c r="W57" s="98"/>
      <c r="X57" s="98"/>
      <c r="Y57" s="98"/>
      <c r="Z57" s="98"/>
      <c r="AA57" s="98"/>
      <c r="AB57" s="98"/>
      <c r="AC57" s="98"/>
      <c r="AD57" s="98"/>
      <c r="AE57" s="101"/>
      <c r="AF57" s="101"/>
      <c r="AG57" s="101"/>
      <c r="AH57" s="101"/>
    </row>
    <row r="60" spans="23:33" ht="15" customHeight="1"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</row>
    <row r="74" ht="15" customHeight="1">
      <c r="C74" s="102" t="s">
        <v>121</v>
      </c>
    </row>
    <row r="75" ht="15" customHeight="1">
      <c r="C75" s="102"/>
    </row>
    <row r="79" ht="15" customHeight="1">
      <c r="C79" s="103"/>
    </row>
    <row r="80" ht="15" customHeight="1">
      <c r="C80" s="103"/>
    </row>
    <row r="81" ht="15" customHeight="1">
      <c r="C81" s="103"/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Header>&amp;L1. melléklet a 2014. évi 2/2014.(I.24.) Önkormányzati költségvetési rendelethez&amp;R&amp;D</oddHeader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5.28125" style="0" customWidth="1"/>
    <col min="2" max="2" width="31.7109375" style="0" customWidth="1"/>
    <col min="3" max="3" width="30.28125" style="0" customWidth="1"/>
    <col min="4" max="4" width="38.421875" style="0" customWidth="1"/>
    <col min="5" max="5" width="19.57421875" style="0" customWidth="1"/>
  </cols>
  <sheetData>
    <row r="1" spans="1:5" ht="15.75">
      <c r="A1" s="684" t="s">
        <v>393</v>
      </c>
      <c r="B1" s="684"/>
      <c r="C1" s="684"/>
      <c r="D1" s="684"/>
      <c r="E1" s="684"/>
    </row>
    <row r="2" spans="1:5" ht="15.75">
      <c r="A2" t="s">
        <v>11</v>
      </c>
      <c r="B2" s="434" t="s">
        <v>362</v>
      </c>
      <c r="C2" s="434" t="s">
        <v>13</v>
      </c>
      <c r="D2" s="434" t="s">
        <v>14</v>
      </c>
      <c r="E2" s="434" t="s">
        <v>392</v>
      </c>
    </row>
    <row r="3" spans="1:5" ht="16.5" thickBot="1">
      <c r="A3" t="s">
        <v>20</v>
      </c>
      <c r="B3" s="116" t="s">
        <v>152</v>
      </c>
      <c r="C3" s="116"/>
      <c r="D3" s="116" t="s">
        <v>153</v>
      </c>
      <c r="E3" s="117"/>
    </row>
    <row r="4" spans="1:5" ht="15.75">
      <c r="A4" t="s">
        <v>21</v>
      </c>
      <c r="B4" s="118" t="s">
        <v>154</v>
      </c>
      <c r="C4" s="119" t="s">
        <v>390</v>
      </c>
      <c r="D4" s="120" t="s">
        <v>154</v>
      </c>
      <c r="E4" s="84" t="s">
        <v>390</v>
      </c>
    </row>
    <row r="5" spans="1:5" ht="15.75">
      <c r="A5" t="s">
        <v>22</v>
      </c>
      <c r="B5" s="119"/>
      <c r="C5" s="119" t="s">
        <v>64</v>
      </c>
      <c r="D5" s="120"/>
      <c r="E5" s="121" t="s">
        <v>64</v>
      </c>
    </row>
    <row r="6" spans="2:4" ht="15.75">
      <c r="B6" s="122"/>
      <c r="C6" s="122"/>
      <c r="D6" s="123"/>
    </row>
    <row r="7" spans="1:5" ht="15.75">
      <c r="A7" t="s">
        <v>23</v>
      </c>
      <c r="B7" s="122" t="str">
        <f>+'[1]felh bev'!A35</f>
        <v>Felhalmozási bevételek összesen</v>
      </c>
      <c r="C7" s="124">
        <f>+8mell!C18</f>
        <v>51600</v>
      </c>
      <c r="D7" s="123" t="s">
        <v>155</v>
      </c>
      <c r="E7" s="105">
        <f>+7mell!C13</f>
        <v>22241</v>
      </c>
    </row>
    <row r="8" spans="1:5" ht="15.75">
      <c r="A8" t="s">
        <v>24</v>
      </c>
      <c r="B8" s="122"/>
      <c r="C8" s="124"/>
      <c r="D8" s="123" t="s">
        <v>156</v>
      </c>
      <c r="E8">
        <f>+2mell!E23</f>
        <v>13637</v>
      </c>
    </row>
    <row r="9" spans="2:4" ht="15.75">
      <c r="B9" s="122"/>
      <c r="C9" s="124"/>
      <c r="D9" s="123"/>
    </row>
    <row r="10" spans="1:5" ht="15.75">
      <c r="A10" t="s">
        <v>25</v>
      </c>
      <c r="B10" s="122"/>
      <c r="C10" s="124"/>
      <c r="D10" s="123" t="s">
        <v>66</v>
      </c>
      <c r="E10" s="105">
        <f>+5mell!C21</f>
        <v>3000</v>
      </c>
    </row>
    <row r="11" spans="2:4" ht="15.75">
      <c r="B11" s="122"/>
      <c r="C11" s="124"/>
      <c r="D11" s="123"/>
    </row>
    <row r="12" spans="2:4" ht="15.75" hidden="1">
      <c r="B12" s="122"/>
      <c r="C12" s="124"/>
      <c r="D12" s="123" t="s">
        <v>145</v>
      </c>
    </row>
    <row r="13" spans="2:4" ht="15.75">
      <c r="B13" s="122"/>
      <c r="C13" s="124"/>
      <c r="D13" s="123"/>
    </row>
    <row r="14" spans="1:5" ht="15.75">
      <c r="A14" t="s">
        <v>26</v>
      </c>
      <c r="B14" s="122"/>
      <c r="C14" s="124"/>
      <c r="D14" s="125" t="s">
        <v>338</v>
      </c>
      <c r="E14" s="105">
        <v>1200</v>
      </c>
    </row>
    <row r="15" spans="1:5" ht="15.75">
      <c r="A15" t="s">
        <v>27</v>
      </c>
      <c r="B15" s="122"/>
      <c r="C15" s="124"/>
      <c r="D15" s="123" t="s">
        <v>157</v>
      </c>
      <c r="E15" s="105">
        <v>1867</v>
      </c>
    </row>
    <row r="16" spans="1:5" ht="15.75">
      <c r="A16" t="s">
        <v>28</v>
      </c>
      <c r="B16" s="122"/>
      <c r="C16" s="124"/>
      <c r="D16" s="125" t="s">
        <v>464</v>
      </c>
      <c r="E16">
        <v>9450</v>
      </c>
    </row>
    <row r="17" spans="2:5" ht="15.75">
      <c r="B17" s="122"/>
      <c r="C17" s="124"/>
      <c r="D17" s="123"/>
      <c r="E17" s="105"/>
    </row>
    <row r="18" spans="2:4" ht="15.75">
      <c r="B18" s="122"/>
      <c r="C18" s="124"/>
      <c r="D18" s="123"/>
    </row>
    <row r="19" spans="2:5" ht="15.75">
      <c r="B19" s="122"/>
      <c r="C19" s="124"/>
      <c r="D19" s="123"/>
      <c r="E19" s="105"/>
    </row>
    <row r="20" spans="2:4" ht="15.75">
      <c r="B20" s="122"/>
      <c r="C20" s="124"/>
      <c r="D20" s="126"/>
    </row>
    <row r="21" spans="2:4" ht="15.75">
      <c r="B21" s="122"/>
      <c r="C21" s="124"/>
      <c r="D21" s="126"/>
    </row>
    <row r="22" spans="2:4" ht="15.75">
      <c r="B22" s="122"/>
      <c r="C22" s="124"/>
      <c r="D22" s="126"/>
    </row>
    <row r="23" spans="2:4" ht="15.75">
      <c r="B23" s="122"/>
      <c r="C23" s="124"/>
      <c r="D23" s="126"/>
    </row>
    <row r="24" spans="1:5" ht="15.75">
      <c r="A24" t="s">
        <v>29</v>
      </c>
      <c r="B24" s="118" t="s">
        <v>151</v>
      </c>
      <c r="C24" s="127">
        <f>SUM(C7:C23)</f>
        <v>51600</v>
      </c>
      <c r="D24" s="128" t="s">
        <v>158</v>
      </c>
      <c r="E24" s="129">
        <f>SUM(E7:E23)</f>
        <v>51395</v>
      </c>
    </row>
    <row r="25" spans="1:4" ht="15.75">
      <c r="A25" t="s">
        <v>30</v>
      </c>
      <c r="B25" s="130" t="s">
        <v>159</v>
      </c>
      <c r="C25" s="131">
        <f>+C24-E24</f>
        <v>205</v>
      </c>
      <c r="D25" s="128"/>
    </row>
    <row r="27" ht="12.75">
      <c r="C27" s="13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&amp;L9. melléklet a 2014. évi 2/2014.(I.24.) Önkormányzati költségvetési rendelethez&amp;R&amp;D</oddHeader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28" sqref="A28"/>
    </sheetView>
  </sheetViews>
  <sheetFormatPr defaultColWidth="9.140625" defaultRowHeight="12.75"/>
  <cols>
    <col min="1" max="1" width="91.28125" style="0" customWidth="1"/>
    <col min="2" max="2" width="8.8515625" style="0" customWidth="1"/>
    <col min="3" max="3" width="7.00390625" style="0" customWidth="1"/>
    <col min="4" max="4" width="15.8515625" style="105" bestFit="1" customWidth="1"/>
  </cols>
  <sheetData>
    <row r="1" ht="12.75" customHeight="1">
      <c r="D1" s="628" t="s">
        <v>389</v>
      </c>
    </row>
    <row r="2" spans="1:4" ht="12.75" customHeight="1">
      <c r="A2" t="s">
        <v>489</v>
      </c>
      <c r="B2" t="s">
        <v>57</v>
      </c>
      <c r="D2" s="106"/>
    </row>
    <row r="3" spans="1:4" ht="12.75">
      <c r="A3" t="s">
        <v>149</v>
      </c>
      <c r="B3" s="104" t="s">
        <v>436</v>
      </c>
      <c r="C3" t="s">
        <v>396</v>
      </c>
      <c r="D3" s="106">
        <f>+D7+D8+D18+D20+D24+D25+D37</f>
        <v>240794746</v>
      </c>
    </row>
    <row r="4" ht="12.75" customHeight="1">
      <c r="A4" t="s">
        <v>397</v>
      </c>
    </row>
    <row r="5" ht="12.75" customHeight="1">
      <c r="A5" t="s">
        <v>398</v>
      </c>
    </row>
    <row r="6" spans="1:4" ht="12.75" customHeight="1">
      <c r="A6" t="s">
        <v>399</v>
      </c>
      <c r="B6" t="s">
        <v>124</v>
      </c>
      <c r="C6" s="461">
        <v>20.41</v>
      </c>
      <c r="D6" s="490">
        <v>93477800</v>
      </c>
    </row>
    <row r="7" spans="1:4" ht="12.75" customHeight="1">
      <c r="A7" t="s">
        <v>400</v>
      </c>
      <c r="B7" t="s">
        <v>124</v>
      </c>
      <c r="C7" s="462">
        <v>0</v>
      </c>
      <c r="D7" s="491">
        <v>93477800</v>
      </c>
    </row>
    <row r="8" spans="1:4" ht="12.75" customHeight="1">
      <c r="A8" t="s">
        <v>401</v>
      </c>
      <c r="B8" t="s">
        <v>124</v>
      </c>
      <c r="C8" s="462">
        <v>0</v>
      </c>
      <c r="D8" s="491">
        <v>55853688</v>
      </c>
    </row>
    <row r="9" spans="1:4" ht="12.75" customHeight="1">
      <c r="A9" t="s">
        <v>402</v>
      </c>
      <c r="B9" t="s">
        <v>124</v>
      </c>
      <c r="C9" s="462">
        <v>0</v>
      </c>
      <c r="D9" s="490">
        <v>55853688</v>
      </c>
    </row>
    <row r="10" spans="1:4" ht="12.75" customHeight="1">
      <c r="A10" t="s">
        <v>403</v>
      </c>
      <c r="B10" t="s">
        <v>124</v>
      </c>
      <c r="C10" s="462">
        <v>0</v>
      </c>
      <c r="D10" s="490">
        <v>18963920</v>
      </c>
    </row>
    <row r="11" spans="1:4" ht="12.75" customHeight="1">
      <c r="A11" t="s">
        <v>404</v>
      </c>
      <c r="B11" t="s">
        <v>124</v>
      </c>
      <c r="C11" s="462">
        <v>0</v>
      </c>
      <c r="D11" s="492">
        <v>18963920</v>
      </c>
    </row>
    <row r="12" spans="1:4" ht="12.75" customHeight="1">
      <c r="A12" t="s">
        <v>125</v>
      </c>
      <c r="B12" t="s">
        <v>124</v>
      </c>
      <c r="C12" s="462">
        <v>0</v>
      </c>
      <c r="D12" s="490">
        <v>20985120</v>
      </c>
    </row>
    <row r="13" spans="1:4" ht="12.75" customHeight="1">
      <c r="A13" t="s">
        <v>405</v>
      </c>
      <c r="B13" t="s">
        <v>124</v>
      </c>
      <c r="C13" s="462">
        <v>0</v>
      </c>
      <c r="D13" s="492">
        <v>20985120</v>
      </c>
    </row>
    <row r="14" spans="1:4" ht="12.75" customHeight="1">
      <c r="A14" t="s">
        <v>126</v>
      </c>
      <c r="B14" t="s">
        <v>124</v>
      </c>
      <c r="C14" s="462">
        <v>0</v>
      </c>
      <c r="D14" s="490">
        <v>100000</v>
      </c>
    </row>
    <row r="15" spans="1:4" ht="12.75" customHeight="1">
      <c r="A15" t="s">
        <v>406</v>
      </c>
      <c r="B15" t="s">
        <v>124</v>
      </c>
      <c r="C15" s="462">
        <v>0</v>
      </c>
      <c r="D15" s="492">
        <v>100000</v>
      </c>
    </row>
    <row r="16" spans="1:4" ht="12.75" customHeight="1">
      <c r="A16" t="s">
        <v>127</v>
      </c>
      <c r="B16" t="s">
        <v>124</v>
      </c>
      <c r="C16" s="462">
        <v>0</v>
      </c>
      <c r="D16" s="490">
        <v>15804648</v>
      </c>
    </row>
    <row r="17" spans="1:4" ht="12.75" customHeight="1">
      <c r="A17" t="s">
        <v>407</v>
      </c>
      <c r="B17" t="s">
        <v>124</v>
      </c>
      <c r="C17" s="462">
        <v>0</v>
      </c>
      <c r="D17" s="492">
        <v>15804648</v>
      </c>
    </row>
    <row r="18" spans="1:4" ht="12.75" customHeight="1">
      <c r="A18" t="s">
        <v>408</v>
      </c>
      <c r="B18" t="s">
        <v>124</v>
      </c>
      <c r="C18" s="462">
        <v>0</v>
      </c>
      <c r="D18" s="491">
        <v>16229700</v>
      </c>
    </row>
    <row r="19" spans="1:4" ht="12.75" customHeight="1">
      <c r="A19" t="s">
        <v>409</v>
      </c>
      <c r="B19" t="s">
        <v>124</v>
      </c>
      <c r="C19" s="462">
        <v>0</v>
      </c>
      <c r="D19" s="490">
        <v>16229700</v>
      </c>
    </row>
    <row r="20" spans="1:4" ht="12.75" customHeight="1">
      <c r="A20" t="s">
        <v>410</v>
      </c>
      <c r="B20" t="s">
        <v>411</v>
      </c>
      <c r="C20" s="462">
        <v>131</v>
      </c>
      <c r="D20" s="491">
        <v>13100</v>
      </c>
    </row>
    <row r="21" spans="1:4" ht="12.75" customHeight="1">
      <c r="A21" t="s">
        <v>412</v>
      </c>
      <c r="B21" t="s">
        <v>124</v>
      </c>
      <c r="C21" s="462">
        <v>0</v>
      </c>
      <c r="D21" s="490">
        <v>20651160</v>
      </c>
    </row>
    <row r="22" ht="12.75" customHeight="1">
      <c r="A22" t="s">
        <v>413</v>
      </c>
    </row>
    <row r="23" spans="1:4" ht="12.75" customHeight="1">
      <c r="A23" t="s">
        <v>414</v>
      </c>
      <c r="B23" t="s">
        <v>124</v>
      </c>
      <c r="C23" s="462">
        <v>0</v>
      </c>
      <c r="D23" s="490">
        <v>57411388</v>
      </c>
    </row>
    <row r="24" spans="1:4" ht="12.75" customHeight="1">
      <c r="A24" t="s">
        <v>415</v>
      </c>
      <c r="B24" t="s">
        <v>124</v>
      </c>
      <c r="C24" s="462">
        <v>0</v>
      </c>
      <c r="D24" s="491">
        <v>36760228</v>
      </c>
    </row>
    <row r="25" spans="1:4" ht="12.75" customHeight="1">
      <c r="A25" t="s">
        <v>416</v>
      </c>
      <c r="D25" s="668">
        <f>+D27+D29+D31+D32+D34+D36</f>
        <v>31607690</v>
      </c>
    </row>
    <row r="26" ht="12.75" customHeight="1">
      <c r="A26" t="s">
        <v>417</v>
      </c>
    </row>
    <row r="27" spans="1:4" ht="12.75" customHeight="1">
      <c r="A27" t="s">
        <v>418</v>
      </c>
      <c r="B27" t="s">
        <v>124</v>
      </c>
      <c r="C27" s="463">
        <v>1.2022</v>
      </c>
      <c r="D27" s="490">
        <v>2374345</v>
      </c>
    </row>
    <row r="28" ht="12.75" customHeight="1">
      <c r="A28" t="s">
        <v>419</v>
      </c>
    </row>
    <row r="29" spans="1:4" ht="12.75" customHeight="1">
      <c r="A29" t="s">
        <v>420</v>
      </c>
      <c r="B29" t="s">
        <v>124</v>
      </c>
      <c r="C29" s="463">
        <v>1.2022</v>
      </c>
      <c r="D29" s="490">
        <v>2374345</v>
      </c>
    </row>
    <row r="30" spans="1:4" ht="12.75" customHeight="1">
      <c r="A30" t="s">
        <v>421</v>
      </c>
      <c r="B30" t="s">
        <v>422</v>
      </c>
      <c r="C30" s="462">
        <v>0</v>
      </c>
      <c r="D30" s="490">
        <v>0</v>
      </c>
    </row>
    <row r="31" spans="1:4" ht="12.75" customHeight="1">
      <c r="A31" t="s">
        <v>423</v>
      </c>
      <c r="B31" t="s">
        <v>124</v>
      </c>
      <c r="C31" s="462">
        <v>75</v>
      </c>
      <c r="D31" s="490">
        <v>4152000</v>
      </c>
    </row>
    <row r="32" spans="1:4" ht="12.75" customHeight="1">
      <c r="A32" t="s">
        <v>424</v>
      </c>
      <c r="B32" t="s">
        <v>124</v>
      </c>
      <c r="C32" s="462">
        <v>39</v>
      </c>
      <c r="D32" s="490">
        <v>5655000</v>
      </c>
    </row>
    <row r="33" ht="12.75" customHeight="1">
      <c r="A33" t="s">
        <v>425</v>
      </c>
    </row>
    <row r="34" spans="1:4" ht="12.75" customHeight="1">
      <c r="A34" t="s">
        <v>426</v>
      </c>
      <c r="B34" t="s">
        <v>124</v>
      </c>
      <c r="C34" s="462">
        <v>28</v>
      </c>
      <c r="D34" s="490">
        <v>3052000</v>
      </c>
    </row>
    <row r="35" ht="12.75" customHeight="1">
      <c r="A35" t="s">
        <v>427</v>
      </c>
    </row>
    <row r="36" spans="1:4" ht="12.75" customHeight="1">
      <c r="A36" t="s">
        <v>428</v>
      </c>
      <c r="B36" t="s">
        <v>124</v>
      </c>
      <c r="C36" s="462">
        <v>28</v>
      </c>
      <c r="D36" s="490">
        <v>14000000</v>
      </c>
    </row>
    <row r="37" spans="1:4" ht="12.75">
      <c r="A37" t="s">
        <v>503</v>
      </c>
      <c r="B37">
        <v>1140</v>
      </c>
      <c r="C37">
        <v>6011</v>
      </c>
      <c r="D37" s="105">
        <f>+C37*B37</f>
        <v>6852540</v>
      </c>
    </row>
    <row r="38" spans="1:4" ht="12.75">
      <c r="A38" t="s">
        <v>504</v>
      </c>
      <c r="D38" s="105">
        <v>278850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&amp;L10. melléklet a 2014. évi 2/2014.(I.24.) Önkormányzati költségvetési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59"/>
  <sheetViews>
    <sheetView zoomScalePageLayoutView="0" workbookViewId="0" topLeftCell="A5">
      <selection activeCell="H27" sqref="H27"/>
    </sheetView>
  </sheetViews>
  <sheetFormatPr defaultColWidth="9.140625" defaultRowHeight="18.75" customHeight="1"/>
  <cols>
    <col min="1" max="1" width="6.00390625" style="0" customWidth="1"/>
    <col min="2" max="2" width="32.421875" style="0" customWidth="1"/>
    <col min="3" max="4" width="13.00390625" style="0" customWidth="1"/>
    <col min="5" max="5" width="18.421875" style="0" customWidth="1"/>
    <col min="6" max="7" width="11.00390625" style="0" customWidth="1"/>
    <col min="8" max="8" width="12.28125" style="0" customWidth="1"/>
    <col min="9" max="9" width="7.421875" style="0" customWidth="1"/>
    <col min="10" max="10" width="11.00390625" style="0" customWidth="1"/>
    <col min="11" max="11" width="13.28125" style="0" bestFit="1" customWidth="1"/>
  </cols>
  <sheetData>
    <row r="2" spans="1:11" ht="18.75" customHeight="1">
      <c r="A2" s="686" t="s">
        <v>487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</row>
    <row r="3" spans="2:11" ht="18.75" customHeight="1">
      <c r="B3" s="180"/>
      <c r="C3" s="180"/>
      <c r="D3" s="180"/>
      <c r="E3" s="180"/>
      <c r="F3" s="180"/>
      <c r="G3" s="180"/>
      <c r="H3" s="180"/>
      <c r="I3" s="180"/>
      <c r="J3" s="180"/>
      <c r="K3" s="84" t="s">
        <v>211</v>
      </c>
    </row>
    <row r="4" spans="1:11" ht="18.75" customHeight="1" thickBot="1">
      <c r="A4" t="s">
        <v>11</v>
      </c>
      <c r="B4" s="180" t="s">
        <v>12</v>
      </c>
      <c r="C4" s="180" t="s">
        <v>13</v>
      </c>
      <c r="D4" s="180" t="s">
        <v>14</v>
      </c>
      <c r="E4" s="180" t="s">
        <v>15</v>
      </c>
      <c r="F4" s="180" t="s">
        <v>16</v>
      </c>
      <c r="G4" s="180" t="s">
        <v>17</v>
      </c>
      <c r="H4" s="180" t="s">
        <v>18</v>
      </c>
      <c r="I4" s="180" t="s">
        <v>59</v>
      </c>
      <c r="J4" s="180" t="s">
        <v>19</v>
      </c>
      <c r="K4" s="180" t="s">
        <v>363</v>
      </c>
    </row>
    <row r="5" spans="1:11" ht="18.75" customHeight="1">
      <c r="A5" t="s">
        <v>20</v>
      </c>
      <c r="B5" s="687" t="s">
        <v>212</v>
      </c>
      <c r="C5" s="687" t="s">
        <v>213</v>
      </c>
      <c r="D5" s="690" t="s">
        <v>214</v>
      </c>
      <c r="E5" s="687" t="s">
        <v>215</v>
      </c>
      <c r="F5" s="687" t="s">
        <v>216</v>
      </c>
      <c r="G5" s="670" t="s">
        <v>217</v>
      </c>
      <c r="H5" s="670"/>
      <c r="I5" s="670"/>
      <c r="J5" s="670"/>
      <c r="K5" s="687" t="s">
        <v>5</v>
      </c>
    </row>
    <row r="6" spans="2:11" ht="18.75" customHeight="1">
      <c r="B6" s="688"/>
      <c r="C6" s="688"/>
      <c r="D6" s="691"/>
      <c r="E6" s="688"/>
      <c r="F6" s="688"/>
      <c r="G6" s="671" t="s">
        <v>218</v>
      </c>
      <c r="H6" s="673" t="s">
        <v>219</v>
      </c>
      <c r="I6" s="673" t="s">
        <v>66</v>
      </c>
      <c r="J6" s="692" t="s">
        <v>220</v>
      </c>
      <c r="K6" s="688"/>
    </row>
    <row r="7" spans="2:11" ht="51" customHeight="1" thickBot="1">
      <c r="B7" s="689"/>
      <c r="C7" s="689"/>
      <c r="D7" s="669"/>
      <c r="E7" s="689"/>
      <c r="F7" s="689"/>
      <c r="G7" s="672"/>
      <c r="H7" s="667"/>
      <c r="I7" s="667"/>
      <c r="J7" s="693"/>
      <c r="K7" s="689"/>
    </row>
    <row r="8" spans="1:11" ht="18.75" customHeight="1">
      <c r="A8" t="s">
        <v>21</v>
      </c>
      <c r="B8" s="182" t="s">
        <v>68</v>
      </c>
      <c r="C8" s="183"/>
      <c r="D8" s="184"/>
      <c r="E8" s="185"/>
      <c r="F8" s="183"/>
      <c r="G8" s="186"/>
      <c r="H8" s="187"/>
      <c r="I8" s="187"/>
      <c r="J8" s="188"/>
      <c r="K8" s="189"/>
    </row>
    <row r="9" spans="1:11" ht="29.25" customHeight="1">
      <c r="A9" t="s">
        <v>22</v>
      </c>
      <c r="B9" s="190" t="s">
        <v>268</v>
      </c>
      <c r="C9" s="265">
        <f>+4mell!D25-1560-3364</f>
        <v>99516</v>
      </c>
      <c r="D9" s="263">
        <f>+4mell!E25-421-908</f>
        <v>26594</v>
      </c>
      <c r="E9" s="264">
        <f>+4mell!F25</f>
        <v>35344</v>
      </c>
      <c r="F9" s="192"/>
      <c r="G9" s="193">
        <f>+4mell!I25</f>
        <v>113225</v>
      </c>
      <c r="H9" s="194"/>
      <c r="I9" s="194"/>
      <c r="J9" s="195"/>
      <c r="K9" s="196">
        <f>SUM(C9:J9)</f>
        <v>274679</v>
      </c>
    </row>
    <row r="10" spans="1:11" ht="18.75" customHeight="1" thickBot="1">
      <c r="A10" t="s">
        <v>23</v>
      </c>
      <c r="B10" s="197" t="s">
        <v>221</v>
      </c>
      <c r="C10" s="198">
        <f>1560+3364</f>
        <v>4924</v>
      </c>
      <c r="D10" s="199">
        <f>421+908</f>
        <v>1329</v>
      </c>
      <c r="E10" s="198"/>
      <c r="F10" s="200"/>
      <c r="G10" s="201"/>
      <c r="H10" s="202"/>
      <c r="I10" s="202"/>
      <c r="J10" s="203"/>
      <c r="K10" s="204">
        <f>+J10+F10+E10+D10+C10</f>
        <v>6253</v>
      </c>
    </row>
    <row r="11" spans="1:11" ht="18.75" customHeight="1" thickBot="1">
      <c r="A11" t="s">
        <v>24</v>
      </c>
      <c r="B11" s="205" t="s">
        <v>222</v>
      </c>
      <c r="C11" s="206">
        <f>SUM(C9:C10)</f>
        <v>104440</v>
      </c>
      <c r="D11" s="206">
        <f aca="true" t="shared" si="0" ref="D11:J11">SUM(D9:D10)</f>
        <v>27923</v>
      </c>
      <c r="E11" s="206">
        <f t="shared" si="0"/>
        <v>35344</v>
      </c>
      <c r="F11" s="206">
        <f t="shared" si="0"/>
        <v>0</v>
      </c>
      <c r="G11" s="206">
        <f t="shared" si="0"/>
        <v>113225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6">
        <f>SUM(K9:K10)</f>
        <v>280932</v>
      </c>
    </row>
    <row r="12" spans="1:11" ht="18.75" customHeight="1">
      <c r="A12" t="s">
        <v>25</v>
      </c>
      <c r="B12" s="182" t="s">
        <v>223</v>
      </c>
      <c r="C12" s="189"/>
      <c r="D12" s="210"/>
      <c r="E12" s="189"/>
      <c r="F12" s="211"/>
      <c r="G12" s="212"/>
      <c r="H12" s="213"/>
      <c r="I12" s="213"/>
      <c r="J12" s="188"/>
      <c r="K12" s="189"/>
    </row>
    <row r="13" spans="1:11" ht="18.75" customHeight="1">
      <c r="A13" t="s">
        <v>26</v>
      </c>
      <c r="B13" s="190" t="s">
        <v>224</v>
      </c>
      <c r="C13" s="192">
        <f>+'[4]ÖK 2014'!$H$49/1000</f>
        <v>1412</v>
      </c>
      <c r="D13" s="191">
        <f>+'[4]ÖK 2014'!$H$55/1000</f>
        <v>381.24</v>
      </c>
      <c r="E13" s="192">
        <f>+'[4]ÖK 2014'!$H$66/1000</f>
        <v>2104.96</v>
      </c>
      <c r="F13" s="214"/>
      <c r="G13" s="215"/>
      <c r="H13" s="216"/>
      <c r="I13" s="216"/>
      <c r="J13" s="195"/>
      <c r="K13" s="196">
        <f>SUM(C13:J13)</f>
        <v>3898.2</v>
      </c>
    </row>
    <row r="14" spans="1:11" ht="18.75" customHeight="1">
      <c r="A14" t="s">
        <v>27</v>
      </c>
      <c r="B14" s="190" t="s">
        <v>225</v>
      </c>
      <c r="C14" s="192"/>
      <c r="D14" s="191"/>
      <c r="E14" s="192"/>
      <c r="F14" s="192"/>
      <c r="G14" s="193"/>
      <c r="H14" s="194"/>
      <c r="I14" s="194"/>
      <c r="J14" s="195"/>
      <c r="K14" s="196">
        <f aca="true" t="shared" si="1" ref="K14:K20">SUM(C14:J14)</f>
        <v>0</v>
      </c>
    </row>
    <row r="15" spans="1:11" ht="18.75" customHeight="1">
      <c r="A15" t="s">
        <v>28</v>
      </c>
      <c r="B15" s="190" t="s">
        <v>218</v>
      </c>
      <c r="C15" s="192"/>
      <c r="D15" s="191"/>
      <c r="E15" s="192"/>
      <c r="F15" s="192"/>
      <c r="G15" s="193">
        <f>+4mell!I18</f>
        <v>5114</v>
      </c>
      <c r="H15" s="194"/>
      <c r="I15" s="194"/>
      <c r="J15" s="195"/>
      <c r="K15" s="196">
        <f t="shared" si="1"/>
        <v>5114</v>
      </c>
    </row>
    <row r="16" spans="1:11" ht="15">
      <c r="A16" t="s">
        <v>29</v>
      </c>
      <c r="B16" s="190" t="s">
        <v>226</v>
      </c>
      <c r="C16" s="192"/>
      <c r="D16" s="191"/>
      <c r="E16" s="192"/>
      <c r="F16" s="214"/>
      <c r="G16" s="215"/>
      <c r="H16" s="194">
        <f>+4mell!H18</f>
        <v>26169</v>
      </c>
      <c r="I16" s="194">
        <f>+5mell!C19</f>
        <v>3000</v>
      </c>
      <c r="J16" s="195"/>
      <c r="K16" s="196">
        <f t="shared" si="1"/>
        <v>29169</v>
      </c>
    </row>
    <row r="17" spans="1:11" ht="15">
      <c r="A17" t="s">
        <v>30</v>
      </c>
      <c r="B17" s="190" t="s">
        <v>269</v>
      </c>
      <c r="C17" s="192"/>
      <c r="D17" s="191"/>
      <c r="E17" s="192">
        <f>+'[4]ÖK 2014'!$H$78</f>
        <v>507.492</v>
      </c>
      <c r="F17" s="214"/>
      <c r="G17" s="215"/>
      <c r="H17" s="194"/>
      <c r="I17" s="194"/>
      <c r="J17" s="195"/>
      <c r="K17" s="196">
        <f t="shared" si="1"/>
        <v>507.492</v>
      </c>
    </row>
    <row r="18" spans="1:11" ht="18.75" customHeight="1">
      <c r="A18" t="s">
        <v>31</v>
      </c>
      <c r="B18" s="190" t="s">
        <v>486</v>
      </c>
      <c r="C18" s="219">
        <f>+'[4]ÖK 2014'!$H$12</f>
        <v>1620</v>
      </c>
      <c r="D18" s="493">
        <f>+'[4]ÖK 2014'!$H$17</f>
        <v>393.66</v>
      </c>
      <c r="E18" s="219"/>
      <c r="F18" s="219"/>
      <c r="G18" s="220"/>
      <c r="H18" s="221"/>
      <c r="I18" s="621"/>
      <c r="J18" s="222"/>
      <c r="K18" s="196">
        <f t="shared" si="1"/>
        <v>2013.66</v>
      </c>
    </row>
    <row r="19" spans="1:11" ht="18.75" customHeight="1">
      <c r="A19" t="s">
        <v>32</v>
      </c>
      <c r="B19" s="190" t="s">
        <v>500</v>
      </c>
      <c r="C19" s="219"/>
      <c r="D19" s="493"/>
      <c r="E19" s="219"/>
      <c r="F19" s="219">
        <f>+7mell!C21</f>
        <v>35878</v>
      </c>
      <c r="G19" s="220"/>
      <c r="H19" s="221"/>
      <c r="I19" s="621"/>
      <c r="J19" s="222"/>
      <c r="K19" s="196"/>
    </row>
    <row r="20" spans="1:11" ht="18.75" customHeight="1">
      <c r="A20" t="s">
        <v>33</v>
      </c>
      <c r="B20" s="190" t="s">
        <v>484</v>
      </c>
      <c r="C20" s="217"/>
      <c r="D20" s="218"/>
      <c r="E20" s="217">
        <f>+9mell!E16</f>
        <v>9450</v>
      </c>
      <c r="F20" s="217"/>
      <c r="G20" s="220"/>
      <c r="H20" s="221"/>
      <c r="I20" s="221"/>
      <c r="J20" s="222"/>
      <c r="K20" s="196">
        <f t="shared" si="1"/>
        <v>9450</v>
      </c>
    </row>
    <row r="21" spans="1:11" ht="18.75" customHeight="1">
      <c r="A21" t="s">
        <v>34</v>
      </c>
      <c r="B21" s="190" t="s">
        <v>485</v>
      </c>
      <c r="C21" s="192"/>
      <c r="D21" s="191"/>
      <c r="E21" s="192">
        <f>+9mell!E15+9mell!E14</f>
        <v>3067</v>
      </c>
      <c r="F21" s="192"/>
      <c r="G21" s="193"/>
      <c r="H21" s="194"/>
      <c r="I21" s="194"/>
      <c r="J21" s="627"/>
      <c r="K21" s="196">
        <f>SUM(C21:J21)</f>
        <v>3067</v>
      </c>
    </row>
    <row r="22" spans="1:11" ht="18.75" customHeight="1" thickBot="1">
      <c r="A22" t="s">
        <v>35</v>
      </c>
      <c r="B22" s="622" t="s">
        <v>220</v>
      </c>
      <c r="C22" s="623"/>
      <c r="D22" s="224"/>
      <c r="E22" s="623"/>
      <c r="F22" s="623"/>
      <c r="G22" s="624"/>
      <c r="H22" s="625"/>
      <c r="I22" s="625"/>
      <c r="J22" s="626">
        <f>+3mell!J7+3mell!J12+3mell!J17+3mell!J30</f>
        <v>477163</v>
      </c>
      <c r="K22" s="196">
        <f>SUM(C22:J22)</f>
        <v>477163</v>
      </c>
    </row>
    <row r="23" spans="1:11" ht="18.75" customHeight="1" thickBot="1">
      <c r="A23" t="s">
        <v>36</v>
      </c>
      <c r="B23" s="205" t="s">
        <v>227</v>
      </c>
      <c r="C23" s="206">
        <f>SUM(C13:C21)</f>
        <v>3032</v>
      </c>
      <c r="D23" s="207">
        <f aca="true" t="shared" si="2" ref="D23:I23">SUM(D13:D21)</f>
        <v>774.9000000000001</v>
      </c>
      <c r="E23" s="206">
        <f t="shared" si="2"/>
        <v>15129.452000000001</v>
      </c>
      <c r="F23" s="206">
        <f t="shared" si="2"/>
        <v>35878</v>
      </c>
      <c r="G23" s="208">
        <f t="shared" si="2"/>
        <v>5114</v>
      </c>
      <c r="H23" s="209">
        <f t="shared" si="2"/>
        <v>26169</v>
      </c>
      <c r="I23" s="209">
        <f t="shared" si="2"/>
        <v>3000</v>
      </c>
      <c r="J23" s="209">
        <f>SUM(J13:J22)</f>
        <v>477163</v>
      </c>
      <c r="K23" s="206">
        <f>SUM(K13:K22)</f>
        <v>530382.352</v>
      </c>
    </row>
    <row r="24" spans="2:11" ht="18.75" customHeight="1">
      <c r="B24" s="223"/>
      <c r="C24" s="224"/>
      <c r="D24" s="224"/>
      <c r="E24" s="224"/>
      <c r="F24" s="224"/>
      <c r="G24" s="224"/>
      <c r="H24" s="224"/>
      <c r="I24" s="224"/>
      <c r="J24" s="224"/>
      <c r="K24" s="225"/>
    </row>
    <row r="25" spans="2:11" ht="18.75" customHeight="1">
      <c r="B25" s="223"/>
      <c r="C25" s="224"/>
      <c r="D25" s="224"/>
      <c r="E25" s="224"/>
      <c r="F25" s="224"/>
      <c r="G25" s="224"/>
      <c r="H25" s="224"/>
      <c r="I25" s="224"/>
      <c r="J25" s="224"/>
      <c r="K25" s="225"/>
    </row>
    <row r="26" spans="2:11" ht="18.75" customHeight="1">
      <c r="B26" s="223"/>
      <c r="C26" s="224"/>
      <c r="D26" s="224"/>
      <c r="E26" s="224"/>
      <c r="F26" s="224"/>
      <c r="G26" s="224"/>
      <c r="H26" s="224"/>
      <c r="I26" s="224"/>
      <c r="J26" s="224"/>
      <c r="K26" s="225"/>
    </row>
    <row r="27" spans="2:11" ht="18.75" customHeight="1">
      <c r="B27" s="223"/>
      <c r="C27" s="224"/>
      <c r="D27" s="224"/>
      <c r="E27" s="224"/>
      <c r="F27" s="224"/>
      <c r="G27" s="224"/>
      <c r="H27" s="224"/>
      <c r="I27" s="224"/>
      <c r="J27" s="224"/>
      <c r="K27" s="225"/>
    </row>
    <row r="28" spans="2:11" ht="30.75" customHeight="1">
      <c r="B28" s="223"/>
      <c r="C28" s="224"/>
      <c r="D28" s="224"/>
      <c r="E28" s="224"/>
      <c r="F28" s="224"/>
      <c r="G28" s="224"/>
      <c r="H28" s="224"/>
      <c r="I28" s="224"/>
      <c r="J28" s="224"/>
      <c r="K28" s="225"/>
    </row>
    <row r="29" spans="2:11" ht="18.75" customHeight="1">
      <c r="B29" s="223"/>
      <c r="C29" s="224"/>
      <c r="D29" s="224"/>
      <c r="E29" s="224"/>
      <c r="F29" s="224"/>
      <c r="G29" s="224"/>
      <c r="H29" s="224"/>
      <c r="I29" s="224"/>
      <c r="J29" s="224"/>
      <c r="K29" s="225"/>
    </row>
    <row r="30" spans="2:11" ht="18.75" customHeight="1">
      <c r="B30" s="223"/>
      <c r="C30" s="224"/>
      <c r="D30" s="224"/>
      <c r="E30" s="224"/>
      <c r="F30" s="224"/>
      <c r="G30" s="224"/>
      <c r="H30" s="224"/>
      <c r="I30" s="224"/>
      <c r="J30" s="224"/>
      <c r="K30" s="225"/>
    </row>
    <row r="31" spans="2:11" ht="18.75" customHeight="1">
      <c r="B31" s="226"/>
      <c r="C31" s="227"/>
      <c r="D31" s="227"/>
      <c r="E31" s="224"/>
      <c r="F31" s="224"/>
      <c r="G31" s="224"/>
      <c r="H31" s="224"/>
      <c r="I31" s="224"/>
      <c r="J31" s="224"/>
      <c r="K31" s="225"/>
    </row>
    <row r="32" spans="2:11" ht="18.75" customHeight="1">
      <c r="B32" s="226"/>
      <c r="C32" s="227"/>
      <c r="D32" s="227"/>
      <c r="E32" s="224"/>
      <c r="F32" s="224"/>
      <c r="G32" s="224"/>
      <c r="H32" s="224"/>
      <c r="I32" s="224"/>
      <c r="J32" s="224"/>
      <c r="K32" s="225"/>
    </row>
    <row r="33" spans="2:11" ht="18.75" customHeight="1">
      <c r="B33" s="228"/>
      <c r="C33" s="224"/>
      <c r="D33" s="224"/>
      <c r="E33" s="224"/>
      <c r="F33" s="224"/>
      <c r="G33" s="224"/>
      <c r="H33" s="224"/>
      <c r="I33" s="224"/>
      <c r="J33" s="224"/>
      <c r="K33" s="225"/>
    </row>
    <row r="34" spans="2:11" ht="18.75" customHeight="1">
      <c r="B34" s="223"/>
      <c r="C34" s="224"/>
      <c r="D34" s="224"/>
      <c r="E34" s="224"/>
      <c r="F34" s="224"/>
      <c r="G34" s="224"/>
      <c r="H34" s="224"/>
      <c r="I34" s="224"/>
      <c r="J34" s="224"/>
      <c r="K34" s="225"/>
    </row>
    <row r="35" spans="2:11" ht="18.75" customHeight="1">
      <c r="B35" s="223"/>
      <c r="C35" s="224"/>
      <c r="D35" s="224"/>
      <c r="E35" s="224"/>
      <c r="F35" s="224"/>
      <c r="G35" s="224"/>
      <c r="H35" s="224"/>
      <c r="I35" s="224"/>
      <c r="J35" s="224"/>
      <c r="K35" s="225"/>
    </row>
    <row r="36" spans="2:11" ht="18.75" customHeight="1">
      <c r="B36" s="178"/>
      <c r="C36" s="178"/>
      <c r="D36" s="178"/>
      <c r="E36" s="178"/>
      <c r="F36" s="178"/>
      <c r="G36" s="178"/>
      <c r="H36" s="178"/>
      <c r="I36" s="178"/>
      <c r="J36" s="178"/>
      <c r="K36" s="178"/>
    </row>
    <row r="37" spans="2:11" ht="18.75" customHeight="1">
      <c r="B37" s="178"/>
      <c r="C37" s="178"/>
      <c r="D37" s="178"/>
      <c r="E37" s="178"/>
      <c r="F37" s="178"/>
      <c r="G37" s="178"/>
      <c r="H37" s="178"/>
      <c r="I37" s="178"/>
      <c r="J37" s="178"/>
      <c r="K37" s="178"/>
    </row>
    <row r="51" spans="2:11" ht="18.75" customHeight="1">
      <c r="B51" s="685"/>
      <c r="C51" s="685"/>
      <c r="D51" s="685"/>
      <c r="E51" s="685"/>
      <c r="F51" s="685"/>
      <c r="G51" s="685"/>
      <c r="H51" s="685"/>
      <c r="I51" s="685"/>
      <c r="J51" s="685"/>
      <c r="K51" s="685"/>
    </row>
    <row r="52" spans="2:11" ht="18.75" customHeight="1">
      <c r="B52" s="230"/>
      <c r="C52" s="178"/>
      <c r="D52" s="178"/>
      <c r="E52" s="178"/>
      <c r="F52" s="178"/>
      <c r="G52" s="178"/>
      <c r="H52" s="178"/>
      <c r="I52" s="178"/>
      <c r="J52" s="178"/>
      <c r="K52" s="178"/>
    </row>
    <row r="53" spans="2:11" ht="18.75" customHeight="1">
      <c r="B53" s="230"/>
      <c r="C53" s="178"/>
      <c r="D53" s="178"/>
      <c r="E53" s="178"/>
      <c r="F53" s="178"/>
      <c r="G53" s="178"/>
      <c r="H53" s="178"/>
      <c r="I53" s="178"/>
      <c r="J53" s="178"/>
      <c r="K53" s="178"/>
    </row>
    <row r="54" spans="2:11" ht="18.75" customHeight="1">
      <c r="B54" s="230"/>
      <c r="C54" s="178"/>
      <c r="D54" s="178"/>
      <c r="E54" s="178"/>
      <c r="F54" s="178"/>
      <c r="G54" s="178"/>
      <c r="H54" s="178"/>
      <c r="I54" s="178"/>
      <c r="J54" s="178"/>
      <c r="K54" s="178"/>
    </row>
    <row r="56" ht="18.75" customHeight="1">
      <c r="B56" s="229"/>
    </row>
    <row r="58" ht="18.75" customHeight="1">
      <c r="B58" s="229"/>
    </row>
    <row r="59" ht="18.75" customHeight="1">
      <c r="B59" s="229"/>
    </row>
  </sheetData>
  <sheetProtection/>
  <mergeCells count="13">
    <mergeCell ref="H6:H7"/>
    <mergeCell ref="I6:I7"/>
    <mergeCell ref="J6:J7"/>
    <mergeCell ref="B51:K51"/>
    <mergeCell ref="A2:K2"/>
    <mergeCell ref="B5:B7"/>
    <mergeCell ref="C5:C7"/>
    <mergeCell ref="D5:D7"/>
    <mergeCell ref="E5:E7"/>
    <mergeCell ref="F5:F7"/>
    <mergeCell ref="G5:J5"/>
    <mergeCell ref="K5:K7"/>
    <mergeCell ref="G6:G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4" r:id="rId1"/>
  <headerFooter alignWithMargins="0">
    <oddHeader>&amp;L11. melléklet a 2014. évi 2/2014.(I.24.) Önkormányzati költségvetési rendelethez&amp;R&amp;D</oddHeader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W78"/>
  <sheetViews>
    <sheetView tabSelected="1" zoomScalePageLayoutView="0" workbookViewId="0" topLeftCell="C50">
      <selection activeCell="N65" sqref="N65"/>
    </sheetView>
  </sheetViews>
  <sheetFormatPr defaultColWidth="9.140625" defaultRowHeight="12.75"/>
  <cols>
    <col min="1" max="1" width="0.2890625" style="231" customWidth="1"/>
    <col min="2" max="2" width="19.28125" style="231" customWidth="1"/>
    <col min="3" max="3" width="9.7109375" style="231" bestFit="1" customWidth="1"/>
    <col min="4" max="4" width="10.140625" style="231" bestFit="1" customWidth="1"/>
    <col min="5" max="5" width="8.28125" style="231" bestFit="1" customWidth="1"/>
    <col min="6" max="6" width="9.57421875" style="231" bestFit="1" customWidth="1"/>
    <col min="7" max="7" width="8.421875" style="231" customWidth="1"/>
    <col min="8" max="8" width="6.421875" style="231" customWidth="1"/>
    <col min="9" max="9" width="8.140625" style="231" bestFit="1" customWidth="1"/>
    <col min="10" max="10" width="7.7109375" style="231" customWidth="1"/>
    <col min="11" max="11" width="9.57421875" style="231" customWidth="1"/>
    <col min="12" max="12" width="8.8515625" style="231" bestFit="1" customWidth="1"/>
    <col min="13" max="13" width="7.8515625" style="231" customWidth="1"/>
    <col min="14" max="14" width="10.7109375" style="231" customWidth="1"/>
    <col min="15" max="15" width="9.28125" style="231" bestFit="1" customWidth="1"/>
    <col min="16" max="18" width="8.421875" style="231" customWidth="1"/>
    <col min="19" max="19" width="10.7109375" style="231" customWidth="1"/>
    <col min="20" max="20" width="7.421875" style="231" customWidth="1"/>
    <col min="21" max="22" width="10.00390625" style="231" customWidth="1"/>
    <col min="23" max="23" width="11.8515625" style="231" customWidth="1"/>
    <col min="24" max="16384" width="9.140625" style="231" customWidth="1"/>
  </cols>
  <sheetData>
    <row r="2" spans="2:13" ht="12.75">
      <c r="B2" s="553" t="s">
        <v>461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</row>
    <row r="3" ht="13.5" thickBot="1"/>
    <row r="4" spans="2:22" ht="13.5" thickBot="1">
      <c r="B4" s="275" t="s">
        <v>294</v>
      </c>
      <c r="C4" s="697" t="s">
        <v>172</v>
      </c>
      <c r="D4" s="697"/>
      <c r="E4" s="697"/>
      <c r="F4" s="697"/>
      <c r="G4" s="697"/>
      <c r="H4" s="697"/>
      <c r="I4" s="697"/>
      <c r="J4" s="697"/>
      <c r="K4" s="698"/>
      <c r="L4" s="699" t="s">
        <v>295</v>
      </c>
      <c r="M4" s="697"/>
      <c r="N4" s="697"/>
      <c r="O4" s="697"/>
      <c r="P4" s="697"/>
      <c r="Q4" s="697"/>
      <c r="R4" s="697"/>
      <c r="S4" s="697"/>
      <c r="T4" s="697"/>
      <c r="U4" s="697"/>
      <c r="V4" s="698"/>
    </row>
    <row r="5" spans="2:22" ht="13.5" thickBot="1">
      <c r="B5" s="346"/>
      <c r="C5" s="345"/>
      <c r="D5" s="345"/>
      <c r="E5" s="345"/>
      <c r="F5" s="345"/>
      <c r="G5" s="345"/>
      <c r="H5" s="345"/>
      <c r="I5" s="345"/>
      <c r="J5" s="345"/>
      <c r="K5" s="346"/>
      <c r="L5" s="345"/>
      <c r="M5" s="345"/>
      <c r="N5" s="330"/>
      <c r="O5" s="694" t="s">
        <v>279</v>
      </c>
      <c r="P5" s="695"/>
      <c r="Q5" s="695"/>
      <c r="R5" s="695"/>
      <c r="S5" s="695"/>
      <c r="T5" s="695"/>
      <c r="U5" s="696"/>
      <c r="V5" s="360"/>
    </row>
    <row r="6" spans="2:22" s="268" customFormat="1" ht="77.25" thickBot="1">
      <c r="B6" s="356" t="s">
        <v>231</v>
      </c>
      <c r="C6" s="554" t="s">
        <v>52</v>
      </c>
      <c r="D6" s="554" t="s">
        <v>232</v>
      </c>
      <c r="E6" s="554" t="s">
        <v>233</v>
      </c>
      <c r="F6" s="554" t="s">
        <v>57</v>
      </c>
      <c r="G6" s="357" t="s">
        <v>275</v>
      </c>
      <c r="H6" s="357" t="s">
        <v>276</v>
      </c>
      <c r="I6" s="357" t="s">
        <v>58</v>
      </c>
      <c r="J6" s="357" t="s">
        <v>9</v>
      </c>
      <c r="K6" s="555" t="s">
        <v>277</v>
      </c>
      <c r="L6" s="554" t="s">
        <v>248</v>
      </c>
      <c r="M6" s="554" t="s">
        <v>247</v>
      </c>
      <c r="N6" s="357" t="s">
        <v>246</v>
      </c>
      <c r="O6" s="510" t="s">
        <v>263</v>
      </c>
      <c r="P6" s="358" t="s">
        <v>462</v>
      </c>
      <c r="Q6" s="358" t="s">
        <v>288</v>
      </c>
      <c r="R6" s="359" t="s">
        <v>289</v>
      </c>
      <c r="S6" s="358" t="s">
        <v>291</v>
      </c>
      <c r="T6" s="359" t="s">
        <v>292</v>
      </c>
      <c r="U6" s="367" t="s">
        <v>290</v>
      </c>
      <c r="V6" s="356" t="s">
        <v>293</v>
      </c>
    </row>
    <row r="7" spans="2:22" s="268" customFormat="1" ht="12.75">
      <c r="B7" s="347"/>
      <c r="C7" s="556"/>
      <c r="D7" s="556"/>
      <c r="E7" s="556"/>
      <c r="F7" s="556"/>
      <c r="G7" s="332"/>
      <c r="H7" s="332"/>
      <c r="I7" s="332"/>
      <c r="J7" s="332"/>
      <c r="K7" s="557"/>
      <c r="L7" s="556"/>
      <c r="M7" s="556"/>
      <c r="N7" s="332"/>
      <c r="O7" s="558"/>
      <c r="P7" s="333"/>
      <c r="Q7" s="333"/>
      <c r="R7" s="333"/>
      <c r="S7" s="333"/>
      <c r="T7" s="333"/>
      <c r="U7" s="342"/>
      <c r="V7" s="361"/>
    </row>
    <row r="8" spans="2:23" ht="12.75">
      <c r="B8" s="348" t="s">
        <v>280</v>
      </c>
      <c r="C8" s="337">
        <v>266</v>
      </c>
      <c r="D8" s="337">
        <v>72</v>
      </c>
      <c r="E8" s="337">
        <v>17983</v>
      </c>
      <c r="F8" s="236">
        <f>SUM(C8:E8)</f>
        <v>18321</v>
      </c>
      <c r="G8" s="236"/>
      <c r="H8" s="236"/>
      <c r="I8" s="236"/>
      <c r="J8" s="236"/>
      <c r="K8" s="352">
        <f>SUM(F8:J8)</f>
        <v>18321</v>
      </c>
      <c r="L8" s="559">
        <v>7493</v>
      </c>
      <c r="M8" s="330"/>
      <c r="N8" s="330"/>
      <c r="O8" s="368">
        <v>4152</v>
      </c>
      <c r="P8" s="330"/>
      <c r="Q8" s="330">
        <v>6676</v>
      </c>
      <c r="R8" s="330"/>
      <c r="S8" s="330"/>
      <c r="T8" s="330"/>
      <c r="U8" s="331"/>
      <c r="V8" s="352">
        <f>SUM(L8:U8)</f>
        <v>18321</v>
      </c>
      <c r="W8" s="232">
        <f>+V8-K8</f>
        <v>0</v>
      </c>
    </row>
    <row r="9" spans="2:23" ht="12.75">
      <c r="B9" s="348" t="s">
        <v>234</v>
      </c>
      <c r="C9" s="337">
        <v>3259</v>
      </c>
      <c r="D9" s="337">
        <v>880</v>
      </c>
      <c r="E9" s="337">
        <v>2761</v>
      </c>
      <c r="F9" s="236">
        <f>SUM(C9:E9)</f>
        <v>6900</v>
      </c>
      <c r="G9" s="236"/>
      <c r="H9" s="236"/>
      <c r="I9" s="236"/>
      <c r="J9" s="236"/>
      <c r="K9" s="352">
        <f aca="true" t="shared" si="0" ref="K9:K21">SUM(F9:J9)</f>
        <v>6900</v>
      </c>
      <c r="L9" s="330"/>
      <c r="M9" s="330"/>
      <c r="N9" s="337"/>
      <c r="O9" s="336"/>
      <c r="P9" s="330"/>
      <c r="Q9" s="330">
        <v>6900</v>
      </c>
      <c r="R9" s="330"/>
      <c r="S9" s="330"/>
      <c r="T9" s="330"/>
      <c r="U9" s="331"/>
      <c r="V9" s="352">
        <f aca="true" t="shared" si="1" ref="V9:V21">SUM(L9:U9)</f>
        <v>6900</v>
      </c>
      <c r="W9" s="232">
        <f aca="true" t="shared" si="2" ref="W9:W21">+V9-K9</f>
        <v>0</v>
      </c>
    </row>
    <row r="10" spans="2:23" ht="12.75">
      <c r="B10" s="348" t="s">
        <v>235</v>
      </c>
      <c r="C10" s="337">
        <v>4551</v>
      </c>
      <c r="D10" s="337">
        <v>1066</v>
      </c>
      <c r="E10" s="337">
        <v>2383</v>
      </c>
      <c r="F10" s="236">
        <f aca="true" t="shared" si="3" ref="F10:F21">SUM(C10:E10)</f>
        <v>8000</v>
      </c>
      <c r="G10" s="236"/>
      <c r="H10" s="236"/>
      <c r="I10" s="236"/>
      <c r="J10" s="236"/>
      <c r="K10" s="352">
        <f t="shared" si="0"/>
        <v>8000</v>
      </c>
      <c r="L10" s="330"/>
      <c r="M10" s="330"/>
      <c r="N10" s="339"/>
      <c r="O10" s="336"/>
      <c r="P10" s="330"/>
      <c r="Q10" s="330">
        <v>8000</v>
      </c>
      <c r="R10" s="330"/>
      <c r="S10" s="330"/>
      <c r="T10" s="330"/>
      <c r="U10" s="331"/>
      <c r="V10" s="352">
        <f t="shared" si="1"/>
        <v>8000</v>
      </c>
      <c r="W10" s="232">
        <f t="shared" si="2"/>
        <v>0</v>
      </c>
    </row>
    <row r="11" spans="2:23" ht="12.75">
      <c r="B11" s="348" t="s">
        <v>236</v>
      </c>
      <c r="C11" s="337">
        <v>3240</v>
      </c>
      <c r="D11" s="337">
        <v>875</v>
      </c>
      <c r="E11" s="337">
        <v>676</v>
      </c>
      <c r="F11" s="236">
        <f t="shared" si="3"/>
        <v>4791</v>
      </c>
      <c r="G11" s="236"/>
      <c r="H11" s="236"/>
      <c r="I11" s="236"/>
      <c r="J11" s="236"/>
      <c r="K11" s="352">
        <f t="shared" si="0"/>
        <v>4791</v>
      </c>
      <c r="L11" s="337">
        <v>1310</v>
      </c>
      <c r="M11" s="330"/>
      <c r="N11" s="339"/>
      <c r="O11" s="368">
        <v>3052</v>
      </c>
      <c r="P11" s="330"/>
      <c r="Q11" s="330">
        <v>429</v>
      </c>
      <c r="R11" s="330"/>
      <c r="S11" s="330"/>
      <c r="T11" s="330"/>
      <c r="U11" s="331"/>
      <c r="V11" s="352">
        <f t="shared" si="1"/>
        <v>4791</v>
      </c>
      <c r="W11" s="232">
        <f t="shared" si="2"/>
        <v>0</v>
      </c>
    </row>
    <row r="12" spans="2:23" ht="12.75">
      <c r="B12" s="348" t="s">
        <v>237</v>
      </c>
      <c r="C12" s="337">
        <v>10590</v>
      </c>
      <c r="D12" s="337">
        <v>2859</v>
      </c>
      <c r="E12" s="337">
        <v>1634</v>
      </c>
      <c r="F12" s="236">
        <f>SUM(C12:E12)</f>
        <v>15083</v>
      </c>
      <c r="G12" s="236"/>
      <c r="H12" s="236"/>
      <c r="I12" s="236"/>
      <c r="J12" s="236"/>
      <c r="K12" s="352">
        <f t="shared" si="0"/>
        <v>15083</v>
      </c>
      <c r="L12" s="337"/>
      <c r="M12" s="330"/>
      <c r="N12" s="339"/>
      <c r="O12" s="368">
        <v>14000</v>
      </c>
      <c r="P12" s="330"/>
      <c r="Q12" s="330">
        <v>1083</v>
      </c>
      <c r="R12" s="330"/>
      <c r="S12" s="330"/>
      <c r="T12" s="330"/>
      <c r="U12" s="331"/>
      <c r="V12" s="352">
        <f t="shared" si="1"/>
        <v>15083</v>
      </c>
      <c r="W12" s="232">
        <f t="shared" si="2"/>
        <v>0</v>
      </c>
    </row>
    <row r="13" spans="2:23" ht="12.75">
      <c r="B13" s="348" t="s">
        <v>238</v>
      </c>
      <c r="C13" s="337">
        <v>2954</v>
      </c>
      <c r="D13" s="337">
        <v>798</v>
      </c>
      <c r="E13" s="337">
        <v>144</v>
      </c>
      <c r="F13" s="236">
        <f t="shared" si="3"/>
        <v>3896</v>
      </c>
      <c r="G13" s="236"/>
      <c r="H13" s="236"/>
      <c r="I13" s="236"/>
      <c r="J13" s="236"/>
      <c r="K13" s="352">
        <f t="shared" si="0"/>
        <v>3896</v>
      </c>
      <c r="L13" s="330"/>
      <c r="M13" s="330"/>
      <c r="N13" s="339"/>
      <c r="O13" s="368">
        <v>2374</v>
      </c>
      <c r="P13" s="330"/>
      <c r="Q13" s="330">
        <v>1522</v>
      </c>
      <c r="R13" s="330"/>
      <c r="S13" s="330"/>
      <c r="T13" s="330"/>
      <c r="U13" s="331"/>
      <c r="V13" s="352">
        <f t="shared" si="1"/>
        <v>3896</v>
      </c>
      <c r="W13" s="232">
        <f t="shared" si="2"/>
        <v>0</v>
      </c>
    </row>
    <row r="14" spans="2:23" ht="12.75">
      <c r="B14" s="348" t="s">
        <v>239</v>
      </c>
      <c r="C14" s="337">
        <v>8117</v>
      </c>
      <c r="D14" s="337">
        <v>2192</v>
      </c>
      <c r="E14" s="337">
        <v>2026</v>
      </c>
      <c r="F14" s="236">
        <f t="shared" si="3"/>
        <v>12335</v>
      </c>
      <c r="G14" s="236"/>
      <c r="H14" s="236"/>
      <c r="I14" s="236"/>
      <c r="J14" s="236"/>
      <c r="K14" s="352">
        <f t="shared" si="0"/>
        <v>12335</v>
      </c>
      <c r="L14" s="330"/>
      <c r="M14" s="330"/>
      <c r="N14" s="339"/>
      <c r="O14" s="368">
        <v>2374</v>
      </c>
      <c r="P14" s="330"/>
      <c r="Q14" s="330">
        <v>504</v>
      </c>
      <c r="R14" s="330"/>
      <c r="S14" s="330">
        <v>9457</v>
      </c>
      <c r="T14" s="330"/>
      <c r="U14" s="331"/>
      <c r="V14" s="352">
        <f t="shared" si="1"/>
        <v>12335</v>
      </c>
      <c r="W14" s="232">
        <f t="shared" si="2"/>
        <v>0</v>
      </c>
    </row>
    <row r="15" spans="2:23" ht="12.75">
      <c r="B15" s="348" t="s">
        <v>240</v>
      </c>
      <c r="C15" s="337">
        <v>7497</v>
      </c>
      <c r="D15" s="337">
        <v>2024</v>
      </c>
      <c r="E15" s="337">
        <v>584</v>
      </c>
      <c r="F15" s="236">
        <f>SUM(C15:E15)</f>
        <v>10105</v>
      </c>
      <c r="G15" s="236"/>
      <c r="H15" s="236"/>
      <c r="I15" s="236"/>
      <c r="J15" s="236"/>
      <c r="K15" s="352">
        <f t="shared" si="0"/>
        <v>10105</v>
      </c>
      <c r="L15" s="337">
        <v>100</v>
      </c>
      <c r="M15" s="330"/>
      <c r="N15" s="339"/>
      <c r="O15" s="368">
        <v>5655</v>
      </c>
      <c r="P15" s="330"/>
      <c r="Q15" s="330">
        <v>4350</v>
      </c>
      <c r="R15" s="330"/>
      <c r="S15" s="330"/>
      <c r="T15" s="330"/>
      <c r="U15" s="331"/>
      <c r="V15" s="352">
        <f t="shared" si="1"/>
        <v>10105</v>
      </c>
      <c r="W15" s="232">
        <f t="shared" si="2"/>
        <v>0</v>
      </c>
    </row>
    <row r="16" spans="2:23" ht="12.75">
      <c r="B16" s="348" t="s">
        <v>241</v>
      </c>
      <c r="C16" s="337">
        <v>8217</v>
      </c>
      <c r="D16" s="337">
        <v>2219</v>
      </c>
      <c r="E16" s="337">
        <v>6496</v>
      </c>
      <c r="F16" s="236">
        <f t="shared" si="3"/>
        <v>16932</v>
      </c>
      <c r="G16" s="236"/>
      <c r="H16" s="236"/>
      <c r="I16" s="236"/>
      <c r="J16" s="236"/>
      <c r="K16" s="352">
        <f t="shared" si="0"/>
        <v>16932</v>
      </c>
      <c r="L16" s="330"/>
      <c r="M16" s="337">
        <v>9800</v>
      </c>
      <c r="N16" s="339"/>
      <c r="O16" s="336"/>
      <c r="P16" s="330"/>
      <c r="Q16" s="330">
        <v>7132</v>
      </c>
      <c r="R16" s="330"/>
      <c r="S16" s="330"/>
      <c r="T16" s="330"/>
      <c r="U16" s="331"/>
      <c r="V16" s="352">
        <f t="shared" si="1"/>
        <v>16932</v>
      </c>
      <c r="W16" s="232">
        <f t="shared" si="2"/>
        <v>0</v>
      </c>
    </row>
    <row r="17" spans="2:23" ht="12.75">
      <c r="B17" s="348" t="s">
        <v>242</v>
      </c>
      <c r="C17" s="337">
        <v>7797</v>
      </c>
      <c r="D17" s="337">
        <v>2105</v>
      </c>
      <c r="E17" s="337">
        <v>1113</v>
      </c>
      <c r="F17" s="236">
        <f t="shared" si="3"/>
        <v>11015</v>
      </c>
      <c r="G17" s="236"/>
      <c r="H17" s="236"/>
      <c r="I17" s="236"/>
      <c r="J17" s="236"/>
      <c r="K17" s="352">
        <f t="shared" si="0"/>
        <v>11015</v>
      </c>
      <c r="L17" s="330"/>
      <c r="M17" s="337">
        <v>10900</v>
      </c>
      <c r="N17" s="339"/>
      <c r="O17" s="336"/>
      <c r="P17" s="330"/>
      <c r="Q17" s="330">
        <v>115</v>
      </c>
      <c r="R17" s="330"/>
      <c r="S17" s="330"/>
      <c r="T17" s="330"/>
      <c r="U17" s="331"/>
      <c r="V17" s="352">
        <f t="shared" si="1"/>
        <v>11015</v>
      </c>
      <c r="W17" s="232">
        <f t="shared" si="2"/>
        <v>0</v>
      </c>
    </row>
    <row r="18" spans="2:23" ht="12.75">
      <c r="B18" s="348" t="s">
        <v>243</v>
      </c>
      <c r="C18" s="337"/>
      <c r="D18" s="337"/>
      <c r="E18" s="337">
        <v>489</v>
      </c>
      <c r="F18" s="236">
        <f t="shared" si="3"/>
        <v>489</v>
      </c>
      <c r="G18" s="236"/>
      <c r="H18" s="236"/>
      <c r="I18" s="236"/>
      <c r="J18" s="236"/>
      <c r="K18" s="352">
        <f t="shared" si="0"/>
        <v>489</v>
      </c>
      <c r="L18" s="330"/>
      <c r="M18" s="337">
        <v>489</v>
      </c>
      <c r="N18" s="339"/>
      <c r="O18" s="336"/>
      <c r="P18" s="330"/>
      <c r="Q18" s="330"/>
      <c r="R18" s="330"/>
      <c r="S18" s="330"/>
      <c r="T18" s="330"/>
      <c r="U18" s="331"/>
      <c r="V18" s="352">
        <f t="shared" si="1"/>
        <v>489</v>
      </c>
      <c r="W18" s="232">
        <f t="shared" si="2"/>
        <v>0</v>
      </c>
    </row>
    <row r="19" spans="2:23" ht="12.75">
      <c r="B19" s="348" t="s">
        <v>244</v>
      </c>
      <c r="C19" s="337">
        <v>1742</v>
      </c>
      <c r="D19" s="337">
        <v>470</v>
      </c>
      <c r="E19" s="337">
        <v>863</v>
      </c>
      <c r="F19" s="236">
        <f>SUM(C19:E19)</f>
        <v>3075</v>
      </c>
      <c r="G19" s="236"/>
      <c r="H19" s="236"/>
      <c r="I19" s="236"/>
      <c r="J19" s="236"/>
      <c r="K19" s="352">
        <f t="shared" si="0"/>
        <v>3075</v>
      </c>
      <c r="L19" s="330"/>
      <c r="M19" s="337">
        <v>2040</v>
      </c>
      <c r="N19" s="339"/>
      <c r="O19" s="336"/>
      <c r="P19" s="330"/>
      <c r="Q19" s="330">
        <v>1035</v>
      </c>
      <c r="R19" s="330"/>
      <c r="S19" s="330"/>
      <c r="T19" s="330"/>
      <c r="U19" s="331"/>
      <c r="V19" s="352">
        <f t="shared" si="1"/>
        <v>3075</v>
      </c>
      <c r="W19" s="232">
        <f t="shared" si="2"/>
        <v>0</v>
      </c>
    </row>
    <row r="20" spans="2:23" ht="12.75">
      <c r="B20" s="348" t="s">
        <v>357</v>
      </c>
      <c r="C20" s="337">
        <v>2684</v>
      </c>
      <c r="D20" s="337">
        <v>725</v>
      </c>
      <c r="E20" s="337">
        <v>3512</v>
      </c>
      <c r="F20" s="236">
        <f t="shared" si="3"/>
        <v>6921</v>
      </c>
      <c r="G20" s="236"/>
      <c r="H20" s="236"/>
      <c r="I20" s="236"/>
      <c r="J20" s="236"/>
      <c r="K20" s="352">
        <f t="shared" si="0"/>
        <v>6921</v>
      </c>
      <c r="L20" s="330"/>
      <c r="M20" s="337">
        <v>1620</v>
      </c>
      <c r="N20" s="339"/>
      <c r="O20" s="336"/>
      <c r="P20" s="330"/>
      <c r="Q20" s="330">
        <v>5301</v>
      </c>
      <c r="R20" s="330"/>
      <c r="S20" s="330"/>
      <c r="T20" s="330"/>
      <c r="U20" s="331"/>
      <c r="V20" s="352">
        <f t="shared" si="1"/>
        <v>6921</v>
      </c>
      <c r="W20" s="232">
        <f t="shared" si="2"/>
        <v>0</v>
      </c>
    </row>
    <row r="21" spans="2:23" ht="12.75">
      <c r="B21" s="348" t="s">
        <v>245</v>
      </c>
      <c r="C21" s="337">
        <v>5588</v>
      </c>
      <c r="D21" s="337">
        <v>1509</v>
      </c>
      <c r="E21" s="337">
        <v>1308</v>
      </c>
      <c r="F21" s="236">
        <f t="shared" si="3"/>
        <v>8405</v>
      </c>
      <c r="G21" s="236"/>
      <c r="H21" s="236"/>
      <c r="I21" s="236"/>
      <c r="J21" s="236"/>
      <c r="K21" s="352">
        <f t="shared" si="0"/>
        <v>8405</v>
      </c>
      <c r="L21" s="330"/>
      <c r="M21" s="337">
        <v>7651</v>
      </c>
      <c r="N21" s="339"/>
      <c r="O21" s="336"/>
      <c r="P21" s="330"/>
      <c r="Q21" s="330">
        <v>754</v>
      </c>
      <c r="R21" s="330"/>
      <c r="S21" s="330"/>
      <c r="T21" s="330"/>
      <c r="U21" s="331"/>
      <c r="V21" s="352">
        <f t="shared" si="1"/>
        <v>8405</v>
      </c>
      <c r="W21" s="232">
        <f t="shared" si="2"/>
        <v>0</v>
      </c>
    </row>
    <row r="22" spans="2:23" s="268" customFormat="1" ht="12.75">
      <c r="B22" s="349" t="s">
        <v>270</v>
      </c>
      <c r="C22" s="340">
        <f aca="true" t="shared" si="4" ref="C22:S22">SUM(C8:C21)</f>
        <v>66502</v>
      </c>
      <c r="D22" s="340">
        <f t="shared" si="4"/>
        <v>17794</v>
      </c>
      <c r="E22" s="340">
        <f t="shared" si="4"/>
        <v>41972</v>
      </c>
      <c r="F22" s="340">
        <f t="shared" si="4"/>
        <v>126268</v>
      </c>
      <c r="G22" s="340">
        <f t="shared" si="4"/>
        <v>0</v>
      </c>
      <c r="H22" s="340">
        <f t="shared" si="4"/>
        <v>0</v>
      </c>
      <c r="I22" s="340">
        <f t="shared" si="4"/>
        <v>0</v>
      </c>
      <c r="J22" s="340">
        <f t="shared" si="4"/>
        <v>0</v>
      </c>
      <c r="K22" s="353">
        <f t="shared" si="4"/>
        <v>126268</v>
      </c>
      <c r="L22" s="340">
        <f t="shared" si="4"/>
        <v>8903</v>
      </c>
      <c r="M22" s="340">
        <f t="shared" si="4"/>
        <v>32500</v>
      </c>
      <c r="N22" s="340">
        <f t="shared" si="4"/>
        <v>0</v>
      </c>
      <c r="O22" s="369">
        <f t="shared" si="4"/>
        <v>31607</v>
      </c>
      <c r="P22" s="340">
        <f t="shared" si="4"/>
        <v>0</v>
      </c>
      <c r="Q22" s="340">
        <f t="shared" si="4"/>
        <v>43801</v>
      </c>
      <c r="R22" s="340">
        <f t="shared" si="4"/>
        <v>0</v>
      </c>
      <c r="S22" s="340">
        <f t="shared" si="4"/>
        <v>9457</v>
      </c>
      <c r="T22" s="340"/>
      <c r="U22" s="341">
        <f>SUM(U8:U21)</f>
        <v>0</v>
      </c>
      <c r="V22" s="353">
        <f>SUM(V8:V21)</f>
        <v>126268</v>
      </c>
      <c r="W22" s="267">
        <f>SUM(W8:W21)</f>
        <v>0</v>
      </c>
    </row>
    <row r="23" spans="2:22" ht="12.75">
      <c r="B23" s="348"/>
      <c r="C23" s="337">
        <f>+4mell!D10</f>
        <v>66502</v>
      </c>
      <c r="D23" s="337">
        <f>+4mell!E10</f>
        <v>17794</v>
      </c>
      <c r="E23" s="337">
        <f>+4mell!F10</f>
        <v>41972</v>
      </c>
      <c r="F23" s="337"/>
      <c r="G23" s="337"/>
      <c r="H23" s="337"/>
      <c r="I23" s="337"/>
      <c r="J23" s="337"/>
      <c r="K23" s="354">
        <f>+4mell!M10</f>
        <v>126268</v>
      </c>
      <c r="L23" s="337">
        <f>+3mell!D10</f>
        <v>19283</v>
      </c>
      <c r="M23" s="337">
        <f>+1mell!E29</f>
        <v>32500</v>
      </c>
      <c r="N23" s="337">
        <f>+1mell!E33+1mell!E34</f>
        <v>14245</v>
      </c>
      <c r="O23" s="336"/>
      <c r="P23" s="339"/>
      <c r="Q23" s="339"/>
      <c r="R23" s="339"/>
      <c r="S23" s="330"/>
      <c r="T23" s="330"/>
      <c r="U23" s="331"/>
      <c r="V23" s="348"/>
    </row>
    <row r="24" spans="2:22" ht="12.75">
      <c r="B24" s="348"/>
      <c r="C24" s="337">
        <f>+C23-C22</f>
        <v>0</v>
      </c>
      <c r="D24" s="337">
        <f>+D23-D22</f>
        <v>0</v>
      </c>
      <c r="E24" s="337">
        <f>+E23-E22</f>
        <v>0</v>
      </c>
      <c r="F24" s="337"/>
      <c r="G24" s="337"/>
      <c r="H24" s="337"/>
      <c r="I24" s="337"/>
      <c r="J24" s="337"/>
      <c r="K24" s="354"/>
      <c r="L24" s="337"/>
      <c r="M24" s="337"/>
      <c r="N24" s="337"/>
      <c r="O24" s="336"/>
      <c r="P24" s="339"/>
      <c r="Q24" s="339"/>
      <c r="R24" s="339"/>
      <c r="S24" s="330"/>
      <c r="T24" s="330"/>
      <c r="U24" s="331"/>
      <c r="V24" s="348"/>
    </row>
    <row r="25" spans="2:23" ht="38.25" customHeight="1">
      <c r="B25" s="350" t="str">
        <f>+4mell!B12</f>
        <v>Városi Művelődési Központ és Könyvtár</v>
      </c>
      <c r="C25" s="556"/>
      <c r="D25" s="556"/>
      <c r="E25" s="556"/>
      <c r="F25" s="556"/>
      <c r="G25" s="332"/>
      <c r="H25" s="332"/>
      <c r="I25" s="332"/>
      <c r="J25" s="332"/>
      <c r="K25" s="557"/>
      <c r="L25" s="556"/>
      <c r="M25" s="556"/>
      <c r="N25" s="332"/>
      <c r="O25" s="558"/>
      <c r="P25" s="333"/>
      <c r="Q25" s="333"/>
      <c r="R25" s="333"/>
      <c r="S25" s="333"/>
      <c r="T25" s="333"/>
      <c r="U25" s="342"/>
      <c r="V25" s="362"/>
      <c r="W25" s="268"/>
    </row>
    <row r="26" spans="2:23" ht="12.75">
      <c r="B26" s="351" t="s">
        <v>282</v>
      </c>
      <c r="C26" s="330">
        <v>4033</v>
      </c>
      <c r="D26" s="330">
        <v>1089</v>
      </c>
      <c r="E26" s="330">
        <v>1990</v>
      </c>
      <c r="F26" s="343">
        <f>SUM(C26:E26)</f>
        <v>7112</v>
      </c>
      <c r="G26" s="337"/>
      <c r="H26" s="337"/>
      <c r="I26" s="337"/>
      <c r="J26" s="337"/>
      <c r="K26" s="354">
        <f>SUM(F26:J26)</f>
        <v>7112</v>
      </c>
      <c r="L26" s="337">
        <v>1500</v>
      </c>
      <c r="M26" s="337"/>
      <c r="N26" s="337"/>
      <c r="O26" s="368">
        <v>6853</v>
      </c>
      <c r="P26" s="339"/>
      <c r="Q26" s="339"/>
      <c r="R26" s="339"/>
      <c r="S26" s="330"/>
      <c r="T26" s="330"/>
      <c r="U26" s="331">
        <v>-1241</v>
      </c>
      <c r="V26" s="352">
        <f>SUM(L26:U26)</f>
        <v>7112</v>
      </c>
      <c r="W26" s="232">
        <f>+V26-K26</f>
        <v>0</v>
      </c>
    </row>
    <row r="27" spans="2:23" ht="12.75">
      <c r="B27" s="351" t="s">
        <v>283</v>
      </c>
      <c r="C27" s="330"/>
      <c r="D27" s="330"/>
      <c r="E27" s="330">
        <v>786</v>
      </c>
      <c r="F27" s="343">
        <f>SUM(C27:E27)</f>
        <v>786</v>
      </c>
      <c r="G27" s="337"/>
      <c r="H27" s="337"/>
      <c r="I27" s="337"/>
      <c r="J27" s="337"/>
      <c r="K27" s="354">
        <f>SUM(F27:J27)</f>
        <v>786</v>
      </c>
      <c r="L27" s="337"/>
      <c r="M27" s="337"/>
      <c r="N27" s="337"/>
      <c r="O27" s="336"/>
      <c r="P27" s="339"/>
      <c r="Q27" s="339">
        <v>786</v>
      </c>
      <c r="R27" s="339"/>
      <c r="S27" s="330"/>
      <c r="T27" s="330"/>
      <c r="U27" s="331"/>
      <c r="V27" s="352">
        <f>SUM(L27:U27)</f>
        <v>786</v>
      </c>
      <c r="W27" s="232">
        <f>+V27-K27</f>
        <v>0</v>
      </c>
    </row>
    <row r="28" spans="2:23" ht="12.75">
      <c r="B28" s="351" t="s">
        <v>284</v>
      </c>
      <c r="C28" s="330">
        <v>5376</v>
      </c>
      <c r="D28" s="330">
        <v>1450</v>
      </c>
      <c r="E28" s="330">
        <f>1148+700</f>
        <v>1848</v>
      </c>
      <c r="F28" s="343">
        <f>SUM(C28:E28)</f>
        <v>8674</v>
      </c>
      <c r="G28" s="337"/>
      <c r="H28" s="337"/>
      <c r="I28" s="337"/>
      <c r="J28" s="337"/>
      <c r="K28" s="354">
        <f>SUM(F28:J28)</f>
        <v>8674</v>
      </c>
      <c r="L28" s="337"/>
      <c r="M28" s="337"/>
      <c r="N28" s="337"/>
      <c r="O28" s="368"/>
      <c r="P28" s="339"/>
      <c r="Q28" s="339">
        <v>7433</v>
      </c>
      <c r="R28" s="339"/>
      <c r="S28" s="330"/>
      <c r="T28" s="330"/>
      <c r="U28" s="331">
        <v>1241</v>
      </c>
      <c r="V28" s="352">
        <f>SUM(L28:U28)</f>
        <v>8674</v>
      </c>
      <c r="W28" s="232">
        <f>+V28-K28</f>
        <v>0</v>
      </c>
    </row>
    <row r="29" spans="2:23" ht="12.75">
      <c r="B29" s="351" t="s">
        <v>285</v>
      </c>
      <c r="C29" s="330"/>
      <c r="D29" s="330"/>
      <c r="E29" s="330">
        <v>1710</v>
      </c>
      <c r="F29" s="343">
        <f>SUM(C29:E29)</f>
        <v>1710</v>
      </c>
      <c r="G29" s="337"/>
      <c r="H29" s="337"/>
      <c r="I29" s="337"/>
      <c r="J29" s="337"/>
      <c r="K29" s="354">
        <f>SUM(F29:J29)</f>
        <v>1710</v>
      </c>
      <c r="L29" s="337"/>
      <c r="M29" s="337"/>
      <c r="N29" s="337"/>
      <c r="O29" s="336"/>
      <c r="P29" s="339"/>
      <c r="Q29" s="339">
        <v>1710</v>
      </c>
      <c r="R29" s="339"/>
      <c r="S29" s="330"/>
      <c r="T29" s="330"/>
      <c r="U29" s="331"/>
      <c r="V29" s="352">
        <f>SUM(L29:U29)</f>
        <v>1710</v>
      </c>
      <c r="W29" s="232">
        <f>+V29-K29</f>
        <v>0</v>
      </c>
    </row>
    <row r="30" spans="2:23" ht="13.5" thickBot="1">
      <c r="B30" s="351" t="s">
        <v>286</v>
      </c>
      <c r="C30" s="330"/>
      <c r="D30" s="330"/>
      <c r="E30" s="330">
        <v>3236</v>
      </c>
      <c r="F30" s="343">
        <f>SUM(C30:E30)</f>
        <v>3236</v>
      </c>
      <c r="G30" s="337"/>
      <c r="H30" s="337"/>
      <c r="I30" s="337"/>
      <c r="J30" s="337"/>
      <c r="K30" s="354">
        <f>SUM(F30:J30)</f>
        <v>3236</v>
      </c>
      <c r="L30" s="337">
        <v>700</v>
      </c>
      <c r="M30" s="337"/>
      <c r="N30" s="337"/>
      <c r="O30" s="336"/>
      <c r="P30" s="339"/>
      <c r="Q30" s="339">
        <v>2536</v>
      </c>
      <c r="R30" s="339"/>
      <c r="S30" s="330"/>
      <c r="T30" s="330"/>
      <c r="U30" s="331"/>
      <c r="V30" s="352">
        <f>SUM(L30:U30)</f>
        <v>3236</v>
      </c>
      <c r="W30" s="232">
        <f>+V30-K30</f>
        <v>0</v>
      </c>
    </row>
    <row r="31" spans="2:23" s="269" customFormat="1" ht="13.5" thickBot="1">
      <c r="B31" s="363" t="s">
        <v>270</v>
      </c>
      <c r="C31" s="364">
        <f aca="true" t="shared" si="5" ref="C31:L31">SUM(C26:C30)</f>
        <v>9409</v>
      </c>
      <c r="D31" s="364">
        <f t="shared" si="5"/>
        <v>2539</v>
      </c>
      <c r="E31" s="364">
        <f t="shared" si="5"/>
        <v>9570</v>
      </c>
      <c r="F31" s="366">
        <f t="shared" si="5"/>
        <v>21518</v>
      </c>
      <c r="G31" s="364">
        <f t="shared" si="5"/>
        <v>0</v>
      </c>
      <c r="H31" s="364">
        <f t="shared" si="5"/>
        <v>0</v>
      </c>
      <c r="I31" s="364">
        <f t="shared" si="5"/>
        <v>0</v>
      </c>
      <c r="J31" s="364">
        <f t="shared" si="5"/>
        <v>0</v>
      </c>
      <c r="K31" s="365">
        <f t="shared" si="5"/>
        <v>21518</v>
      </c>
      <c r="L31" s="366">
        <f t="shared" si="5"/>
        <v>2200</v>
      </c>
      <c r="M31" s="366">
        <f aca="true" t="shared" si="6" ref="M31:U31">SUM(M26:M30)</f>
        <v>0</v>
      </c>
      <c r="N31" s="366">
        <f t="shared" si="6"/>
        <v>0</v>
      </c>
      <c r="O31" s="370">
        <f t="shared" si="6"/>
        <v>6853</v>
      </c>
      <c r="P31" s="366">
        <f t="shared" si="6"/>
        <v>0</v>
      </c>
      <c r="Q31" s="366">
        <f t="shared" si="6"/>
        <v>12465</v>
      </c>
      <c r="R31" s="366">
        <f t="shared" si="6"/>
        <v>0</v>
      </c>
      <c r="S31" s="366">
        <f t="shared" si="6"/>
        <v>0</v>
      </c>
      <c r="T31" s="366"/>
      <c r="U31" s="371">
        <f t="shared" si="6"/>
        <v>0</v>
      </c>
      <c r="V31" s="365">
        <f>SUM(V26:V30)</f>
        <v>21518</v>
      </c>
      <c r="W31" s="269">
        <f>SUM(W26:W30)</f>
        <v>0</v>
      </c>
    </row>
    <row r="32" spans="3:18" ht="13.5" customHeight="1">
      <c r="C32" s="231">
        <f>+4mell!D14</f>
        <v>9409</v>
      </c>
      <c r="D32" s="231">
        <f>+4mell!E14</f>
        <v>2539</v>
      </c>
      <c r="E32" s="231">
        <f>+4mell!F14</f>
        <v>9570</v>
      </c>
      <c r="F32" s="232">
        <f>SUM(C32:E32)</f>
        <v>21518</v>
      </c>
      <c r="G32" s="232"/>
      <c r="H32" s="232"/>
      <c r="I32" s="232"/>
      <c r="J32" s="232"/>
      <c r="K32" s="232">
        <f>+4mell!M14</f>
        <v>21518</v>
      </c>
      <c r="L32" s="232">
        <f>+3mell!D15</f>
        <v>1290</v>
      </c>
      <c r="M32" s="232"/>
      <c r="N32" s="232"/>
      <c r="P32" s="233"/>
      <c r="Q32" s="233"/>
      <c r="R32" s="233"/>
    </row>
    <row r="33" spans="6:18" ht="9.75" customHeight="1" thickBot="1">
      <c r="F33" s="232"/>
      <c r="G33" s="232"/>
      <c r="H33" s="232"/>
      <c r="I33" s="232"/>
      <c r="J33" s="232"/>
      <c r="K33" s="232"/>
      <c r="L33" s="232"/>
      <c r="M33" s="232"/>
      <c r="N33" s="232"/>
      <c r="P33" s="233"/>
      <c r="Q33" s="233"/>
      <c r="R33" s="233"/>
    </row>
    <row r="34" spans="2:22" ht="13.5" thickBot="1">
      <c r="B34" s="275" t="s">
        <v>294</v>
      </c>
      <c r="C34" s="699" t="s">
        <v>172</v>
      </c>
      <c r="D34" s="697"/>
      <c r="E34" s="697"/>
      <c r="F34" s="697"/>
      <c r="G34" s="697"/>
      <c r="H34" s="697"/>
      <c r="I34" s="697"/>
      <c r="J34" s="697"/>
      <c r="K34" s="698"/>
      <c r="L34" s="699" t="s">
        <v>295</v>
      </c>
      <c r="M34" s="697"/>
      <c r="N34" s="697"/>
      <c r="O34" s="697"/>
      <c r="P34" s="697"/>
      <c r="Q34" s="697"/>
      <c r="R34" s="697"/>
      <c r="S34" s="697"/>
      <c r="T34" s="697"/>
      <c r="U34" s="697"/>
      <c r="V34" s="698"/>
    </row>
    <row r="35" spans="2:22" ht="13.5" thickBot="1">
      <c r="B35" s="346"/>
      <c r="C35" s="345"/>
      <c r="D35" s="345"/>
      <c r="E35" s="345"/>
      <c r="F35" s="345"/>
      <c r="G35" s="345"/>
      <c r="H35" s="345"/>
      <c r="I35" s="345"/>
      <c r="J35" s="345"/>
      <c r="K35" s="346"/>
      <c r="L35" s="344"/>
      <c r="M35" s="345"/>
      <c r="N35" s="374"/>
      <c r="O35" s="700" t="s">
        <v>279</v>
      </c>
      <c r="P35" s="701"/>
      <c r="Q35" s="701"/>
      <c r="R35" s="701"/>
      <c r="S35" s="701"/>
      <c r="T35" s="701"/>
      <c r="U35" s="702"/>
      <c r="V35" s="375"/>
    </row>
    <row r="36" spans="2:22" s="268" customFormat="1" ht="77.25" thickBot="1">
      <c r="B36" s="355" t="s">
        <v>271</v>
      </c>
      <c r="C36" s="560" t="s">
        <v>52</v>
      </c>
      <c r="D36" s="560" t="s">
        <v>232</v>
      </c>
      <c r="E36" s="560" t="s">
        <v>233</v>
      </c>
      <c r="F36" s="560" t="s">
        <v>57</v>
      </c>
      <c r="G36" s="376" t="s">
        <v>275</v>
      </c>
      <c r="H36" s="376" t="s">
        <v>276</v>
      </c>
      <c r="I36" s="376" t="s">
        <v>58</v>
      </c>
      <c r="J36" s="376" t="s">
        <v>9</v>
      </c>
      <c r="K36" s="561" t="s">
        <v>277</v>
      </c>
      <c r="L36" s="562" t="s">
        <v>248</v>
      </c>
      <c r="M36" s="560" t="s">
        <v>247</v>
      </c>
      <c r="N36" s="376" t="s">
        <v>246</v>
      </c>
      <c r="O36" s="562" t="s">
        <v>263</v>
      </c>
      <c r="P36" s="377" t="s">
        <v>287</v>
      </c>
      <c r="Q36" s="377" t="s">
        <v>288</v>
      </c>
      <c r="R36" s="378" t="s">
        <v>289</v>
      </c>
      <c r="S36" s="377" t="s">
        <v>291</v>
      </c>
      <c r="T36" s="378" t="s">
        <v>292</v>
      </c>
      <c r="U36" s="379" t="s">
        <v>290</v>
      </c>
      <c r="V36" s="380" t="s">
        <v>293</v>
      </c>
    </row>
    <row r="37" spans="2:22" s="268" customFormat="1" ht="12" customHeight="1">
      <c r="B37" s="362"/>
      <c r="C37" s="556"/>
      <c r="D37" s="556"/>
      <c r="E37" s="556"/>
      <c r="F37" s="556"/>
      <c r="G37" s="332"/>
      <c r="H37" s="332"/>
      <c r="I37" s="332"/>
      <c r="J37" s="332"/>
      <c r="K37" s="557"/>
      <c r="L37" s="558"/>
      <c r="M37" s="556"/>
      <c r="N37" s="332"/>
      <c r="O37" s="558"/>
      <c r="P37" s="333"/>
      <c r="Q37" s="333"/>
      <c r="R37" s="333"/>
      <c r="S37" s="333"/>
      <c r="T37" s="333"/>
      <c r="U37" s="342"/>
      <c r="V37" s="335"/>
    </row>
    <row r="38" spans="2:23" ht="25.5">
      <c r="B38" s="563" t="s">
        <v>251</v>
      </c>
      <c r="C38" s="235"/>
      <c r="D38" s="235"/>
      <c r="E38" s="235">
        <v>898</v>
      </c>
      <c r="F38" s="564">
        <f>SUM(C38:E38)</f>
        <v>898</v>
      </c>
      <c r="G38" s="564"/>
      <c r="H38" s="564"/>
      <c r="I38" s="564"/>
      <c r="J38" s="564"/>
      <c r="K38" s="565">
        <f>SUM(F38:J38)</f>
        <v>898</v>
      </c>
      <c r="L38" s="336"/>
      <c r="M38" s="330"/>
      <c r="N38" s="330"/>
      <c r="O38" s="336"/>
      <c r="P38" s="330"/>
      <c r="Q38" s="330">
        <v>898</v>
      </c>
      <c r="R38" s="330"/>
      <c r="S38" s="330"/>
      <c r="T38" s="330"/>
      <c r="U38" s="331">
        <v>0</v>
      </c>
      <c r="V38" s="338">
        <f>SUM(L38:U38)</f>
        <v>898</v>
      </c>
      <c r="W38" s="232">
        <f aca="true" t="shared" si="7" ref="W38:W49">+V38-K38</f>
        <v>0</v>
      </c>
    </row>
    <row r="39" spans="2:23" ht="51">
      <c r="B39" s="566" t="s">
        <v>252</v>
      </c>
      <c r="C39" s="235"/>
      <c r="D39" s="235"/>
      <c r="E39" s="235">
        <v>28</v>
      </c>
      <c r="F39" s="564">
        <f aca="true" t="shared" si="8" ref="F39:F49">SUM(C39:E39)</f>
        <v>28</v>
      </c>
      <c r="G39" s="564"/>
      <c r="H39" s="564"/>
      <c r="I39" s="564"/>
      <c r="J39" s="564"/>
      <c r="K39" s="565">
        <f aca="true" t="shared" si="9" ref="K39:K49">SUM(F39:J39)</f>
        <v>28</v>
      </c>
      <c r="L39" s="336"/>
      <c r="M39" s="330"/>
      <c r="N39" s="330"/>
      <c r="O39" s="336">
        <v>13</v>
      </c>
      <c r="P39" s="330"/>
      <c r="Q39" s="330">
        <v>15</v>
      </c>
      <c r="R39" s="330"/>
      <c r="S39" s="330"/>
      <c r="T39" s="330"/>
      <c r="U39" s="331">
        <v>0</v>
      </c>
      <c r="V39" s="338">
        <f aca="true" t="shared" si="10" ref="V39:V49">SUM(L39:U39)</f>
        <v>28</v>
      </c>
      <c r="W39" s="232">
        <f t="shared" si="7"/>
        <v>0</v>
      </c>
    </row>
    <row r="40" spans="2:23" ht="51">
      <c r="B40" s="567" t="s">
        <v>253</v>
      </c>
      <c r="C40" s="235"/>
      <c r="D40" s="235"/>
      <c r="E40" s="235">
        <v>802</v>
      </c>
      <c r="F40" s="564">
        <f t="shared" si="8"/>
        <v>802</v>
      </c>
      <c r="G40" s="564"/>
      <c r="H40" s="564"/>
      <c r="I40" s="564"/>
      <c r="J40" s="564"/>
      <c r="K40" s="565">
        <f t="shared" si="9"/>
        <v>802</v>
      </c>
      <c r="L40" s="336"/>
      <c r="M40" s="330"/>
      <c r="N40" s="330"/>
      <c r="O40" s="368">
        <v>15804</v>
      </c>
      <c r="P40" s="330"/>
      <c r="Q40" s="330"/>
      <c r="R40" s="330"/>
      <c r="S40" s="330"/>
      <c r="T40" s="330"/>
      <c r="U40" s="331">
        <v>-15002</v>
      </c>
      <c r="V40" s="338">
        <f t="shared" si="10"/>
        <v>802</v>
      </c>
      <c r="W40" s="232">
        <f t="shared" si="7"/>
        <v>0</v>
      </c>
    </row>
    <row r="41" spans="2:23" ht="19.5" customHeight="1">
      <c r="B41" s="372" t="s">
        <v>254</v>
      </c>
      <c r="C41" s="235">
        <v>16044</v>
      </c>
      <c r="D41" s="235">
        <v>4332</v>
      </c>
      <c r="E41" s="235">
        <v>64350</v>
      </c>
      <c r="F41" s="564">
        <f t="shared" si="8"/>
        <v>84726</v>
      </c>
      <c r="G41" s="564"/>
      <c r="H41" s="564"/>
      <c r="I41" s="564"/>
      <c r="J41" s="564"/>
      <c r="K41" s="565">
        <f t="shared" si="9"/>
        <v>84726</v>
      </c>
      <c r="L41" s="568">
        <v>68271</v>
      </c>
      <c r="M41" s="330"/>
      <c r="N41" s="330"/>
      <c r="O41" s="336"/>
      <c r="P41" s="330"/>
      <c r="Q41" s="330">
        <f>16455-15002</f>
        <v>1453</v>
      </c>
      <c r="R41" s="330"/>
      <c r="S41" s="330"/>
      <c r="T41" s="330"/>
      <c r="U41" s="331">
        <v>15002</v>
      </c>
      <c r="V41" s="338">
        <f t="shared" si="10"/>
        <v>84726</v>
      </c>
      <c r="W41" s="232">
        <f t="shared" si="7"/>
        <v>0</v>
      </c>
    </row>
    <row r="42" spans="2:23" ht="38.25">
      <c r="B42" s="566" t="s">
        <v>255</v>
      </c>
      <c r="C42" s="235"/>
      <c r="D42" s="235"/>
      <c r="E42" s="235">
        <v>2807</v>
      </c>
      <c r="F42" s="564">
        <f t="shared" si="8"/>
        <v>2807</v>
      </c>
      <c r="G42" s="564"/>
      <c r="H42" s="564"/>
      <c r="I42" s="564"/>
      <c r="J42" s="564"/>
      <c r="K42" s="565">
        <f t="shared" si="9"/>
        <v>2807</v>
      </c>
      <c r="L42" s="336">
        <v>4210</v>
      </c>
      <c r="M42" s="330"/>
      <c r="N42" s="330"/>
      <c r="O42" s="336"/>
      <c r="P42" s="330"/>
      <c r="Q42" s="330"/>
      <c r="R42" s="330"/>
      <c r="S42" s="330"/>
      <c r="T42" s="330"/>
      <c r="U42" s="331">
        <v>-1403</v>
      </c>
      <c r="V42" s="338">
        <f t="shared" si="10"/>
        <v>2807</v>
      </c>
      <c r="W42" s="232">
        <f t="shared" si="7"/>
        <v>0</v>
      </c>
    </row>
    <row r="43" spans="2:23" ht="38.25">
      <c r="B43" s="567" t="s">
        <v>256</v>
      </c>
      <c r="C43" s="235"/>
      <c r="D43" s="235"/>
      <c r="E43" s="235">
        <v>2713</v>
      </c>
      <c r="F43" s="564">
        <f t="shared" si="8"/>
        <v>2713</v>
      </c>
      <c r="G43" s="564"/>
      <c r="H43" s="564"/>
      <c r="I43" s="564"/>
      <c r="J43" s="564"/>
      <c r="K43" s="565">
        <f t="shared" si="9"/>
        <v>2713</v>
      </c>
      <c r="L43" s="336">
        <v>10747</v>
      </c>
      <c r="M43" s="330"/>
      <c r="N43" s="330"/>
      <c r="O43" s="336"/>
      <c r="P43" s="330"/>
      <c r="Q43" s="330"/>
      <c r="R43" s="330"/>
      <c r="S43" s="330"/>
      <c r="T43" s="330"/>
      <c r="U43" s="331">
        <v>-8034</v>
      </c>
      <c r="V43" s="338">
        <f t="shared" si="10"/>
        <v>2713</v>
      </c>
      <c r="W43" s="232">
        <f t="shared" si="7"/>
        <v>0</v>
      </c>
    </row>
    <row r="44" spans="2:23" ht="25.5">
      <c r="B44" s="567" t="s">
        <v>257</v>
      </c>
      <c r="C44" s="235"/>
      <c r="D44" s="235"/>
      <c r="E44" s="235">
        <v>3048</v>
      </c>
      <c r="F44" s="564">
        <f t="shared" si="8"/>
        <v>3048</v>
      </c>
      <c r="G44" s="564"/>
      <c r="H44" s="564"/>
      <c r="I44" s="564"/>
      <c r="J44" s="564"/>
      <c r="K44" s="565">
        <f t="shared" si="9"/>
        <v>3048</v>
      </c>
      <c r="L44" s="336"/>
      <c r="M44" s="330"/>
      <c r="N44" s="330"/>
      <c r="O44" s="336"/>
      <c r="P44" s="330"/>
      <c r="Q44" s="330">
        <f>3048-1403</f>
        <v>1645</v>
      </c>
      <c r="R44" s="330"/>
      <c r="S44" s="330"/>
      <c r="T44" s="330"/>
      <c r="U44" s="331">
        <v>1403</v>
      </c>
      <c r="V44" s="338">
        <f t="shared" si="10"/>
        <v>3048</v>
      </c>
      <c r="W44" s="232">
        <f t="shared" si="7"/>
        <v>0</v>
      </c>
    </row>
    <row r="45" spans="2:23" ht="38.25">
      <c r="B45" s="567" t="s">
        <v>258</v>
      </c>
      <c r="C45" s="235">
        <v>22976</v>
      </c>
      <c r="D45" s="235">
        <v>6219</v>
      </c>
      <c r="E45" s="235">
        <v>15794</v>
      </c>
      <c r="F45" s="564">
        <f t="shared" si="8"/>
        <v>44989</v>
      </c>
      <c r="G45" s="564"/>
      <c r="H45" s="564"/>
      <c r="I45" s="564"/>
      <c r="J45" s="564"/>
      <c r="K45" s="565">
        <f t="shared" si="9"/>
        <v>44989</v>
      </c>
      <c r="L45" s="336"/>
      <c r="M45" s="330"/>
      <c r="N45" s="330"/>
      <c r="O45" s="368">
        <f>55854-36902+16243</f>
        <v>35195</v>
      </c>
      <c r="P45" s="330"/>
      <c r="Q45" s="330">
        <f>9794-3513</f>
        <v>6281</v>
      </c>
      <c r="R45" s="330"/>
      <c r="S45" s="330"/>
      <c r="T45" s="330"/>
      <c r="U45" s="331">
        <v>3513</v>
      </c>
      <c r="V45" s="338">
        <f t="shared" si="10"/>
        <v>44989</v>
      </c>
      <c r="W45" s="232">
        <f>+V45-K45</f>
        <v>0</v>
      </c>
    </row>
    <row r="46" spans="2:23" ht="12.75">
      <c r="B46" s="372" t="s">
        <v>259</v>
      </c>
      <c r="C46" s="235"/>
      <c r="D46" s="235"/>
      <c r="E46" s="235">
        <v>31284</v>
      </c>
      <c r="F46" s="564">
        <f t="shared" si="8"/>
        <v>31284</v>
      </c>
      <c r="G46" s="564"/>
      <c r="H46" s="564"/>
      <c r="I46" s="564"/>
      <c r="J46" s="564"/>
      <c r="K46" s="565">
        <f t="shared" si="9"/>
        <v>31284</v>
      </c>
      <c r="L46" s="336"/>
      <c r="M46" s="330"/>
      <c r="N46" s="330"/>
      <c r="O46" s="368">
        <v>20985</v>
      </c>
      <c r="P46" s="330"/>
      <c r="Q46" s="330">
        <f>10299-8033</f>
        <v>2266</v>
      </c>
      <c r="R46" s="330"/>
      <c r="S46" s="330"/>
      <c r="T46" s="330"/>
      <c r="U46" s="331">
        <v>8033</v>
      </c>
      <c r="V46" s="338">
        <f t="shared" si="10"/>
        <v>31284</v>
      </c>
      <c r="W46" s="232">
        <f t="shared" si="7"/>
        <v>0</v>
      </c>
    </row>
    <row r="47" spans="2:23" ht="38.25">
      <c r="B47" s="567" t="s">
        <v>260</v>
      </c>
      <c r="C47" s="235"/>
      <c r="D47" s="235"/>
      <c r="E47" s="235">
        <v>19</v>
      </c>
      <c r="F47" s="564">
        <f t="shared" si="8"/>
        <v>19</v>
      </c>
      <c r="G47" s="564"/>
      <c r="H47" s="564"/>
      <c r="I47" s="564"/>
      <c r="J47" s="564"/>
      <c r="K47" s="565">
        <f t="shared" si="9"/>
        <v>19</v>
      </c>
      <c r="L47" s="568">
        <v>2159</v>
      </c>
      <c r="M47" s="330"/>
      <c r="N47" s="330"/>
      <c r="O47" s="336"/>
      <c r="P47" s="330"/>
      <c r="Q47" s="330"/>
      <c r="R47" s="330"/>
      <c r="S47" s="330"/>
      <c r="T47" s="330"/>
      <c r="U47" s="331">
        <v>-2140</v>
      </c>
      <c r="V47" s="338">
        <f t="shared" si="10"/>
        <v>19</v>
      </c>
      <c r="W47" s="232">
        <f t="shared" si="7"/>
        <v>0</v>
      </c>
    </row>
    <row r="48" spans="2:23" ht="38.25">
      <c r="B48" s="567" t="s">
        <v>261</v>
      </c>
      <c r="C48" s="235">
        <v>3077</v>
      </c>
      <c r="D48" s="235">
        <v>825</v>
      </c>
      <c r="E48" s="235">
        <v>4389</v>
      </c>
      <c r="F48" s="564">
        <f t="shared" si="8"/>
        <v>8291</v>
      </c>
      <c r="G48" s="564"/>
      <c r="H48" s="564"/>
      <c r="I48" s="564"/>
      <c r="J48" s="564"/>
      <c r="K48" s="565">
        <f t="shared" si="9"/>
        <v>8291</v>
      </c>
      <c r="L48" s="336"/>
      <c r="M48" s="330"/>
      <c r="N48" s="330"/>
      <c r="O48" s="336"/>
      <c r="P48" s="330"/>
      <c r="Q48" s="330">
        <v>8291</v>
      </c>
      <c r="R48" s="330"/>
      <c r="S48" s="330"/>
      <c r="T48" s="330"/>
      <c r="U48" s="331"/>
      <c r="V48" s="338">
        <f t="shared" si="10"/>
        <v>8291</v>
      </c>
      <c r="W48" s="232">
        <f t="shared" si="7"/>
        <v>0</v>
      </c>
    </row>
    <row r="49" spans="2:23" ht="26.25" thickBot="1">
      <c r="B49" s="567" t="s">
        <v>262</v>
      </c>
      <c r="C49" s="235"/>
      <c r="D49" s="235"/>
      <c r="E49" s="235">
        <v>311</v>
      </c>
      <c r="F49" s="564">
        <f t="shared" si="8"/>
        <v>311</v>
      </c>
      <c r="G49" s="564"/>
      <c r="H49" s="564"/>
      <c r="I49" s="564"/>
      <c r="J49" s="564"/>
      <c r="K49" s="565">
        <f t="shared" si="9"/>
        <v>311</v>
      </c>
      <c r="L49" s="336">
        <v>381</v>
      </c>
      <c r="M49" s="330"/>
      <c r="N49" s="330"/>
      <c r="O49" s="368">
        <v>100</v>
      </c>
      <c r="P49" s="330"/>
      <c r="Q49" s="330"/>
      <c r="R49" s="330"/>
      <c r="S49" s="330"/>
      <c r="T49" s="330"/>
      <c r="U49" s="331">
        <v>-170</v>
      </c>
      <c r="V49" s="338">
        <f t="shared" si="10"/>
        <v>311</v>
      </c>
      <c r="W49" s="232">
        <f t="shared" si="7"/>
        <v>0</v>
      </c>
    </row>
    <row r="50" spans="2:23" ht="13.5" thickBot="1">
      <c r="B50" s="569" t="s">
        <v>250</v>
      </c>
      <c r="C50" s="570">
        <f aca="true" t="shared" si="11" ref="C50:L50">SUM(C38:C49)</f>
        <v>42097</v>
      </c>
      <c r="D50" s="570">
        <f t="shared" si="11"/>
        <v>11376</v>
      </c>
      <c r="E50" s="570">
        <f t="shared" si="11"/>
        <v>126443</v>
      </c>
      <c r="F50" s="570">
        <f t="shared" si="11"/>
        <v>179916</v>
      </c>
      <c r="G50" s="570">
        <f t="shared" si="11"/>
        <v>0</v>
      </c>
      <c r="H50" s="570">
        <f t="shared" si="11"/>
        <v>0</v>
      </c>
      <c r="I50" s="570">
        <f t="shared" si="11"/>
        <v>0</v>
      </c>
      <c r="J50" s="570">
        <f t="shared" si="11"/>
        <v>0</v>
      </c>
      <c r="K50" s="571">
        <f t="shared" si="11"/>
        <v>179916</v>
      </c>
      <c r="L50" s="572">
        <f t="shared" si="11"/>
        <v>85768</v>
      </c>
      <c r="M50" s="570">
        <f aca="true" t="shared" si="12" ref="M50:T50">SUM(M38:M49)</f>
        <v>0</v>
      </c>
      <c r="N50" s="570">
        <f t="shared" si="12"/>
        <v>0</v>
      </c>
      <c r="O50" s="572">
        <f t="shared" si="12"/>
        <v>72097</v>
      </c>
      <c r="P50" s="570">
        <f t="shared" si="12"/>
        <v>0</v>
      </c>
      <c r="Q50" s="570">
        <f t="shared" si="12"/>
        <v>20849</v>
      </c>
      <c r="R50" s="570">
        <f t="shared" si="12"/>
        <v>0</v>
      </c>
      <c r="S50" s="570">
        <f t="shared" si="12"/>
        <v>0</v>
      </c>
      <c r="T50" s="570">
        <f t="shared" si="12"/>
        <v>0</v>
      </c>
      <c r="U50" s="573">
        <f>SUM(U38:U49)</f>
        <v>1202</v>
      </c>
      <c r="V50" s="573">
        <f>SUM(V38:V49)</f>
        <v>179916</v>
      </c>
      <c r="W50" s="574">
        <f>SUM(W38:W49)</f>
        <v>0</v>
      </c>
    </row>
    <row r="51" spans="2:17" ht="17.25" customHeight="1" thickBot="1">
      <c r="B51" s="272"/>
      <c r="C51" s="272">
        <f>+4mell!D6</f>
        <v>42097</v>
      </c>
      <c r="D51" s="272">
        <f>+4mell!E6</f>
        <v>11376</v>
      </c>
      <c r="E51" s="234">
        <f>+4mell!F6</f>
        <v>126443</v>
      </c>
      <c r="F51" s="272">
        <f>SUM(C50:E50)</f>
        <v>179916</v>
      </c>
      <c r="G51" s="272"/>
      <c r="H51" s="272"/>
      <c r="I51" s="272"/>
      <c r="J51" s="272"/>
      <c r="K51" s="272">
        <f>+4mell!M6</f>
        <v>179916</v>
      </c>
      <c r="L51" s="231">
        <f>+3mell!D5</f>
        <v>87890</v>
      </c>
      <c r="Q51" s="234"/>
    </row>
    <row r="52" spans="2:11" ht="13.5" hidden="1" thickBot="1">
      <c r="B52" s="272"/>
      <c r="C52" s="272"/>
      <c r="D52" s="272"/>
      <c r="E52" s="234">
        <f>+E51-E50</f>
        <v>0</v>
      </c>
      <c r="F52" s="272"/>
      <c r="G52" s="272"/>
      <c r="H52" s="272"/>
      <c r="I52" s="272"/>
      <c r="J52" s="272"/>
      <c r="K52" s="272"/>
    </row>
    <row r="53" spans="2:22" ht="13.5" thickBot="1">
      <c r="B53" s="275" t="s">
        <v>294</v>
      </c>
      <c r="C53" s="699" t="s">
        <v>172</v>
      </c>
      <c r="D53" s="697"/>
      <c r="E53" s="697"/>
      <c r="F53" s="697"/>
      <c r="G53" s="697"/>
      <c r="H53" s="697"/>
      <c r="I53" s="697"/>
      <c r="J53" s="697"/>
      <c r="K53" s="698"/>
      <c r="L53" s="697" t="s">
        <v>295</v>
      </c>
      <c r="M53" s="697"/>
      <c r="N53" s="697"/>
      <c r="O53" s="697"/>
      <c r="P53" s="697"/>
      <c r="Q53" s="697"/>
      <c r="R53" s="697"/>
      <c r="S53" s="697"/>
      <c r="T53" s="697"/>
      <c r="U53" s="697"/>
      <c r="V53" s="698"/>
    </row>
    <row r="54" spans="2:22" ht="13.5" thickBot="1">
      <c r="B54" s="346"/>
      <c r="C54" s="344"/>
      <c r="D54" s="345"/>
      <c r="E54" s="345"/>
      <c r="F54" s="345"/>
      <c r="G54" s="345"/>
      <c r="H54" s="345"/>
      <c r="I54" s="345"/>
      <c r="J54" s="345"/>
      <c r="K54" s="388"/>
      <c r="L54" s="345"/>
      <c r="M54" s="345"/>
      <c r="N54" s="330"/>
      <c r="O54" s="700" t="s">
        <v>279</v>
      </c>
      <c r="P54" s="701"/>
      <c r="Q54" s="701"/>
      <c r="R54" s="701"/>
      <c r="S54" s="701"/>
      <c r="T54" s="701"/>
      <c r="U54" s="702"/>
      <c r="V54" s="360"/>
    </row>
    <row r="55" spans="2:22" s="268" customFormat="1" ht="76.5">
      <c r="B55" s="575" t="s">
        <v>68</v>
      </c>
      <c r="C55" s="558" t="s">
        <v>52</v>
      </c>
      <c r="D55" s="556" t="s">
        <v>232</v>
      </c>
      <c r="E55" s="556" t="s">
        <v>233</v>
      </c>
      <c r="F55" s="556" t="s">
        <v>57</v>
      </c>
      <c r="G55" s="332" t="s">
        <v>275</v>
      </c>
      <c r="H55" s="332" t="s">
        <v>276</v>
      </c>
      <c r="I55" s="332" t="s">
        <v>58</v>
      </c>
      <c r="J55" s="332" t="s">
        <v>9</v>
      </c>
      <c r="K55" s="576" t="s">
        <v>277</v>
      </c>
      <c r="L55" s="556" t="s">
        <v>248</v>
      </c>
      <c r="M55" s="556" t="s">
        <v>247</v>
      </c>
      <c r="N55" s="332" t="s">
        <v>246</v>
      </c>
      <c r="O55" s="558" t="s">
        <v>263</v>
      </c>
      <c r="P55" s="333" t="s">
        <v>287</v>
      </c>
      <c r="Q55" s="333" t="s">
        <v>288</v>
      </c>
      <c r="R55" s="334" t="s">
        <v>289</v>
      </c>
      <c r="S55" s="333" t="s">
        <v>291</v>
      </c>
      <c r="T55" s="334" t="s">
        <v>292</v>
      </c>
      <c r="U55" s="373" t="s">
        <v>290</v>
      </c>
      <c r="V55" s="347" t="s">
        <v>293</v>
      </c>
    </row>
    <row r="56" spans="2:22" ht="12.75">
      <c r="B56" s="392"/>
      <c r="C56" s="389"/>
      <c r="D56" s="382"/>
      <c r="E56" s="577"/>
      <c r="F56" s="382"/>
      <c r="G56" s="382"/>
      <c r="H56" s="382"/>
      <c r="I56" s="382"/>
      <c r="J56" s="382"/>
      <c r="K56" s="383"/>
      <c r="L56" s="330"/>
      <c r="M56" s="330"/>
      <c r="N56" s="330"/>
      <c r="O56" s="336"/>
      <c r="P56" s="330"/>
      <c r="Q56" s="330"/>
      <c r="R56" s="330"/>
      <c r="S56" s="330"/>
      <c r="T56" s="330"/>
      <c r="U56" s="331"/>
      <c r="V56" s="390"/>
    </row>
    <row r="57" spans="2:22" ht="12.75">
      <c r="B57" s="348"/>
      <c r="C57" s="558"/>
      <c r="D57" s="556"/>
      <c r="E57" s="556"/>
      <c r="F57" s="556"/>
      <c r="G57" s="332"/>
      <c r="H57" s="332"/>
      <c r="I57" s="332"/>
      <c r="J57" s="332"/>
      <c r="K57" s="576"/>
      <c r="L57" s="556"/>
      <c r="M57" s="556"/>
      <c r="N57" s="332"/>
      <c r="O57" s="558"/>
      <c r="P57" s="333"/>
      <c r="Q57" s="333"/>
      <c r="R57" s="333"/>
      <c r="S57" s="333"/>
      <c r="T57" s="333"/>
      <c r="U57" s="373"/>
      <c r="V57" s="390"/>
    </row>
    <row r="58" spans="2:23" ht="25.5">
      <c r="B58" s="567" t="s">
        <v>272</v>
      </c>
      <c r="C58" s="578">
        <f>+4mell!D25</f>
        <v>104440</v>
      </c>
      <c r="D58" s="577">
        <f>+4mell!E25</f>
        <v>27923</v>
      </c>
      <c r="E58" s="577">
        <f>+4mell!F25</f>
        <v>35344</v>
      </c>
      <c r="F58" s="577">
        <f>SUM(C58:E58)</f>
        <v>167707</v>
      </c>
      <c r="G58" s="577"/>
      <c r="H58" s="577"/>
      <c r="J58" s="577"/>
      <c r="K58" s="579">
        <f>SUM(F58:J58)</f>
        <v>167707</v>
      </c>
      <c r="L58" s="577">
        <f>+3mell!D30</f>
        <v>2100</v>
      </c>
      <c r="M58" s="330"/>
      <c r="N58" s="337"/>
      <c r="O58" s="368">
        <v>93757</v>
      </c>
      <c r="P58" s="337">
        <v>4272</v>
      </c>
      <c r="Q58" s="337">
        <v>67578</v>
      </c>
      <c r="R58" s="337"/>
      <c r="S58" s="330"/>
      <c r="T58" s="330"/>
      <c r="U58" s="393"/>
      <c r="V58" s="391">
        <f>SUM(L58:U58)</f>
        <v>167707</v>
      </c>
      <c r="W58" s="234">
        <f>+V58-K58</f>
        <v>0</v>
      </c>
    </row>
    <row r="59" spans="2:23" ht="12.75">
      <c r="B59" s="567" t="s">
        <v>281</v>
      </c>
      <c r="C59" s="578"/>
      <c r="D59" s="577"/>
      <c r="E59" s="577"/>
      <c r="F59" s="577">
        <f>SUM(C59:E59)</f>
        <v>0</v>
      </c>
      <c r="G59" s="577"/>
      <c r="H59" s="577"/>
      <c r="I59" s="577">
        <f>+4mell!I25</f>
        <v>113225</v>
      </c>
      <c r="J59" s="577"/>
      <c r="K59" s="579">
        <f>SUM(F59:J59)</f>
        <v>113225</v>
      </c>
      <c r="L59" s="577"/>
      <c r="M59" s="330"/>
      <c r="N59" s="337">
        <f>101903-25438</f>
        <v>76465</v>
      </c>
      <c r="O59" s="368">
        <v>36760</v>
      </c>
      <c r="P59" s="337"/>
      <c r="Q59" s="337"/>
      <c r="R59" s="337"/>
      <c r="S59" s="330"/>
      <c r="T59" s="330"/>
      <c r="U59" s="331"/>
      <c r="V59" s="391">
        <f>SUM(L59:U59)</f>
        <v>113225</v>
      </c>
      <c r="W59" s="234">
        <f>+V59-K59</f>
        <v>0</v>
      </c>
    </row>
    <row r="60" spans="2:23" s="269" customFormat="1" ht="12.75">
      <c r="B60" s="392" t="s">
        <v>278</v>
      </c>
      <c r="C60" s="389">
        <f>SUM(C58:C59)</f>
        <v>104440</v>
      </c>
      <c r="D60" s="382">
        <f aca="true" t="shared" si="13" ref="D60:K60">SUM(D58:D59)</f>
        <v>27923</v>
      </c>
      <c r="E60" s="382">
        <f t="shared" si="13"/>
        <v>35344</v>
      </c>
      <c r="F60" s="382">
        <f t="shared" si="13"/>
        <v>167707</v>
      </c>
      <c r="G60" s="382">
        <f t="shared" si="13"/>
        <v>0</v>
      </c>
      <c r="H60" s="382">
        <f t="shared" si="13"/>
        <v>0</v>
      </c>
      <c r="I60" s="382">
        <f>SUM(I59:I59)</f>
        <v>113225</v>
      </c>
      <c r="J60" s="382">
        <f t="shared" si="13"/>
        <v>0</v>
      </c>
      <c r="K60" s="383">
        <f t="shared" si="13"/>
        <v>280932</v>
      </c>
      <c r="L60" s="382">
        <f>SUM(L58:L59)</f>
        <v>2100</v>
      </c>
      <c r="M60" s="382">
        <f aca="true" t="shared" si="14" ref="M60:W60">SUM(M58:M59)</f>
        <v>0</v>
      </c>
      <c r="N60" s="382">
        <f t="shared" si="14"/>
        <v>76465</v>
      </c>
      <c r="O60" s="389">
        <f t="shared" si="14"/>
        <v>130517</v>
      </c>
      <c r="P60" s="382">
        <f t="shared" si="14"/>
        <v>4272</v>
      </c>
      <c r="Q60" s="382">
        <f t="shared" si="14"/>
        <v>67578</v>
      </c>
      <c r="R60" s="382">
        <f t="shared" si="14"/>
        <v>0</v>
      </c>
      <c r="S60" s="382">
        <f t="shared" si="14"/>
        <v>0</v>
      </c>
      <c r="T60" s="382">
        <f t="shared" si="14"/>
        <v>0</v>
      </c>
      <c r="U60" s="383">
        <f t="shared" si="14"/>
        <v>0</v>
      </c>
      <c r="V60" s="392">
        <f t="shared" si="14"/>
        <v>280932</v>
      </c>
      <c r="W60" s="272">
        <f t="shared" si="14"/>
        <v>0</v>
      </c>
    </row>
    <row r="61" spans="2:22" s="269" customFormat="1" ht="12.75">
      <c r="B61" s="392"/>
      <c r="C61" s="389">
        <f>+4mell!D25</f>
        <v>104440</v>
      </c>
      <c r="D61" s="382">
        <f>+4mell!E25</f>
        <v>27923</v>
      </c>
      <c r="E61" s="382">
        <f>+4mell!F25</f>
        <v>35344</v>
      </c>
      <c r="F61" s="382">
        <f>SUM(C61:E61)</f>
        <v>167707</v>
      </c>
      <c r="G61" s="382"/>
      <c r="H61" s="382"/>
      <c r="I61" s="382">
        <f>+4mell!I25</f>
        <v>113225</v>
      </c>
      <c r="J61" s="382"/>
      <c r="K61" s="383">
        <f>+4mell!M25</f>
        <v>280932</v>
      </c>
      <c r="L61" s="382">
        <f>+3mell!D30</f>
        <v>2100</v>
      </c>
      <c r="M61" s="382"/>
      <c r="N61" s="382">
        <f>+3mell!F30</f>
        <v>0</v>
      </c>
      <c r="O61" s="389"/>
      <c r="P61" s="382"/>
      <c r="Q61" s="382"/>
      <c r="R61" s="382"/>
      <c r="S61" s="382"/>
      <c r="T61" s="382"/>
      <c r="U61" s="383"/>
      <c r="V61" s="361"/>
    </row>
    <row r="62" spans="2:22" s="269" customFormat="1" ht="12.75">
      <c r="B62" s="361"/>
      <c r="C62" s="389"/>
      <c r="D62" s="382"/>
      <c r="E62" s="382"/>
      <c r="F62" s="382"/>
      <c r="G62" s="382"/>
      <c r="H62" s="382"/>
      <c r="I62" s="382"/>
      <c r="J62" s="382"/>
      <c r="K62" s="383"/>
      <c r="L62" s="382"/>
      <c r="M62" s="382"/>
      <c r="N62" s="382"/>
      <c r="O62" s="389"/>
      <c r="P62" s="382"/>
      <c r="Q62" s="382"/>
      <c r="R62" s="382"/>
      <c r="S62" s="382"/>
      <c r="T62" s="382"/>
      <c r="U62" s="383"/>
      <c r="V62" s="361"/>
    </row>
    <row r="63" spans="2:22" ht="25.5">
      <c r="B63" s="575" t="s">
        <v>41</v>
      </c>
      <c r="C63" s="558"/>
      <c r="D63" s="556"/>
      <c r="E63" s="556"/>
      <c r="F63" s="556"/>
      <c r="G63" s="332"/>
      <c r="H63" s="332"/>
      <c r="I63" s="332"/>
      <c r="J63" s="332"/>
      <c r="K63" s="576"/>
      <c r="L63" s="556"/>
      <c r="M63" s="556"/>
      <c r="N63" s="332"/>
      <c r="O63" s="558"/>
      <c r="P63" s="333"/>
      <c r="Q63" s="333"/>
      <c r="R63" s="333"/>
      <c r="S63" s="333"/>
      <c r="T63" s="333"/>
      <c r="U63" s="373"/>
      <c r="V63" s="390"/>
    </row>
    <row r="64" spans="2:23" ht="25.5">
      <c r="B64" s="387" t="s">
        <v>41</v>
      </c>
      <c r="C64" s="336">
        <v>1620</v>
      </c>
      <c r="D64" s="330">
        <v>394</v>
      </c>
      <c r="E64" s="337">
        <f>+9mell!E14+9mell!E15+9mell!E16</f>
        <v>12517</v>
      </c>
      <c r="F64" s="385">
        <f>SUM(C64:E64)</f>
        <v>14531</v>
      </c>
      <c r="G64" s="236">
        <f>+4mell!H18</f>
        <v>26169</v>
      </c>
      <c r="H64" s="236">
        <f>+4mell!K18</f>
        <v>3000</v>
      </c>
      <c r="I64" s="236">
        <f>+4mell!I18</f>
        <v>5114</v>
      </c>
      <c r="J64" s="236">
        <f>+4mell!L18</f>
        <v>35878</v>
      </c>
      <c r="K64" s="381">
        <f>SUM(F64:J64)</f>
        <v>84692</v>
      </c>
      <c r="L64" s="330">
        <f>+3mell!D22</f>
        <v>500</v>
      </c>
      <c r="M64" s="330"/>
      <c r="N64" s="337">
        <v>36279</v>
      </c>
      <c r="O64" s="368"/>
      <c r="P64" s="337">
        <v>47178</v>
      </c>
      <c r="Q64" s="337">
        <v>585</v>
      </c>
      <c r="R64" s="337"/>
      <c r="S64" s="330"/>
      <c r="T64" s="330">
        <v>150</v>
      </c>
      <c r="U64" s="331">
        <v>0</v>
      </c>
      <c r="V64" s="391">
        <f>SUM(L64:U64)</f>
        <v>84692</v>
      </c>
      <c r="W64" s="234">
        <f>+V64-K64</f>
        <v>0</v>
      </c>
    </row>
    <row r="65" spans="2:23" ht="12.75">
      <c r="B65" s="348" t="s">
        <v>273</v>
      </c>
      <c r="C65" s="336">
        <v>1412</v>
      </c>
      <c r="D65" s="330">
        <v>381</v>
      </c>
      <c r="E65" s="330">
        <v>2105</v>
      </c>
      <c r="F65" s="385">
        <f>SUM(C65:E65)</f>
        <v>3898</v>
      </c>
      <c r="G65" s="385"/>
      <c r="H65" s="385"/>
      <c r="I65" s="385"/>
      <c r="J65" s="385"/>
      <c r="K65" s="381">
        <f>SUM(F65:J65)</f>
        <v>3898</v>
      </c>
      <c r="L65" s="330"/>
      <c r="M65" s="330"/>
      <c r="N65" s="337">
        <f>+1mell!E31+1mell!E32</f>
        <v>5100</v>
      </c>
      <c r="O65" s="336"/>
      <c r="P65" s="330"/>
      <c r="Q65" s="330"/>
      <c r="R65" s="330"/>
      <c r="S65" s="330"/>
      <c r="T65" s="330"/>
      <c r="U65" s="331">
        <v>-1202</v>
      </c>
      <c r="V65" s="391">
        <f>SUM(L65:U65)</f>
        <v>3898</v>
      </c>
      <c r="W65" s="234">
        <f>+V65-K65</f>
        <v>0</v>
      </c>
    </row>
    <row r="66" spans="2:23" ht="25.5">
      <c r="B66" s="387" t="s">
        <v>274</v>
      </c>
      <c r="C66" s="336"/>
      <c r="D66" s="330"/>
      <c r="E66" s="330">
        <v>507</v>
      </c>
      <c r="F66" s="385">
        <f>SUM(C66:E66)</f>
        <v>507</v>
      </c>
      <c r="G66" s="385"/>
      <c r="H66" s="385"/>
      <c r="I66" s="385"/>
      <c r="J66" s="385"/>
      <c r="K66" s="381">
        <f>SUM(F66:J66)</f>
        <v>507</v>
      </c>
      <c r="L66" s="330"/>
      <c r="M66" s="330"/>
      <c r="N66" s="330"/>
      <c r="O66" s="336"/>
      <c r="P66" s="330"/>
      <c r="Q66" s="330"/>
      <c r="R66" s="330"/>
      <c r="S66" s="330">
        <v>507</v>
      </c>
      <c r="T66" s="330"/>
      <c r="U66" s="331"/>
      <c r="V66" s="391">
        <f>SUM(L66:U66)</f>
        <v>507</v>
      </c>
      <c r="W66" s="234">
        <f>+V66-K66</f>
        <v>0</v>
      </c>
    </row>
    <row r="67" spans="2:23" s="269" customFormat="1" ht="12.75">
      <c r="B67" s="392" t="s">
        <v>278</v>
      </c>
      <c r="C67" s="384">
        <f aca="true" t="shared" si="15" ref="C67:W67">SUM(C64:C66)</f>
        <v>3032</v>
      </c>
      <c r="D67" s="386">
        <f t="shared" si="15"/>
        <v>775</v>
      </c>
      <c r="E67" s="386">
        <f t="shared" si="15"/>
        <v>15129</v>
      </c>
      <c r="F67" s="386">
        <f t="shared" si="15"/>
        <v>18936</v>
      </c>
      <c r="G67" s="386">
        <f t="shared" si="15"/>
        <v>26169</v>
      </c>
      <c r="H67" s="386">
        <f t="shared" si="15"/>
        <v>3000</v>
      </c>
      <c r="I67" s="386">
        <f t="shared" si="15"/>
        <v>5114</v>
      </c>
      <c r="J67" s="386">
        <f t="shared" si="15"/>
        <v>35878</v>
      </c>
      <c r="K67" s="335">
        <f t="shared" si="15"/>
        <v>89097</v>
      </c>
      <c r="L67" s="386">
        <f t="shared" si="15"/>
        <v>500</v>
      </c>
      <c r="M67" s="386">
        <f t="shared" si="15"/>
        <v>0</v>
      </c>
      <c r="N67" s="386">
        <f t="shared" si="15"/>
        <v>41379</v>
      </c>
      <c r="O67" s="384">
        <f t="shared" si="15"/>
        <v>0</v>
      </c>
      <c r="P67" s="340">
        <f t="shared" si="15"/>
        <v>47178</v>
      </c>
      <c r="Q67" s="340">
        <f t="shared" si="15"/>
        <v>585</v>
      </c>
      <c r="R67" s="340">
        <f t="shared" si="15"/>
        <v>0</v>
      </c>
      <c r="S67" s="340">
        <f t="shared" si="15"/>
        <v>507</v>
      </c>
      <c r="T67" s="340">
        <f t="shared" si="15"/>
        <v>150</v>
      </c>
      <c r="U67" s="341">
        <f t="shared" si="15"/>
        <v>-1202</v>
      </c>
      <c r="V67" s="353">
        <f t="shared" si="15"/>
        <v>89097</v>
      </c>
      <c r="W67" s="267">
        <f t="shared" si="15"/>
        <v>0</v>
      </c>
    </row>
    <row r="68" spans="2:22" ht="12.75">
      <c r="B68" s="348"/>
      <c r="C68" s="368">
        <f>+4mell!D18</f>
        <v>3032</v>
      </c>
      <c r="D68" s="337">
        <f>+4mell!E18</f>
        <v>775</v>
      </c>
      <c r="E68" s="337">
        <f>+4mell!F18</f>
        <v>15129</v>
      </c>
      <c r="F68" s="385">
        <f>SUM(C68:E68)</f>
        <v>18936</v>
      </c>
      <c r="G68" s="337">
        <f>+4mell!H18</f>
        <v>26169</v>
      </c>
      <c r="H68" s="337">
        <f>+4mell!K18</f>
        <v>3000</v>
      </c>
      <c r="I68" s="337">
        <f>+4mell!I18</f>
        <v>5114</v>
      </c>
      <c r="J68" s="337">
        <f>+4mell!L18</f>
        <v>35878</v>
      </c>
      <c r="K68" s="331">
        <f>+4mell!M18</f>
        <v>89097</v>
      </c>
      <c r="L68" s="330"/>
      <c r="M68" s="330"/>
      <c r="N68" s="330"/>
      <c r="O68" s="336"/>
      <c r="P68" s="330"/>
      <c r="Q68" s="330"/>
      <c r="R68" s="330"/>
      <c r="S68" s="330"/>
      <c r="T68" s="330"/>
      <c r="U68" s="331"/>
      <c r="V68" s="390"/>
    </row>
    <row r="69" spans="2:22" ht="13.5" thickBot="1">
      <c r="B69" s="348"/>
      <c r="C69" s="336"/>
      <c r="D69" s="330"/>
      <c r="E69" s="330"/>
      <c r="F69" s="330"/>
      <c r="G69" s="330"/>
      <c r="H69" s="330"/>
      <c r="I69" s="330"/>
      <c r="J69" s="330"/>
      <c r="K69" s="331"/>
      <c r="L69" s="330"/>
      <c r="M69" s="330"/>
      <c r="N69" s="330"/>
      <c r="O69" s="336"/>
      <c r="P69" s="330"/>
      <c r="Q69" s="330"/>
      <c r="R69" s="330"/>
      <c r="S69" s="330"/>
      <c r="T69" s="330"/>
      <c r="U69" s="331"/>
      <c r="V69" s="390"/>
    </row>
    <row r="70" spans="2:22" s="270" customFormat="1" ht="13.5" thickBot="1">
      <c r="B70" s="617" t="s">
        <v>92</v>
      </c>
      <c r="C70" s="618">
        <f aca="true" t="shared" si="16" ref="C70:U70">+C67+C60+C50+C22+C31</f>
        <v>225480</v>
      </c>
      <c r="D70" s="619">
        <f t="shared" si="16"/>
        <v>60407</v>
      </c>
      <c r="E70" s="619">
        <f t="shared" si="16"/>
        <v>228458</v>
      </c>
      <c r="F70" s="619">
        <f t="shared" si="16"/>
        <v>514345</v>
      </c>
      <c r="G70" s="619">
        <f t="shared" si="16"/>
        <v>26169</v>
      </c>
      <c r="H70" s="619">
        <f t="shared" si="16"/>
        <v>3000</v>
      </c>
      <c r="I70" s="619">
        <f t="shared" si="16"/>
        <v>118339</v>
      </c>
      <c r="J70" s="619">
        <f t="shared" si="16"/>
        <v>35878</v>
      </c>
      <c r="K70" s="620">
        <f t="shared" si="16"/>
        <v>697731</v>
      </c>
      <c r="L70" s="619">
        <f t="shared" si="16"/>
        <v>99471</v>
      </c>
      <c r="M70" s="619">
        <f t="shared" si="16"/>
        <v>32500</v>
      </c>
      <c r="N70" s="619">
        <f t="shared" si="16"/>
        <v>117844</v>
      </c>
      <c r="O70" s="618">
        <f t="shared" si="16"/>
        <v>241074</v>
      </c>
      <c r="P70" s="619">
        <f t="shared" si="16"/>
        <v>51450</v>
      </c>
      <c r="Q70" s="619">
        <f t="shared" si="16"/>
        <v>145278</v>
      </c>
      <c r="R70" s="619">
        <f t="shared" si="16"/>
        <v>0</v>
      </c>
      <c r="S70" s="619">
        <f t="shared" si="16"/>
        <v>9964</v>
      </c>
      <c r="T70" s="619">
        <f t="shared" si="16"/>
        <v>150</v>
      </c>
      <c r="U70" s="620">
        <f t="shared" si="16"/>
        <v>0</v>
      </c>
      <c r="V70" s="394">
        <f>SUM(L70:U70)</f>
        <v>697731</v>
      </c>
    </row>
    <row r="71" spans="3:22" ht="12.75">
      <c r="C71" s="231">
        <f>+4mell!D29</f>
        <v>225480</v>
      </c>
      <c r="D71" s="231">
        <f>+4mell!E29</f>
        <v>60407</v>
      </c>
      <c r="E71" s="231">
        <f>+4mell!F29</f>
        <v>228458</v>
      </c>
      <c r="F71" s="231">
        <f>SUM(C71:E71)</f>
        <v>514345</v>
      </c>
      <c r="G71" s="234">
        <f>+5mell!C17</f>
        <v>26169</v>
      </c>
      <c r="H71" s="232">
        <f>+5mell!C19</f>
        <v>3000</v>
      </c>
      <c r="I71" s="233">
        <f>+6mell!I31+6mell!J31</f>
        <v>118339</v>
      </c>
      <c r="J71" s="232">
        <f>+7mell!C21</f>
        <v>35878</v>
      </c>
      <c r="K71" s="233">
        <f>+2mell!E33</f>
        <v>697731</v>
      </c>
      <c r="L71" s="232">
        <f>+1mell!E7</f>
        <v>99471</v>
      </c>
      <c r="M71" s="232">
        <f>+1mell!E29</f>
        <v>32500</v>
      </c>
      <c r="N71" s="232">
        <f>+1mell!E28-1mell!E29</f>
        <v>117844</v>
      </c>
      <c r="O71" s="232">
        <f>+1mell!E23</f>
        <v>241074</v>
      </c>
      <c r="P71" s="232">
        <f>+1mell!E17</f>
        <v>51450</v>
      </c>
      <c r="Q71" s="232">
        <f>+1mell!E11+1mell!E13+1mell!E14+1mell!E15+1mell!E16</f>
        <v>145278</v>
      </c>
      <c r="R71" s="232">
        <v>0</v>
      </c>
      <c r="S71" s="232">
        <f>+1mell!E19</f>
        <v>9964</v>
      </c>
      <c r="T71" s="232">
        <f>+1mell!E37</f>
        <v>150</v>
      </c>
      <c r="V71" s="271">
        <f>SUM(L71:U71)</f>
        <v>697731</v>
      </c>
    </row>
    <row r="72" spans="3:22" ht="12.75">
      <c r="C72" s="234">
        <f>+C71-C70</f>
        <v>0</v>
      </c>
      <c r="D72" s="234">
        <f aca="true" t="shared" si="17" ref="D72:P72">+D71-D70</f>
        <v>0</v>
      </c>
      <c r="E72" s="234">
        <f t="shared" si="17"/>
        <v>0</v>
      </c>
      <c r="F72" s="234">
        <f t="shared" si="17"/>
        <v>0</v>
      </c>
      <c r="G72" s="234">
        <f t="shared" si="17"/>
        <v>0</v>
      </c>
      <c r="H72" s="234">
        <f t="shared" si="17"/>
        <v>0</v>
      </c>
      <c r="I72" s="234">
        <f t="shared" si="17"/>
        <v>0</v>
      </c>
      <c r="J72" s="234">
        <f t="shared" si="17"/>
        <v>0</v>
      </c>
      <c r="K72" s="234">
        <f t="shared" si="17"/>
        <v>0</v>
      </c>
      <c r="L72" s="234">
        <f t="shared" si="17"/>
        <v>0</v>
      </c>
      <c r="M72" s="234">
        <f t="shared" si="17"/>
        <v>0</v>
      </c>
      <c r="N72" s="234">
        <f t="shared" si="17"/>
        <v>0</v>
      </c>
      <c r="O72" s="234">
        <f t="shared" si="17"/>
        <v>0</v>
      </c>
      <c r="P72" s="234">
        <f t="shared" si="17"/>
        <v>0</v>
      </c>
      <c r="Q72" s="234">
        <f>+Q71-Q70</f>
        <v>0</v>
      </c>
      <c r="R72" s="234">
        <f>+R71-R70</f>
        <v>0</v>
      </c>
      <c r="S72" s="234">
        <f>+S71-S70</f>
        <v>0</v>
      </c>
      <c r="T72" s="234"/>
      <c r="U72" s="234">
        <f>+U71-U70</f>
        <v>0</v>
      </c>
      <c r="V72" s="271">
        <f>+1mell!E41</f>
        <v>697731</v>
      </c>
    </row>
    <row r="73" spans="11:22" ht="12.75">
      <c r="K73" s="233"/>
      <c r="V73" s="234">
        <f>+V72-V71</f>
        <v>0</v>
      </c>
    </row>
    <row r="74" ht="12.75">
      <c r="K74" s="233"/>
    </row>
    <row r="78" ht="12.75">
      <c r="P78" s="232"/>
    </row>
  </sheetData>
  <sheetProtection/>
  <mergeCells count="9">
    <mergeCell ref="O35:U35"/>
    <mergeCell ref="C53:K53"/>
    <mergeCell ref="L53:V53"/>
    <mergeCell ref="O54:U54"/>
    <mergeCell ref="O5:U5"/>
    <mergeCell ref="C4:K4"/>
    <mergeCell ref="L4:V4"/>
    <mergeCell ref="C34:K34"/>
    <mergeCell ref="L34:V34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71" r:id="rId1"/>
  <headerFooter alignWithMargins="0">
    <oddHeader>&amp;L12. melléklet a 2014. évi 2/2014.(I.24.) Önkormányzati költségvetési rendelethez&amp;R&amp;D</oddHeader>
    <oddFooter>&amp;R&amp;F</oddFooter>
  </headerFooter>
  <rowBreaks count="2" manualBreakCount="2">
    <brk id="33" max="21" man="1"/>
    <brk id="52" max="21" man="1"/>
  </rowBreaks>
  <colBreaks count="1" manualBreakCount="1">
    <brk id="2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71"/>
  <sheetViews>
    <sheetView view="pageBreakPreview" zoomScale="75" zoomScaleSheetLayoutView="75" zoomScalePageLayoutView="0" workbookViewId="0" topLeftCell="A34">
      <selection activeCell="M73" sqref="M73"/>
    </sheetView>
  </sheetViews>
  <sheetFormatPr defaultColWidth="9.140625" defaultRowHeight="12.75"/>
  <cols>
    <col min="1" max="1" width="3.57421875" style="50" customWidth="1"/>
    <col min="2" max="2" width="23.7109375" style="50" customWidth="1"/>
    <col min="3" max="3" width="9.140625" style="50" customWidth="1"/>
    <col min="4" max="4" width="11.28125" style="50" bestFit="1" customWidth="1"/>
    <col min="5" max="5" width="10.28125" style="50" bestFit="1" customWidth="1"/>
    <col min="6" max="6" width="10.8515625" style="50" customWidth="1"/>
    <col min="7" max="7" width="12.7109375" style="49" customWidth="1"/>
    <col min="8" max="8" width="10.57421875" style="49" customWidth="1"/>
    <col min="9" max="9" width="9.140625" style="50" customWidth="1"/>
    <col min="10" max="10" width="13.140625" style="50" customWidth="1"/>
    <col min="11" max="11" width="14.7109375" style="50" customWidth="1"/>
    <col min="12" max="12" width="11.7109375" style="50" customWidth="1"/>
    <col min="13" max="13" width="13.140625" style="50" customWidth="1"/>
    <col min="14" max="15" width="10.57421875" style="50" customWidth="1"/>
    <col min="16" max="16" width="13.00390625" style="50" customWidth="1"/>
    <col min="17" max="17" width="13.140625" style="50" customWidth="1"/>
    <col min="18" max="18" width="16.57421875" style="50" customWidth="1"/>
    <col min="19" max="19" width="10.00390625" style="50" customWidth="1"/>
    <col min="20" max="20" width="11.00390625" style="50" customWidth="1"/>
    <col min="21" max="16384" width="9.140625" style="50" customWidth="1"/>
  </cols>
  <sheetData>
    <row r="1" spans="1:21" ht="12.75">
      <c r="A1" s="440" t="s">
        <v>231</v>
      </c>
      <c r="J1" s="581" t="s">
        <v>467</v>
      </c>
      <c r="K1" s="582"/>
      <c r="L1" s="582"/>
      <c r="M1" s="583"/>
      <c r="N1" s="581" t="s">
        <v>468</v>
      </c>
      <c r="O1" s="582"/>
      <c r="P1" s="582"/>
      <c r="Q1" s="582"/>
      <c r="R1" s="583"/>
      <c r="S1" s="580"/>
      <c r="T1" s="584"/>
      <c r="U1" s="580"/>
    </row>
    <row r="2" spans="1:21" ht="12.75">
      <c r="A2" s="440" t="s">
        <v>439</v>
      </c>
      <c r="J2" s="585"/>
      <c r="K2" s="585" t="s">
        <v>469</v>
      </c>
      <c r="L2" s="586" t="s">
        <v>470</v>
      </c>
      <c r="M2" s="585" t="s">
        <v>471</v>
      </c>
      <c r="N2" s="585" t="s">
        <v>472</v>
      </c>
      <c r="O2" s="585" t="s">
        <v>473</v>
      </c>
      <c r="P2" s="587" t="s">
        <v>474</v>
      </c>
      <c r="Q2" s="587" t="s">
        <v>475</v>
      </c>
      <c r="R2" s="588" t="s">
        <v>476</v>
      </c>
      <c r="S2" s="589"/>
      <c r="T2" s="580"/>
      <c r="U2" s="580"/>
    </row>
    <row r="3" spans="10:21" ht="12.75">
      <c r="J3" s="585" t="s">
        <v>477</v>
      </c>
      <c r="K3" s="590" t="s">
        <v>478</v>
      </c>
      <c r="L3" s="590">
        <v>2013</v>
      </c>
      <c r="M3" s="591">
        <v>93900</v>
      </c>
      <c r="N3" s="591"/>
      <c r="O3" s="591">
        <v>36900</v>
      </c>
      <c r="P3" s="591"/>
      <c r="Q3" s="591">
        <v>100</v>
      </c>
      <c r="R3" s="592">
        <f>SUM(M3:Q3)</f>
        <v>130900</v>
      </c>
      <c r="S3" s="589"/>
      <c r="T3" s="593">
        <f>+Q3+M3</f>
        <v>94000</v>
      </c>
      <c r="U3" s="580"/>
    </row>
    <row r="4" spans="1:24" ht="12.75">
      <c r="A4" s="137"/>
      <c r="B4" s="138"/>
      <c r="C4" s="139"/>
      <c r="D4" s="704" t="s">
        <v>440</v>
      </c>
      <c r="E4" s="704"/>
      <c r="F4" s="139"/>
      <c r="G4" s="173"/>
      <c r="H4" s="173"/>
      <c r="I4" s="139"/>
      <c r="J4" s="585" t="s">
        <v>479</v>
      </c>
      <c r="K4" s="590" t="s">
        <v>480</v>
      </c>
      <c r="L4" s="590">
        <v>2013</v>
      </c>
      <c r="M4" s="594">
        <v>91400</v>
      </c>
      <c r="N4" s="591"/>
      <c r="O4" s="591">
        <v>34900</v>
      </c>
      <c r="P4" s="591"/>
      <c r="Q4" s="591">
        <v>2600</v>
      </c>
      <c r="R4" s="592">
        <f>SUM(M4:Q4)</f>
        <v>128900</v>
      </c>
      <c r="S4" s="589"/>
      <c r="T4" s="593">
        <f>+Q4+M4</f>
        <v>94000</v>
      </c>
      <c r="U4" s="580"/>
      <c r="V4" s="140"/>
      <c r="W4" s="140"/>
      <c r="X4" s="140"/>
    </row>
    <row r="5" spans="1:24" ht="12.75">
      <c r="A5" s="137"/>
      <c r="B5" s="138"/>
      <c r="C5" s="139"/>
      <c r="E5" s="139"/>
      <c r="F5" s="139"/>
      <c r="G5" s="173"/>
      <c r="H5" s="173"/>
      <c r="I5" s="139"/>
      <c r="J5" s="585"/>
      <c r="K5" s="590"/>
      <c r="L5" s="590"/>
      <c r="M5" s="591"/>
      <c r="N5" s="591">
        <v>0</v>
      </c>
      <c r="O5" s="595"/>
      <c r="P5" s="595"/>
      <c r="Q5" s="595"/>
      <c r="R5" s="596">
        <f>SUM(M5:N5)</f>
        <v>0</v>
      </c>
      <c r="S5" s="589"/>
      <c r="T5" s="580"/>
      <c r="U5" s="580"/>
      <c r="V5" s="140"/>
      <c r="W5" s="140"/>
      <c r="X5" s="140"/>
    </row>
    <row r="6" spans="1:24" ht="15">
      <c r="A6" s="140"/>
      <c r="B6" s="140"/>
      <c r="C6" s="705" t="s">
        <v>173</v>
      </c>
      <c r="D6" s="705"/>
      <c r="E6" s="705"/>
      <c r="F6" s="705"/>
      <c r="G6" s="494"/>
      <c r="H6" s="495"/>
      <c r="I6" s="141"/>
      <c r="J6" s="588" t="s">
        <v>5</v>
      </c>
      <c r="K6" s="597"/>
      <c r="L6" s="597"/>
      <c r="M6" s="592">
        <f>SUM(M3:M5)</f>
        <v>185300</v>
      </c>
      <c r="N6" s="592">
        <f>SUM(N3:N4)</f>
        <v>0</v>
      </c>
      <c r="O6" s="598">
        <f>SUM(O3:O5)</f>
        <v>71800</v>
      </c>
      <c r="P6" s="598"/>
      <c r="Q6" s="598">
        <f>SUM(Q3:Q5)</f>
        <v>2700</v>
      </c>
      <c r="R6" s="592">
        <f>SUM(M6:Q6)</f>
        <v>259800</v>
      </c>
      <c r="S6" s="599">
        <f>SUM(R3:R5)</f>
        <v>259800</v>
      </c>
      <c r="T6" s="580"/>
      <c r="U6" s="580"/>
      <c r="V6" s="140"/>
      <c r="W6" s="140"/>
      <c r="X6" s="140"/>
    </row>
    <row r="7" spans="1:24" ht="12.75">
      <c r="A7" s="141"/>
      <c r="B7" s="141"/>
      <c r="C7" s="141"/>
      <c r="D7" s="141"/>
      <c r="E7" s="141"/>
      <c r="F7" s="141"/>
      <c r="G7" s="495"/>
      <c r="H7" s="495"/>
      <c r="I7" s="141"/>
      <c r="J7" s="580"/>
      <c r="K7" s="580"/>
      <c r="L7" s="580"/>
      <c r="M7" s="140"/>
      <c r="N7" s="140"/>
      <c r="O7" s="140"/>
      <c r="P7" s="140"/>
      <c r="Q7" s="140"/>
      <c r="R7" s="140"/>
      <c r="S7" s="580"/>
      <c r="T7" s="580"/>
      <c r="U7" s="580"/>
      <c r="V7" s="140"/>
      <c r="W7" s="140"/>
      <c r="X7" s="140"/>
    </row>
    <row r="8" spans="1:24" ht="15">
      <c r="A8" s="175" t="s">
        <v>174</v>
      </c>
      <c r="B8" s="141"/>
      <c r="C8" s="141"/>
      <c r="D8" s="141"/>
      <c r="E8" s="141"/>
      <c r="F8" s="141"/>
      <c r="G8" s="495"/>
      <c r="H8" s="495"/>
      <c r="I8" s="141"/>
      <c r="J8" s="600" t="s">
        <v>481</v>
      </c>
      <c r="K8" s="600"/>
      <c r="L8" s="600"/>
      <c r="M8" s="600"/>
      <c r="N8" s="600"/>
      <c r="O8" s="600"/>
      <c r="P8" s="600"/>
      <c r="Q8" s="600"/>
      <c r="R8" s="600"/>
      <c r="S8" s="580"/>
      <c r="T8" s="580"/>
      <c r="U8" s="580"/>
      <c r="V8" s="140"/>
      <c r="W8" s="140"/>
      <c r="X8" s="140"/>
    </row>
    <row r="9" spans="1:24" ht="18.75" customHeight="1">
      <c r="A9" s="141"/>
      <c r="B9" s="141" t="s">
        <v>3</v>
      </c>
      <c r="C9" s="141"/>
      <c r="D9" s="141"/>
      <c r="E9" s="141"/>
      <c r="F9" s="141"/>
      <c r="G9" s="495">
        <v>8000000</v>
      </c>
      <c r="H9" s="495"/>
      <c r="I9" s="141"/>
      <c r="J9" s="585"/>
      <c r="K9" s="590" t="s">
        <v>469</v>
      </c>
      <c r="L9" s="586" t="s">
        <v>470</v>
      </c>
      <c r="M9" s="588" t="s">
        <v>471</v>
      </c>
      <c r="N9" s="588" t="s">
        <v>472</v>
      </c>
      <c r="O9" s="588" t="s">
        <v>473</v>
      </c>
      <c r="P9" s="601" t="s">
        <v>474</v>
      </c>
      <c r="Q9" s="601" t="s">
        <v>475</v>
      </c>
      <c r="R9" s="588" t="s">
        <v>476</v>
      </c>
      <c r="S9" s="580"/>
      <c r="T9" s="580"/>
      <c r="U9" s="580"/>
      <c r="V9" s="140"/>
      <c r="W9" s="140"/>
      <c r="X9" s="140"/>
    </row>
    <row r="10" spans="1:26" ht="12" customHeight="1" thickBot="1">
      <c r="A10" s="141"/>
      <c r="B10" s="141"/>
      <c r="C10" s="141"/>
      <c r="D10" s="141"/>
      <c r="E10" s="141"/>
      <c r="F10" s="141"/>
      <c r="G10" s="495"/>
      <c r="H10" s="495"/>
      <c r="I10" s="141"/>
      <c r="J10" s="585" t="s">
        <v>477</v>
      </c>
      <c r="K10" s="590" t="s">
        <v>478</v>
      </c>
      <c r="L10" s="590">
        <v>2013</v>
      </c>
      <c r="M10" s="591">
        <f>89000*1.055</f>
        <v>93895</v>
      </c>
      <c r="N10" s="591"/>
      <c r="O10" s="591">
        <v>22800</v>
      </c>
      <c r="P10" s="591"/>
      <c r="Q10" s="591">
        <v>14100</v>
      </c>
      <c r="R10" s="591">
        <f>SUM(M10:Q10)+5</f>
        <v>130800</v>
      </c>
      <c r="S10" s="580"/>
      <c r="T10" s="580">
        <f>+Q10+M10</f>
        <v>107995</v>
      </c>
      <c r="U10" s="580"/>
      <c r="V10" s="580"/>
      <c r="W10" s="580"/>
      <c r="X10" s="580"/>
      <c r="Y10" s="395"/>
      <c r="Z10" s="395"/>
    </row>
    <row r="11" spans="1:26" ht="15.75" thickBot="1">
      <c r="A11" s="162" t="s">
        <v>147</v>
      </c>
      <c r="B11" s="179"/>
      <c r="C11" s="179"/>
      <c r="D11" s="179"/>
      <c r="E11" s="179"/>
      <c r="F11" s="179"/>
      <c r="G11" s="496">
        <f>SUM(G8:G10)</f>
        <v>8000000</v>
      </c>
      <c r="H11" s="497">
        <f>G11/1000</f>
        <v>8000</v>
      </c>
      <c r="I11" s="145"/>
      <c r="J11" s="585" t="s">
        <v>479</v>
      </c>
      <c r="K11" s="590" t="s">
        <v>480</v>
      </c>
      <c r="L11" s="590">
        <v>2013</v>
      </c>
      <c r="M11" s="594">
        <f>89000*1.0275</f>
        <v>91447.5</v>
      </c>
      <c r="N11" s="591"/>
      <c r="O11" s="591">
        <v>18300</v>
      </c>
      <c r="P11" s="591">
        <v>1600</v>
      </c>
      <c r="Q11" s="591">
        <v>15000</v>
      </c>
      <c r="R11" s="594">
        <f>SUM(M11:Q11)-48</f>
        <v>126299.5</v>
      </c>
      <c r="S11" s="580"/>
      <c r="T11" s="580">
        <f>+Q11+M11</f>
        <v>106447.5</v>
      </c>
      <c r="U11" s="580"/>
      <c r="V11" s="580"/>
      <c r="W11" s="580"/>
      <c r="X11" s="580"/>
      <c r="Y11" s="395"/>
      <c r="Z11" s="395"/>
    </row>
    <row r="12" spans="1:26" ht="12.75">
      <c r="A12" s="145"/>
      <c r="B12" s="145"/>
      <c r="C12" s="145"/>
      <c r="D12" s="145"/>
      <c r="E12" s="145"/>
      <c r="F12" s="145"/>
      <c r="G12" s="498"/>
      <c r="H12" s="498"/>
      <c r="I12" s="145"/>
      <c r="J12" s="585"/>
      <c r="K12" s="590"/>
      <c r="L12" s="590"/>
      <c r="M12" s="591"/>
      <c r="N12" s="591">
        <v>0</v>
      </c>
      <c r="O12" s="591"/>
      <c r="P12" s="591"/>
      <c r="Q12" s="591"/>
      <c r="R12" s="591">
        <f>SUM(M12:N12)</f>
        <v>0</v>
      </c>
      <c r="S12" s="593"/>
      <c r="T12" s="580"/>
      <c r="U12" s="580"/>
      <c r="V12" s="580"/>
      <c r="W12" s="580"/>
      <c r="X12" s="580"/>
      <c r="Y12" s="395"/>
      <c r="Z12" s="395"/>
    </row>
    <row r="13" spans="1:26" ht="15">
      <c r="A13" s="499" t="s">
        <v>175</v>
      </c>
      <c r="B13" s="499"/>
      <c r="C13" s="146"/>
      <c r="D13" s="146"/>
      <c r="E13" s="146"/>
      <c r="F13" s="146"/>
      <c r="G13" s="149"/>
      <c r="H13" s="149"/>
      <c r="I13" s="141"/>
      <c r="J13" s="602" t="s">
        <v>5</v>
      </c>
      <c r="K13" s="602"/>
      <c r="L13" s="602"/>
      <c r="M13" s="603">
        <f>SUM(M10:M12)</f>
        <v>185342.5</v>
      </c>
      <c r="N13" s="603">
        <f>SUM(N10:N11)</f>
        <v>0</v>
      </c>
      <c r="O13" s="603">
        <f>SUM(O10:O11)</f>
        <v>41100</v>
      </c>
      <c r="P13" s="603"/>
      <c r="Q13" s="603"/>
      <c r="R13" s="603">
        <f>SUM(R10:R12)</f>
        <v>257099.5</v>
      </c>
      <c r="S13" s="604">
        <f>SUM(R10:R11)</f>
        <v>257099.5</v>
      </c>
      <c r="T13" s="580"/>
      <c r="U13" s="580"/>
      <c r="V13" s="580"/>
      <c r="W13" s="580"/>
      <c r="X13" s="580"/>
      <c r="Y13" s="395"/>
      <c r="Z13" s="395"/>
    </row>
    <row r="14" spans="1:26" ht="14.25">
      <c r="A14" s="146"/>
      <c r="B14" s="146"/>
      <c r="C14" s="146"/>
      <c r="D14" s="146"/>
      <c r="E14" s="146"/>
      <c r="F14" s="146"/>
      <c r="G14" s="149"/>
      <c r="H14" s="149"/>
      <c r="I14" s="141"/>
      <c r="J14" s="585"/>
      <c r="K14" s="585"/>
      <c r="L14" s="585"/>
      <c r="M14" s="585"/>
      <c r="N14" s="585"/>
      <c r="O14" s="605">
        <f>+O6-O13</f>
        <v>30700</v>
      </c>
      <c r="P14" s="585">
        <f>+O14*12*1.27</f>
        <v>467868</v>
      </c>
      <c r="Q14" s="585"/>
      <c r="R14" s="585"/>
      <c r="S14" s="585"/>
      <c r="T14" s="585"/>
      <c r="U14" s="580"/>
      <c r="V14" s="580"/>
      <c r="W14" s="580"/>
      <c r="X14" s="580"/>
      <c r="Y14" s="395"/>
      <c r="Z14" s="395"/>
    </row>
    <row r="15" spans="2:26" ht="15">
      <c r="B15" s="147" t="s">
        <v>176</v>
      </c>
      <c r="C15" s="146"/>
      <c r="D15" s="146"/>
      <c r="E15" s="146"/>
      <c r="F15" s="146"/>
      <c r="G15" s="150">
        <f>SUM(F17:F19)</f>
        <v>3085200</v>
      </c>
      <c r="H15" s="150">
        <f>G15/1000</f>
        <v>3085.2</v>
      </c>
      <c r="I15" s="141"/>
      <c r="J15" s="585"/>
      <c r="K15" s="606"/>
      <c r="L15" s="606"/>
      <c r="M15" s="607"/>
      <c r="N15" s="606"/>
      <c r="O15" s="606"/>
      <c r="P15" s="606"/>
      <c r="Q15" s="606"/>
      <c r="R15" s="606"/>
      <c r="S15" s="606"/>
      <c r="T15" s="606"/>
      <c r="U15" s="580"/>
      <c r="V15" s="580"/>
      <c r="W15" s="580"/>
      <c r="X15" s="580"/>
      <c r="Y15" s="395"/>
      <c r="Z15" s="395"/>
    </row>
    <row r="16" spans="1:26" ht="18" customHeight="1">
      <c r="A16" s="148"/>
      <c r="B16" s="146" t="s">
        <v>177</v>
      </c>
      <c r="C16" s="146"/>
      <c r="D16" s="146"/>
      <c r="E16" s="146"/>
      <c r="F16" s="149"/>
      <c r="I16" s="141"/>
      <c r="J16" s="585"/>
      <c r="K16" s="606"/>
      <c r="L16" s="606"/>
      <c r="M16" s="607"/>
      <c r="N16" s="606"/>
      <c r="O16" s="606"/>
      <c r="P16" s="606"/>
      <c r="Q16" s="606"/>
      <c r="R16" s="606"/>
      <c r="S16" s="606"/>
      <c r="T16" s="606"/>
      <c r="U16" s="580"/>
      <c r="V16" s="580"/>
      <c r="W16" s="580"/>
      <c r="X16" s="580"/>
      <c r="Y16" s="395"/>
      <c r="Z16" s="395"/>
    </row>
    <row r="17" spans="1:26" ht="14.25">
      <c r="A17" s="146"/>
      <c r="B17" s="703" t="s">
        <v>441</v>
      </c>
      <c r="C17" s="703"/>
      <c r="D17" s="149">
        <f>97000+33800+93900+32400</f>
        <v>257100</v>
      </c>
      <c r="E17" s="146" t="s">
        <v>178</v>
      </c>
      <c r="F17" s="149">
        <f>D17*1</f>
        <v>257100</v>
      </c>
      <c r="G17" s="151"/>
      <c r="H17" s="149"/>
      <c r="I17" s="141"/>
      <c r="J17" s="585"/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0"/>
      <c r="V17" s="580"/>
      <c r="W17" s="580"/>
      <c r="X17" s="580"/>
      <c r="Y17" s="395"/>
      <c r="Z17" s="395"/>
    </row>
    <row r="18" spans="1:26" ht="14.25">
      <c r="A18" s="146"/>
      <c r="B18" s="706" t="s">
        <v>442</v>
      </c>
      <c r="C18" s="707"/>
      <c r="D18" s="149">
        <f>+'[5]2014 bérek'!J48+'[5]2014 bérek'!J49</f>
        <v>257100</v>
      </c>
      <c r="E18" s="152" t="s">
        <v>179</v>
      </c>
      <c r="F18" s="149">
        <f>D18*11</f>
        <v>2828100</v>
      </c>
      <c r="G18" s="151"/>
      <c r="H18" s="149"/>
      <c r="I18" s="141"/>
      <c r="J18" s="585" t="s">
        <v>482</v>
      </c>
      <c r="K18" s="608" t="s">
        <v>483</v>
      </c>
      <c r="L18" s="608"/>
      <c r="M18" s="585">
        <v>80000</v>
      </c>
      <c r="N18" s="585"/>
      <c r="O18" s="585"/>
      <c r="P18" s="585"/>
      <c r="Q18" s="585"/>
      <c r="R18" s="585"/>
      <c r="S18" s="585"/>
      <c r="T18" s="585"/>
      <c r="U18" s="580"/>
      <c r="V18" s="580"/>
      <c r="W18" s="580"/>
      <c r="X18" s="580"/>
      <c r="Y18" s="395"/>
      <c r="Z18" s="395"/>
    </row>
    <row r="19" spans="1:26" ht="14.25">
      <c r="A19" s="146"/>
      <c r="B19" s="703"/>
      <c r="C19" s="703"/>
      <c r="D19" s="146"/>
      <c r="E19" s="146"/>
      <c r="F19" s="153"/>
      <c r="G19" s="149"/>
      <c r="H19" s="153"/>
      <c r="I19" s="139"/>
      <c r="J19" s="585"/>
      <c r="K19" s="609"/>
      <c r="L19" s="609"/>
      <c r="M19" s="585"/>
      <c r="N19" s="585"/>
      <c r="O19" s="585"/>
      <c r="P19" s="585"/>
      <c r="Q19" s="585"/>
      <c r="R19" s="585"/>
      <c r="S19" s="585"/>
      <c r="T19" s="585"/>
      <c r="U19" s="580"/>
      <c r="V19" s="580"/>
      <c r="W19" s="580"/>
      <c r="X19" s="580"/>
      <c r="Y19" s="395"/>
      <c r="Z19" s="395"/>
    </row>
    <row r="20" spans="2:26" ht="15">
      <c r="B20" s="500" t="s">
        <v>180</v>
      </c>
      <c r="C20" s="500"/>
      <c r="D20" s="152"/>
      <c r="E20" s="152"/>
      <c r="F20" s="153"/>
      <c r="G20" s="154">
        <f>SUM(G21:G21)</f>
        <v>505536</v>
      </c>
      <c r="H20" s="155">
        <f>G20/1000</f>
        <v>505.536</v>
      </c>
      <c r="I20" s="139"/>
      <c r="V20" s="580"/>
      <c r="W20" s="580"/>
      <c r="X20" s="580"/>
      <c r="Y20" s="395"/>
      <c r="Z20" s="395"/>
    </row>
    <row r="21" spans="1:26" ht="18.75" customHeight="1">
      <c r="A21" s="148"/>
      <c r="B21" s="152" t="s">
        <v>181</v>
      </c>
      <c r="C21" s="152"/>
      <c r="D21" s="152"/>
      <c r="E21" s="152"/>
      <c r="F21" s="153"/>
      <c r="G21" s="155">
        <f>SUM(F22:F23)</f>
        <v>505536</v>
      </c>
      <c r="H21" s="155"/>
      <c r="I21" s="139"/>
      <c r="V21" s="580"/>
      <c r="W21" s="580"/>
      <c r="X21" s="580"/>
      <c r="Y21" s="395"/>
      <c r="Z21" s="395"/>
    </row>
    <row r="22" spans="1:26" ht="14.25">
      <c r="A22" s="157"/>
      <c r="B22" s="90" t="s">
        <v>443</v>
      </c>
      <c r="C22" s="90"/>
      <c r="D22" s="90"/>
      <c r="E22" s="90"/>
      <c r="F22" s="67">
        <f>22*36*9*12</f>
        <v>85536</v>
      </c>
      <c r="G22" s="151"/>
      <c r="H22" s="67"/>
      <c r="I22" s="139"/>
      <c r="V22" s="580"/>
      <c r="W22" s="580"/>
      <c r="X22" s="580"/>
      <c r="Y22" s="395"/>
      <c r="Z22" s="395"/>
    </row>
    <row r="23" spans="1:26" ht="14.25">
      <c r="A23" s="146"/>
      <c r="B23" s="156" t="s">
        <v>182</v>
      </c>
      <c r="C23" s="156"/>
      <c r="D23" s="156"/>
      <c r="E23" s="152"/>
      <c r="F23" s="153">
        <v>420000</v>
      </c>
      <c r="G23" s="153"/>
      <c r="H23" s="153"/>
      <c r="I23" s="139"/>
      <c r="V23" s="580"/>
      <c r="W23" s="580"/>
      <c r="X23" s="580"/>
      <c r="Y23" s="395"/>
      <c r="Z23" s="395"/>
    </row>
    <row r="24" spans="1:26" ht="14.25">
      <c r="A24" s="146"/>
      <c r="B24" s="156"/>
      <c r="C24" s="156"/>
      <c r="D24" s="156"/>
      <c r="E24" s="152"/>
      <c r="F24" s="153"/>
      <c r="G24" s="153"/>
      <c r="H24" s="153"/>
      <c r="I24" s="139"/>
      <c r="V24" s="580"/>
      <c r="W24" s="580"/>
      <c r="X24" s="580"/>
      <c r="Y24" s="395"/>
      <c r="Z24" s="395"/>
    </row>
    <row r="25" spans="2:26" ht="15">
      <c r="B25" s="148" t="s">
        <v>444</v>
      </c>
      <c r="C25" s="158"/>
      <c r="D25" s="159"/>
      <c r="E25" s="146"/>
      <c r="F25" s="149"/>
      <c r="G25" s="155">
        <f>E27</f>
        <v>960000</v>
      </c>
      <c r="H25" s="160">
        <f>G25/1000</f>
        <v>960</v>
      </c>
      <c r="I25" s="141"/>
      <c r="V25" s="580"/>
      <c r="W25" s="580"/>
      <c r="X25" s="580"/>
      <c r="Y25" s="395"/>
      <c r="Z25" s="395"/>
    </row>
    <row r="26" spans="1:26" ht="15">
      <c r="A26" s="156"/>
      <c r="B26" s="156" t="s">
        <v>183</v>
      </c>
      <c r="C26" s="156"/>
      <c r="D26" s="152"/>
      <c r="E26" s="161"/>
      <c r="F26" s="152"/>
      <c r="G26" s="154"/>
      <c r="H26" s="153"/>
      <c r="I26" s="139"/>
      <c r="V26" s="580"/>
      <c r="W26" s="580"/>
      <c r="X26" s="580"/>
      <c r="Y26" s="395"/>
      <c r="Z26" s="395"/>
    </row>
    <row r="27" spans="1:26" ht="12.75" customHeight="1">
      <c r="A27" s="156"/>
      <c r="B27" s="156" t="s">
        <v>184</v>
      </c>
      <c r="C27" s="156"/>
      <c r="D27" s="152"/>
      <c r="E27" s="161">
        <f>80000*12</f>
        <v>960000</v>
      </c>
      <c r="F27" s="152"/>
      <c r="G27" s="151"/>
      <c r="H27" s="153"/>
      <c r="I27" s="139"/>
      <c r="V27" s="580"/>
      <c r="W27" s="580"/>
      <c r="X27" s="580"/>
      <c r="Y27" s="395"/>
      <c r="Z27" s="395"/>
    </row>
    <row r="28" spans="1:26" ht="13.5" thickBot="1">
      <c r="A28" s="141"/>
      <c r="B28" s="139"/>
      <c r="C28" s="139"/>
      <c r="D28" s="139"/>
      <c r="E28" s="139"/>
      <c r="F28" s="139"/>
      <c r="G28" s="173"/>
      <c r="H28" s="173"/>
      <c r="I28" s="139"/>
      <c r="V28" s="580"/>
      <c r="W28" s="580"/>
      <c r="X28" s="580"/>
      <c r="Y28" s="395"/>
      <c r="Z28" s="395"/>
    </row>
    <row r="29" spans="1:24" ht="15.75" thickBot="1">
      <c r="A29" s="162" t="s">
        <v>185</v>
      </c>
      <c r="B29" s="163"/>
      <c r="C29" s="163"/>
      <c r="D29" s="163"/>
      <c r="E29" s="163"/>
      <c r="F29" s="163"/>
      <c r="G29" s="164">
        <f>G15+G20+G25</f>
        <v>4550736</v>
      </c>
      <c r="H29" s="396">
        <f>ROUND(G29/1000,0)</f>
        <v>4551</v>
      </c>
      <c r="I29" s="145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</row>
    <row r="30" spans="1:24" ht="12.75">
      <c r="A30" s="145"/>
      <c r="B30" s="139"/>
      <c r="C30" s="139"/>
      <c r="D30" s="139"/>
      <c r="E30" s="139"/>
      <c r="F30" s="139"/>
      <c r="G30" s="498"/>
      <c r="H30" s="498"/>
      <c r="I30" s="145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1:24" ht="15">
      <c r="A31" s="501" t="s">
        <v>186</v>
      </c>
      <c r="B31" s="166"/>
      <c r="C31" s="166"/>
      <c r="D31" s="166"/>
      <c r="E31" s="166"/>
      <c r="F31" s="166"/>
      <c r="G31" s="168"/>
      <c r="H31" s="502"/>
      <c r="I31" s="610"/>
      <c r="J31" s="140"/>
      <c r="K31" s="140"/>
      <c r="L31" s="140"/>
      <c r="M31" s="611"/>
      <c r="N31" s="611"/>
      <c r="O31" s="611"/>
      <c r="P31" s="612">
        <f>+P11+M11</f>
        <v>93047.5</v>
      </c>
      <c r="Q31" s="612">
        <f>+M11+P11+Q11</f>
        <v>108047.5</v>
      </c>
      <c r="R31" s="611"/>
      <c r="S31" s="140"/>
      <c r="T31" s="140"/>
      <c r="U31" s="140"/>
      <c r="V31" s="140"/>
      <c r="W31" s="140"/>
      <c r="X31" s="140"/>
    </row>
    <row r="32" spans="1:24" ht="15">
      <c r="A32" s="165"/>
      <c r="B32" s="167"/>
      <c r="C32" s="166"/>
      <c r="D32" s="166"/>
      <c r="E32" s="168"/>
      <c r="F32" s="168"/>
      <c r="G32" s="168"/>
      <c r="H32" s="502"/>
      <c r="I32" s="610"/>
      <c r="J32" s="140"/>
      <c r="K32" s="613"/>
      <c r="L32" s="613"/>
      <c r="M32" s="613"/>
      <c r="N32" s="613"/>
      <c r="O32" s="139"/>
      <c r="P32" s="139"/>
      <c r="Q32" s="139"/>
      <c r="R32" s="614"/>
      <c r="S32" s="139"/>
      <c r="T32" s="140"/>
      <c r="U32" s="140"/>
      <c r="V32" s="140"/>
      <c r="W32" s="140"/>
      <c r="X32" s="140"/>
    </row>
    <row r="33" spans="1:24" ht="15">
      <c r="A33" s="169"/>
      <c r="B33" s="503" t="s">
        <v>209</v>
      </c>
      <c r="C33" s="171"/>
      <c r="F33" s="166"/>
      <c r="G33" s="32">
        <f>SUM(G34:G35)</f>
        <v>1066284</v>
      </c>
      <c r="H33" s="154">
        <f>ROUND(G33/1000,0)</f>
        <v>1066</v>
      </c>
      <c r="I33" s="141"/>
      <c r="J33" s="140"/>
      <c r="K33" s="615"/>
      <c r="L33" s="615"/>
      <c r="M33" s="615"/>
      <c r="N33" s="616"/>
      <c r="O33" s="139"/>
      <c r="P33" s="139"/>
      <c r="Q33" s="139"/>
      <c r="R33" s="614"/>
      <c r="S33" s="139"/>
      <c r="T33" s="140"/>
      <c r="U33" s="140"/>
      <c r="V33" s="140"/>
      <c r="W33" s="140"/>
      <c r="X33" s="140"/>
    </row>
    <row r="34" spans="1:24" ht="14.25">
      <c r="A34" s="172"/>
      <c r="B34" s="171" t="s">
        <v>445</v>
      </c>
      <c r="C34" s="171"/>
      <c r="D34" s="171">
        <f>+G15</f>
        <v>3085200</v>
      </c>
      <c r="E34" s="171" t="s">
        <v>446</v>
      </c>
      <c r="F34" s="166"/>
      <c r="G34" s="168">
        <f>+D34*27%</f>
        <v>833004</v>
      </c>
      <c r="H34" s="504"/>
      <c r="I34" s="141"/>
      <c r="J34" s="140"/>
      <c r="K34" s="613"/>
      <c r="L34" s="613"/>
      <c r="M34" s="613"/>
      <c r="N34" s="613"/>
      <c r="O34" s="139"/>
      <c r="P34" s="139"/>
      <c r="Q34" s="139"/>
      <c r="R34" s="614"/>
      <c r="S34" s="139"/>
      <c r="T34" s="140"/>
      <c r="U34" s="140"/>
      <c r="V34" s="140"/>
      <c r="W34" s="140"/>
      <c r="X34" s="140"/>
    </row>
    <row r="35" spans="1:24" ht="14.25">
      <c r="A35" s="170"/>
      <c r="B35" s="171" t="s">
        <v>447</v>
      </c>
      <c r="C35" s="171"/>
      <c r="D35" s="171">
        <f>+G25</f>
        <v>960000</v>
      </c>
      <c r="E35" s="171" t="s">
        <v>448</v>
      </c>
      <c r="F35" s="166"/>
      <c r="G35" s="168">
        <f>+D35*90%*27%</f>
        <v>233280.00000000003</v>
      </c>
      <c r="H35" s="504"/>
      <c r="I35" s="141"/>
      <c r="J35" s="140"/>
      <c r="K35" s="613"/>
      <c r="L35" s="613"/>
      <c r="M35" s="613"/>
      <c r="N35" s="613"/>
      <c r="O35" s="139"/>
      <c r="P35" s="139"/>
      <c r="Q35" s="139"/>
      <c r="R35" s="614"/>
      <c r="S35" s="139"/>
      <c r="T35" s="140"/>
      <c r="U35" s="140"/>
      <c r="V35" s="140"/>
      <c r="W35" s="140"/>
      <c r="X35" s="140"/>
    </row>
    <row r="36" spans="1:24" ht="13.5" thickBot="1">
      <c r="A36" s="141"/>
      <c r="B36" s="139"/>
      <c r="C36" s="139"/>
      <c r="D36" s="139"/>
      <c r="E36" s="139"/>
      <c r="F36" s="139"/>
      <c r="G36" s="173"/>
      <c r="H36" s="173"/>
      <c r="I36" s="139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</row>
    <row r="37" spans="1:24" ht="15.75" thickBot="1">
      <c r="A37" s="162" t="s">
        <v>449</v>
      </c>
      <c r="B37" s="163"/>
      <c r="C37" s="174"/>
      <c r="D37" s="174"/>
      <c r="E37" s="174"/>
      <c r="F37" s="174"/>
      <c r="G37" s="164">
        <f>+G33</f>
        <v>1066284</v>
      </c>
      <c r="H37" s="396">
        <f>ROUND(G37/1000,0)</f>
        <v>1066</v>
      </c>
      <c r="I37" s="139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</row>
    <row r="38" spans="1:24" ht="12.75">
      <c r="A38" s="141"/>
      <c r="B38" s="141"/>
      <c r="C38" s="141"/>
      <c r="D38" s="141"/>
      <c r="E38" s="141"/>
      <c r="F38" s="141"/>
      <c r="G38" s="173"/>
      <c r="H38" s="173"/>
      <c r="I38" s="139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</row>
    <row r="39" spans="1:24" ht="15">
      <c r="A39" s="175" t="s">
        <v>187</v>
      </c>
      <c r="B39" s="176"/>
      <c r="C39" s="146"/>
      <c r="D39" s="146"/>
      <c r="E39" s="146"/>
      <c r="F39" s="146"/>
      <c r="G39" s="149"/>
      <c r="H39" s="149"/>
      <c r="I39" s="139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</row>
    <row r="40" spans="1:24" ht="14.25">
      <c r="A40" s="146"/>
      <c r="B40" s="152"/>
      <c r="C40" s="152"/>
      <c r="D40" s="152"/>
      <c r="E40" s="152"/>
      <c r="F40" s="152"/>
      <c r="G40" s="153"/>
      <c r="H40" s="153"/>
      <c r="I40" s="139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</row>
    <row r="41" spans="1:24" ht="15">
      <c r="A41" s="148"/>
      <c r="B41" s="152" t="s">
        <v>188</v>
      </c>
      <c r="C41" s="152"/>
      <c r="D41" s="152"/>
      <c r="E41" s="152"/>
      <c r="F41" s="152"/>
      <c r="G41" s="153">
        <v>50000</v>
      </c>
      <c r="H41" s="153">
        <f>G41/1000</f>
        <v>50</v>
      </c>
      <c r="I41" s="139">
        <f>G41*27%</f>
        <v>13500</v>
      </c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</row>
    <row r="42" spans="1:24" ht="15">
      <c r="A42" s="148"/>
      <c r="B42" s="152" t="s">
        <v>189</v>
      </c>
      <c r="C42" s="152"/>
      <c r="D42" s="152"/>
      <c r="E42" s="152"/>
      <c r="F42" s="152"/>
      <c r="G42" s="153">
        <v>20000</v>
      </c>
      <c r="H42" s="153">
        <f>G42/1000</f>
        <v>20</v>
      </c>
      <c r="I42" s="139">
        <f>G42*27%</f>
        <v>5400</v>
      </c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</row>
    <row r="43" spans="1:24" ht="15">
      <c r="A43" s="148"/>
      <c r="B43" s="152" t="s">
        <v>190</v>
      </c>
      <c r="C43" s="152"/>
      <c r="D43" s="152"/>
      <c r="E43" s="152"/>
      <c r="F43" s="152"/>
      <c r="G43" s="153">
        <v>32000</v>
      </c>
      <c r="H43" s="153">
        <f>G43/1000</f>
        <v>32</v>
      </c>
      <c r="I43" s="139">
        <f>G43*27%</f>
        <v>8640</v>
      </c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</row>
    <row r="44" spans="1:24" ht="15">
      <c r="A44" s="148"/>
      <c r="B44" s="152" t="s">
        <v>191</v>
      </c>
      <c r="C44" s="152"/>
      <c r="D44" s="152"/>
      <c r="E44" s="152"/>
      <c r="F44" s="152"/>
      <c r="G44" s="153">
        <f>SUM(E45:E46)</f>
        <v>288000</v>
      </c>
      <c r="H44" s="153">
        <f>G44/1000</f>
        <v>288</v>
      </c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</row>
    <row r="45" spans="1:24" ht="14.25">
      <c r="A45" s="146"/>
      <c r="B45" s="177" t="s">
        <v>192</v>
      </c>
      <c r="C45" s="152" t="s">
        <v>450</v>
      </c>
      <c r="D45" s="152"/>
      <c r="E45" s="152">
        <f>3*4000*12</f>
        <v>144000</v>
      </c>
      <c r="F45" s="152"/>
      <c r="G45" s="153"/>
      <c r="H45" s="153"/>
      <c r="I45" s="139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</row>
    <row r="46" spans="1:24" ht="15">
      <c r="A46" s="147"/>
      <c r="B46" s="177" t="s">
        <v>193</v>
      </c>
      <c r="C46" s="152" t="s">
        <v>194</v>
      </c>
      <c r="D46" s="152"/>
      <c r="E46" s="152">
        <f>12*12000</f>
        <v>144000</v>
      </c>
      <c r="F46" s="152"/>
      <c r="G46" s="153"/>
      <c r="H46" s="153"/>
      <c r="I46" s="139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</row>
    <row r="47" spans="1:24" ht="15">
      <c r="A47" s="147"/>
      <c r="B47" s="152" t="s">
        <v>195</v>
      </c>
      <c r="C47" s="152"/>
      <c r="D47" s="152"/>
      <c r="E47" s="152"/>
      <c r="F47" s="152"/>
      <c r="G47" s="153">
        <v>150000</v>
      </c>
      <c r="H47" s="153">
        <f aca="true" t="shared" si="0" ref="H47:H52">G47/1000</f>
        <v>150</v>
      </c>
      <c r="I47" s="139">
        <f>G47*27%</f>
        <v>40500</v>
      </c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</row>
    <row r="48" spans="1:24" ht="15">
      <c r="A48" s="147"/>
      <c r="B48" s="152" t="s">
        <v>196</v>
      </c>
      <c r="C48" s="152"/>
      <c r="D48" s="152"/>
      <c r="E48" s="152"/>
      <c r="F48" s="152"/>
      <c r="G48" s="153">
        <v>80000</v>
      </c>
      <c r="H48" s="153">
        <f t="shared" si="0"/>
        <v>80</v>
      </c>
      <c r="I48" s="139">
        <f>G48*27%</f>
        <v>21600</v>
      </c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</row>
    <row r="49" spans="1:24" ht="15">
      <c r="A49" s="147"/>
      <c r="B49" s="152" t="s">
        <v>197</v>
      </c>
      <c r="C49" s="152"/>
      <c r="D49" s="152"/>
      <c r="E49" s="152"/>
      <c r="F49" s="152"/>
      <c r="G49" s="153">
        <v>50000</v>
      </c>
      <c r="H49" s="153">
        <f t="shared" si="0"/>
        <v>50</v>
      </c>
      <c r="I49" s="139">
        <f>G49*27%</f>
        <v>13500</v>
      </c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</row>
    <row r="50" spans="1:24" ht="15">
      <c r="A50" s="147"/>
      <c r="B50" s="152" t="s">
        <v>198</v>
      </c>
      <c r="C50" s="152"/>
      <c r="D50" s="152"/>
      <c r="E50" s="152"/>
      <c r="F50" s="152"/>
      <c r="G50" s="153">
        <f>298000-56693</f>
        <v>241307</v>
      </c>
      <c r="H50" s="153">
        <f t="shared" si="0"/>
        <v>241.307</v>
      </c>
      <c r="I50" s="139">
        <f>G50*27%</f>
        <v>65152.89000000001</v>
      </c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</row>
    <row r="51" spans="1:24" ht="15">
      <c r="A51" s="147"/>
      <c r="B51" s="152" t="s">
        <v>199</v>
      </c>
      <c r="C51" s="152"/>
      <c r="D51" s="152"/>
      <c r="E51" s="152"/>
      <c r="F51" s="152"/>
      <c r="G51" s="153">
        <v>60000</v>
      </c>
      <c r="H51" s="153">
        <f t="shared" si="0"/>
        <v>60</v>
      </c>
      <c r="I51" s="139">
        <f>G51*27%</f>
        <v>16200.000000000002</v>
      </c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</row>
    <row r="52" spans="1:24" ht="15">
      <c r="A52" s="147"/>
      <c r="B52" s="152" t="s">
        <v>200</v>
      </c>
      <c r="C52" s="152"/>
      <c r="D52" s="152"/>
      <c r="E52" s="152"/>
      <c r="F52" s="152"/>
      <c r="G52" s="153">
        <f>SUM(F53:F57)</f>
        <v>1064000</v>
      </c>
      <c r="H52" s="153">
        <f t="shared" si="0"/>
        <v>1064</v>
      </c>
      <c r="I52" s="139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</row>
    <row r="53" spans="1:24" ht="14.25">
      <c r="A53" s="146"/>
      <c r="B53" s="505" t="s">
        <v>201</v>
      </c>
      <c r="C53" s="506">
        <v>50000</v>
      </c>
      <c r="D53" s="506" t="s">
        <v>451</v>
      </c>
      <c r="E53" s="152"/>
      <c r="F53" s="153">
        <f>50000*12</f>
        <v>600000</v>
      </c>
      <c r="H53" s="153"/>
      <c r="I53" s="139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</row>
    <row r="54" spans="1:24" ht="14.25">
      <c r="A54" s="146"/>
      <c r="B54" s="505" t="s">
        <v>202</v>
      </c>
      <c r="C54" s="506">
        <v>40000</v>
      </c>
      <c r="D54" s="506" t="s">
        <v>452</v>
      </c>
      <c r="E54" s="152"/>
      <c r="F54" s="153">
        <f>40000*6</f>
        <v>240000</v>
      </c>
      <c r="H54" s="153"/>
      <c r="I54" s="139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</row>
    <row r="55" spans="1:24" ht="14.25">
      <c r="A55" s="146"/>
      <c r="B55" s="505" t="s">
        <v>203</v>
      </c>
      <c r="C55" s="506"/>
      <c r="D55" s="506"/>
      <c r="E55" s="152"/>
      <c r="F55" s="153">
        <v>100000</v>
      </c>
      <c r="H55" s="153"/>
      <c r="I55" s="139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</row>
    <row r="56" spans="1:24" ht="14.25">
      <c r="A56" s="146"/>
      <c r="B56" s="505" t="s">
        <v>204</v>
      </c>
      <c r="C56" s="506"/>
      <c r="D56" s="506"/>
      <c r="E56" s="152"/>
      <c r="F56" s="152">
        <v>100000</v>
      </c>
      <c r="G56" s="153"/>
      <c r="H56" s="153"/>
      <c r="I56" s="139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</row>
    <row r="57" spans="1:24" ht="14.25">
      <c r="A57" s="146"/>
      <c r="B57" s="505" t="s">
        <v>453</v>
      </c>
      <c r="C57" s="506">
        <v>12000</v>
      </c>
      <c r="D57" s="506" t="s">
        <v>454</v>
      </c>
      <c r="E57" s="152"/>
      <c r="F57" s="152">
        <f>+C57*2</f>
        <v>24000</v>
      </c>
      <c r="G57" s="153"/>
      <c r="H57" s="153"/>
      <c r="I57" s="139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</row>
    <row r="58" spans="1:24" ht="15">
      <c r="A58" s="148"/>
      <c r="B58" s="152" t="s">
        <v>205</v>
      </c>
      <c r="C58" s="152"/>
      <c r="D58" s="152"/>
      <c r="E58" s="152"/>
      <c r="F58" s="152"/>
      <c r="G58" s="153">
        <f>170000+36835-43655</f>
        <v>163180</v>
      </c>
      <c r="H58" s="153">
        <f>G58/1000</f>
        <v>163.18</v>
      </c>
      <c r="I58" s="139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</row>
    <row r="59" spans="1:24" ht="16.5" customHeight="1">
      <c r="A59" s="148"/>
      <c r="B59" s="152" t="s">
        <v>206</v>
      </c>
      <c r="C59" s="152"/>
      <c r="D59" s="152"/>
      <c r="E59" s="152"/>
      <c r="F59" s="152"/>
      <c r="G59" s="153">
        <f>I59</f>
        <v>184492.89</v>
      </c>
      <c r="H59" s="153">
        <f>G59/1000</f>
        <v>184.49289000000002</v>
      </c>
      <c r="I59" s="139">
        <f>SUM(I41:I51)</f>
        <v>184492.89</v>
      </c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</row>
    <row r="60" spans="1:24" ht="15" thickBot="1">
      <c r="A60" s="146"/>
      <c r="B60" s="152"/>
      <c r="C60" s="152"/>
      <c r="D60" s="152"/>
      <c r="E60" s="152"/>
      <c r="F60" s="152"/>
      <c r="G60" s="153"/>
      <c r="H60" s="153"/>
      <c r="I60" s="139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</row>
    <row r="61" spans="1:24" ht="15.75" thickBot="1">
      <c r="A61" s="162" t="s">
        <v>207</v>
      </c>
      <c r="B61" s="174"/>
      <c r="C61" s="174"/>
      <c r="D61" s="174"/>
      <c r="E61" s="174"/>
      <c r="F61" s="174"/>
      <c r="G61" s="164">
        <f>SUM(G41:G59)</f>
        <v>2382979.89</v>
      </c>
      <c r="H61" s="396">
        <f>ROUND(G61/1000,0)</f>
        <v>2383</v>
      </c>
      <c r="I61" s="139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</row>
    <row r="62" spans="1:24" ht="15" thickBot="1">
      <c r="A62" s="146"/>
      <c r="B62" s="152"/>
      <c r="C62" s="152"/>
      <c r="D62" s="152"/>
      <c r="E62" s="152"/>
      <c r="F62" s="152"/>
      <c r="G62" s="153"/>
      <c r="H62" s="153"/>
      <c r="I62" s="139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</row>
    <row r="63" spans="1:24" ht="28.5" customHeight="1" thickBot="1">
      <c r="A63" s="142" t="s">
        <v>208</v>
      </c>
      <c r="B63" s="143"/>
      <c r="C63" s="143"/>
      <c r="D63" s="143"/>
      <c r="E63" s="143"/>
      <c r="F63" s="143"/>
      <c r="G63" s="144">
        <f>G61+G37+G29</f>
        <v>7999999.890000001</v>
      </c>
      <c r="H63" s="397">
        <f>H61+H37+H29</f>
        <v>8000</v>
      </c>
      <c r="I63" s="139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</row>
    <row r="64" spans="9:24" ht="12.75">
      <c r="I64" s="139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</row>
    <row r="65" spans="9:24" ht="12.75">
      <c r="I65" s="139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</row>
    <row r="66" spans="2:24" ht="12.75">
      <c r="B66" s="50" t="s">
        <v>210</v>
      </c>
      <c r="G66" s="49">
        <f>+G11-G63</f>
        <v>0.10999999940395355</v>
      </c>
      <c r="H66" s="49">
        <f>+G66/1.27</f>
        <v>0.08661417275901855</v>
      </c>
      <c r="I66" s="139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</row>
    <row r="67" spans="9:24" ht="12.75">
      <c r="I67" s="139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</row>
    <row r="68" spans="9:24" ht="12.75">
      <c r="I68" s="139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</row>
    <row r="69" spans="9:24" ht="12.75">
      <c r="I69" s="145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</row>
    <row r="70" spans="9:24" ht="12.75">
      <c r="I70" s="139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</row>
    <row r="71" spans="9:24" ht="12.75">
      <c r="I71" s="145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</row>
  </sheetData>
  <sheetProtection/>
  <mergeCells count="5">
    <mergeCell ref="B19:C19"/>
    <mergeCell ref="D4:E4"/>
    <mergeCell ref="C6:F6"/>
    <mergeCell ref="B17:C17"/>
    <mergeCell ref="B18:C18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&amp;L13. melléklet a 2014. évi 2/2014.(I.24.) Önkormányzati költségvetési rendelethez&amp;R&amp;D</oddHeader>
    <oddFooter>&amp;R&amp;F</oddFooter>
  </headerFooter>
  <rowBreaks count="1" manualBreakCount="1">
    <brk id="52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F18" sqref="F18"/>
    </sheetView>
  </sheetViews>
  <sheetFormatPr defaultColWidth="10.421875" defaultRowHeight="12.75"/>
  <cols>
    <col min="1" max="1" width="7.57421875" style="404" customWidth="1"/>
    <col min="2" max="2" width="56.421875" style="404" customWidth="1"/>
    <col min="3" max="3" width="18.7109375" style="404" customWidth="1"/>
    <col min="4" max="16384" width="10.421875" style="404" customWidth="1"/>
  </cols>
  <sheetData>
    <row r="1" spans="1:3" ht="78.75" customHeight="1">
      <c r="A1" s="708" t="s">
        <v>344</v>
      </c>
      <c r="B1" s="708"/>
      <c r="C1" s="708"/>
    </row>
    <row r="2" spans="1:4" ht="15.75" thickBot="1">
      <c r="A2" s="405"/>
      <c r="B2" s="405"/>
      <c r="C2" s="406" t="s">
        <v>345</v>
      </c>
      <c r="D2" s="407"/>
    </row>
    <row r="3" spans="1:3" ht="32.25" thickBot="1">
      <c r="A3" s="408" t="s">
        <v>298</v>
      </c>
      <c r="B3" s="409" t="s">
        <v>346</v>
      </c>
      <c r="C3" s="410" t="s">
        <v>356</v>
      </c>
    </row>
    <row r="4" spans="1:3" ht="16.5" thickBot="1">
      <c r="A4" s="411" t="s">
        <v>11</v>
      </c>
      <c r="B4" s="412" t="s">
        <v>362</v>
      </c>
      <c r="C4" s="413" t="s">
        <v>13</v>
      </c>
    </row>
    <row r="5" spans="1:3" ht="15.75">
      <c r="A5" s="426" t="s">
        <v>20</v>
      </c>
      <c r="B5" s="414" t="s">
        <v>347</v>
      </c>
      <c r="C5" s="415">
        <f>+1mell!E11+1mell!E13+1mell!E14+1mell!E15</f>
        <v>142778</v>
      </c>
    </row>
    <row r="6" spans="1:3" ht="15.75">
      <c r="A6" s="427" t="s">
        <v>21</v>
      </c>
      <c r="B6" s="416" t="s">
        <v>348</v>
      </c>
      <c r="C6" s="417"/>
    </row>
    <row r="7" spans="1:3" ht="15.75">
      <c r="A7" s="427" t="s">
        <v>22</v>
      </c>
      <c r="B7" s="416" t="s">
        <v>349</v>
      </c>
      <c r="C7" s="417">
        <f>+1mell!E16</f>
        <v>2500</v>
      </c>
    </row>
    <row r="8" spans="1:3" ht="31.5">
      <c r="A8" s="427" t="s">
        <v>23</v>
      </c>
      <c r="B8" s="418" t="s">
        <v>350</v>
      </c>
      <c r="C8" s="417"/>
    </row>
    <row r="9" spans="1:3" ht="15.75">
      <c r="A9" s="428" t="s">
        <v>24</v>
      </c>
      <c r="B9" s="419" t="s">
        <v>351</v>
      </c>
      <c r="C9" s="417"/>
    </row>
    <row r="10" spans="1:3" ht="15.75">
      <c r="A10" s="427" t="s">
        <v>25</v>
      </c>
      <c r="B10" s="416" t="s">
        <v>352</v>
      </c>
      <c r="C10" s="417"/>
    </row>
    <row r="11" spans="1:3" ht="16.5" thickBot="1">
      <c r="A11" s="428" t="s">
        <v>26</v>
      </c>
      <c r="B11" s="419" t="s">
        <v>353</v>
      </c>
      <c r="C11" s="425"/>
    </row>
    <row r="12" spans="1:3" ht="17.25" thickBot="1">
      <c r="A12" s="429" t="s">
        <v>27</v>
      </c>
      <c r="B12" s="424" t="s">
        <v>354</v>
      </c>
      <c r="C12" s="420">
        <f>SUM(C5:C11)</f>
        <v>145278</v>
      </c>
    </row>
    <row r="13" spans="1:3" ht="39" customHeight="1">
      <c r="A13" s="709" t="s">
        <v>355</v>
      </c>
      <c r="B13" s="709"/>
      <c r="C13" s="709"/>
    </row>
  </sheetData>
  <sheetProtection/>
  <mergeCells count="2">
    <mergeCell ref="A1:C1"/>
    <mergeCell ref="A13:C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&amp;L14. melléklet a 2014. évi 2/2014.(I.24.) Önkormányzati költségvetési rendelethez</oddHeader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AS259"/>
  <sheetViews>
    <sheetView zoomScalePageLayoutView="0" workbookViewId="0" topLeftCell="A1">
      <selection activeCell="C27" sqref="C27"/>
    </sheetView>
  </sheetViews>
  <sheetFormatPr defaultColWidth="9.140625" defaultRowHeight="13.5" customHeight="1"/>
  <cols>
    <col min="1" max="1" width="4.00390625" style="105" customWidth="1"/>
    <col min="2" max="2" width="4.7109375" style="105" customWidth="1"/>
    <col min="3" max="3" width="23.7109375" style="105" customWidth="1"/>
    <col min="4" max="5" width="12.7109375" style="105" bestFit="1" customWidth="1"/>
    <col min="6" max="6" width="10.140625" style="105" bestFit="1" customWidth="1"/>
    <col min="7" max="7" width="8.28125" style="105" bestFit="1" customWidth="1"/>
    <col min="8" max="10" width="10.140625" style="105" bestFit="1" customWidth="1"/>
    <col min="11" max="11" width="9.8515625" style="105" bestFit="1" customWidth="1"/>
    <col min="12" max="12" width="11.00390625" style="105" bestFit="1" customWidth="1"/>
    <col min="13" max="13" width="10.140625" style="105" bestFit="1" customWidth="1"/>
    <col min="14" max="14" width="11.57421875" style="105" bestFit="1" customWidth="1"/>
    <col min="15" max="15" width="11.140625" style="105" bestFit="1" customWidth="1"/>
    <col min="16" max="16" width="11.140625" style="313" bestFit="1" customWidth="1"/>
    <col min="17" max="18" width="9.7109375" style="312" customWidth="1"/>
    <col min="19" max="19" width="10.57421875" style="312" customWidth="1"/>
    <col min="20" max="20" width="13.00390625" style="312" customWidth="1"/>
    <col min="21" max="21" width="9.28125" style="312" customWidth="1"/>
    <col min="22" max="45" width="9.140625" style="312" customWidth="1"/>
    <col min="46" max="16384" width="9.140625" style="105" customWidth="1"/>
  </cols>
  <sheetData>
    <row r="3" spans="2:16" ht="32.25" customHeight="1">
      <c r="B3" s="710" t="s">
        <v>438</v>
      </c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</row>
    <row r="4" spans="1:16" ht="32.25" customHeight="1" thickBot="1">
      <c r="A4" s="105" t="s">
        <v>11</v>
      </c>
      <c r="B4" s="314" t="s">
        <v>362</v>
      </c>
      <c r="C4" s="314" t="s">
        <v>13</v>
      </c>
      <c r="D4" s="314" t="s">
        <v>14</v>
      </c>
      <c r="E4" s="314" t="s">
        <v>15</v>
      </c>
      <c r="F4" s="314" t="s">
        <v>16</v>
      </c>
      <c r="G4" s="314" t="s">
        <v>17</v>
      </c>
      <c r="H4" s="314" t="s">
        <v>18</v>
      </c>
      <c r="I4" s="314" t="s">
        <v>59</v>
      </c>
      <c r="J4" s="314" t="s">
        <v>369</v>
      </c>
      <c r="K4" s="314" t="s">
        <v>363</v>
      </c>
      <c r="L4" s="314" t="s">
        <v>364</v>
      </c>
      <c r="M4" s="314" t="s">
        <v>366</v>
      </c>
      <c r="N4" s="314" t="s">
        <v>370</v>
      </c>
      <c r="O4" s="314" t="s">
        <v>371</v>
      </c>
      <c r="P4" s="314" t="s">
        <v>372</v>
      </c>
    </row>
    <row r="5" spans="1:16" ht="18" customHeight="1" thickBot="1">
      <c r="A5" s="105" t="s">
        <v>20</v>
      </c>
      <c r="B5" s="280" t="s">
        <v>298</v>
      </c>
      <c r="C5" s="281" t="s">
        <v>63</v>
      </c>
      <c r="D5" s="281" t="s">
        <v>299</v>
      </c>
      <c r="E5" s="281" t="s">
        <v>300</v>
      </c>
      <c r="F5" s="281" t="s">
        <v>301</v>
      </c>
      <c r="G5" s="281" t="s">
        <v>302</v>
      </c>
      <c r="H5" s="281" t="s">
        <v>303</v>
      </c>
      <c r="I5" s="281" t="s">
        <v>304</v>
      </c>
      <c r="J5" s="281" t="s">
        <v>305</v>
      </c>
      <c r="K5" s="281" t="s">
        <v>306</v>
      </c>
      <c r="L5" s="281" t="s">
        <v>307</v>
      </c>
      <c r="M5" s="281" t="s">
        <v>308</v>
      </c>
      <c r="N5" s="281" t="s">
        <v>309</v>
      </c>
      <c r="O5" s="281" t="s">
        <v>310</v>
      </c>
      <c r="P5" s="282" t="s">
        <v>311</v>
      </c>
    </row>
    <row r="6" spans="1:16" ht="13.5" customHeight="1" thickBot="1">
      <c r="A6" s="105" t="s">
        <v>21</v>
      </c>
      <c r="B6" s="283" t="s">
        <v>20</v>
      </c>
      <c r="C6" s="284" t="s">
        <v>93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300"/>
    </row>
    <row r="7" spans="1:16" ht="13.5" customHeight="1">
      <c r="A7" s="105" t="s">
        <v>22</v>
      </c>
      <c r="B7" s="286" t="s">
        <v>21</v>
      </c>
      <c r="C7" s="287" t="s">
        <v>332</v>
      </c>
      <c r="D7" s="315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7" t="s">
        <v>333</v>
      </c>
    </row>
    <row r="8" spans="1:16" ht="13.5" customHeight="1">
      <c r="A8" s="105" t="s">
        <v>23</v>
      </c>
      <c r="B8" s="290" t="s">
        <v>22</v>
      </c>
      <c r="C8" s="291" t="s">
        <v>313</v>
      </c>
      <c r="D8" s="318">
        <v>42</v>
      </c>
      <c r="E8" s="318">
        <f>+D8</f>
        <v>42</v>
      </c>
      <c r="F8" s="318">
        <f aca="true" t="shared" si="0" ref="F8:N8">+E8</f>
        <v>42</v>
      </c>
      <c r="G8" s="318">
        <f t="shared" si="0"/>
        <v>42</v>
      </c>
      <c r="H8" s="318">
        <f t="shared" si="0"/>
        <v>42</v>
      </c>
      <c r="I8" s="318">
        <f t="shared" si="0"/>
        <v>42</v>
      </c>
      <c r="J8" s="318">
        <f t="shared" si="0"/>
        <v>42</v>
      </c>
      <c r="K8" s="318">
        <f t="shared" si="0"/>
        <v>42</v>
      </c>
      <c r="L8" s="318">
        <f t="shared" si="0"/>
        <v>42</v>
      </c>
      <c r="M8" s="318">
        <f t="shared" si="0"/>
        <v>42</v>
      </c>
      <c r="N8" s="318">
        <f t="shared" si="0"/>
        <v>42</v>
      </c>
      <c r="O8" s="318">
        <f>+N8-4</f>
        <v>38</v>
      </c>
      <c r="P8" s="629">
        <f>SUM(D8:O8)</f>
        <v>500</v>
      </c>
    </row>
    <row r="9" spans="1:16" ht="22.5" customHeight="1">
      <c r="A9" s="105" t="s">
        <v>24</v>
      </c>
      <c r="B9" s="290" t="s">
        <v>23</v>
      </c>
      <c r="C9" s="294" t="s">
        <v>361</v>
      </c>
      <c r="D9" s="320">
        <v>20064</v>
      </c>
      <c r="E9" s="320">
        <f>+D9</f>
        <v>20064</v>
      </c>
      <c r="F9" s="320">
        <f aca="true" t="shared" si="1" ref="F9:N9">+E9</f>
        <v>20064</v>
      </c>
      <c r="G9" s="320">
        <f t="shared" si="1"/>
        <v>20064</v>
      </c>
      <c r="H9" s="320">
        <f t="shared" si="1"/>
        <v>20064</v>
      </c>
      <c r="I9" s="320">
        <f t="shared" si="1"/>
        <v>20064</v>
      </c>
      <c r="J9" s="320">
        <f t="shared" si="1"/>
        <v>20064</v>
      </c>
      <c r="K9" s="320">
        <f t="shared" si="1"/>
        <v>20064</v>
      </c>
      <c r="L9" s="320">
        <f t="shared" si="1"/>
        <v>20064</v>
      </c>
      <c r="M9" s="320">
        <f t="shared" si="1"/>
        <v>20064</v>
      </c>
      <c r="N9" s="320">
        <f t="shared" si="1"/>
        <v>20064</v>
      </c>
      <c r="O9" s="320">
        <f>+N9+5</f>
        <v>20069</v>
      </c>
      <c r="P9" s="321">
        <f>SUM(D9:O9)</f>
        <v>240773</v>
      </c>
    </row>
    <row r="10" spans="1:16" ht="13.5" customHeight="1">
      <c r="A10" s="105" t="s">
        <v>25</v>
      </c>
      <c r="B10" s="290" t="s">
        <v>24</v>
      </c>
      <c r="C10" s="291" t="s">
        <v>315</v>
      </c>
      <c r="D10" s="318">
        <v>12937</v>
      </c>
      <c r="E10" s="318">
        <f>+D10</f>
        <v>12937</v>
      </c>
      <c r="F10" s="318">
        <f aca="true" t="shared" si="2" ref="F10:N10">+E10</f>
        <v>12937</v>
      </c>
      <c r="G10" s="318">
        <f t="shared" si="2"/>
        <v>12937</v>
      </c>
      <c r="H10" s="318">
        <f t="shared" si="2"/>
        <v>12937</v>
      </c>
      <c r="I10" s="318">
        <f t="shared" si="2"/>
        <v>12937</v>
      </c>
      <c r="J10" s="318">
        <f t="shared" si="2"/>
        <v>12937</v>
      </c>
      <c r="K10" s="318">
        <f t="shared" si="2"/>
        <v>12937</v>
      </c>
      <c r="L10" s="318">
        <f t="shared" si="2"/>
        <v>12937</v>
      </c>
      <c r="M10" s="318">
        <f t="shared" si="2"/>
        <v>12937</v>
      </c>
      <c r="N10" s="318">
        <f t="shared" si="2"/>
        <v>12937</v>
      </c>
      <c r="O10" s="318">
        <f>+N10-2</f>
        <v>12935</v>
      </c>
      <c r="P10" s="319">
        <f aca="true" t="shared" si="3" ref="P10:P28">SUM(D10:O10)</f>
        <v>155242</v>
      </c>
    </row>
    <row r="11" spans="1:16" ht="13.5" customHeight="1">
      <c r="A11" s="105" t="s">
        <v>26</v>
      </c>
      <c r="B11" s="290" t="s">
        <v>25</v>
      </c>
      <c r="C11" s="291" t="s">
        <v>316</v>
      </c>
      <c r="D11" s="318">
        <v>5000</v>
      </c>
      <c r="E11" s="318">
        <v>10000</v>
      </c>
      <c r="F11" s="318"/>
      <c r="G11" s="318"/>
      <c r="H11" s="318"/>
      <c r="I11" s="318"/>
      <c r="J11" s="318"/>
      <c r="K11" s="318"/>
      <c r="L11" s="318">
        <v>14137</v>
      </c>
      <c r="M11" s="318"/>
      <c r="N11" s="318">
        <v>22313</v>
      </c>
      <c r="O11" s="318"/>
      <c r="P11" s="319">
        <f t="shared" si="3"/>
        <v>51450</v>
      </c>
    </row>
    <row r="12" spans="1:16" ht="13.5" customHeight="1">
      <c r="A12" s="105" t="s">
        <v>27</v>
      </c>
      <c r="B12" s="290" t="s">
        <v>26</v>
      </c>
      <c r="C12" s="291" t="s">
        <v>317</v>
      </c>
      <c r="D12" s="318">
        <v>9845</v>
      </c>
      <c r="E12" s="318">
        <f>+D12</f>
        <v>9845</v>
      </c>
      <c r="F12" s="318">
        <f aca="true" t="shared" si="4" ref="F12:N12">+E12</f>
        <v>9845</v>
      </c>
      <c r="G12" s="318">
        <f t="shared" si="4"/>
        <v>9845</v>
      </c>
      <c r="H12" s="318">
        <f t="shared" si="4"/>
        <v>9845</v>
      </c>
      <c r="I12" s="318">
        <f t="shared" si="4"/>
        <v>9845</v>
      </c>
      <c r="J12" s="318">
        <f t="shared" si="4"/>
        <v>9845</v>
      </c>
      <c r="K12" s="318">
        <f t="shared" si="4"/>
        <v>9845</v>
      </c>
      <c r="L12" s="318">
        <f t="shared" si="4"/>
        <v>9845</v>
      </c>
      <c r="M12" s="318">
        <f t="shared" si="4"/>
        <v>9845</v>
      </c>
      <c r="N12" s="318">
        <f t="shared" si="4"/>
        <v>9845</v>
      </c>
      <c r="O12" s="318">
        <f>+N12-5+10</f>
        <v>9850</v>
      </c>
      <c r="P12" s="629">
        <f t="shared" si="3"/>
        <v>118145</v>
      </c>
    </row>
    <row r="13" spans="1:16" ht="13.5" customHeight="1">
      <c r="A13" s="105" t="s">
        <v>28</v>
      </c>
      <c r="B13" s="290" t="s">
        <v>27</v>
      </c>
      <c r="C13" s="291" t="s">
        <v>318</v>
      </c>
      <c r="D13" s="318">
        <v>13</v>
      </c>
      <c r="E13" s="318">
        <f>+D13</f>
        <v>13</v>
      </c>
      <c r="F13" s="318">
        <f aca="true" t="shared" si="5" ref="F13:N13">+E13</f>
        <v>13</v>
      </c>
      <c r="G13" s="318">
        <f t="shared" si="5"/>
        <v>13</v>
      </c>
      <c r="H13" s="318">
        <f t="shared" si="5"/>
        <v>13</v>
      </c>
      <c r="I13" s="318">
        <f t="shared" si="5"/>
        <v>13</v>
      </c>
      <c r="J13" s="318">
        <f t="shared" si="5"/>
        <v>13</v>
      </c>
      <c r="K13" s="318">
        <f t="shared" si="5"/>
        <v>13</v>
      </c>
      <c r="L13" s="318">
        <f t="shared" si="5"/>
        <v>13</v>
      </c>
      <c r="M13" s="318">
        <f t="shared" si="5"/>
        <v>13</v>
      </c>
      <c r="N13" s="318">
        <f t="shared" si="5"/>
        <v>13</v>
      </c>
      <c r="O13" s="318">
        <f>+N13-6</f>
        <v>7</v>
      </c>
      <c r="P13" s="629">
        <f>SUM(D13:O13)</f>
        <v>150</v>
      </c>
    </row>
    <row r="14" spans="1:16" ht="21" customHeight="1">
      <c r="A14" s="105" t="s">
        <v>29</v>
      </c>
      <c r="B14" s="290" t="s">
        <v>28</v>
      </c>
      <c r="C14" s="296" t="s">
        <v>319</v>
      </c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9">
        <f t="shared" si="3"/>
        <v>0</v>
      </c>
    </row>
    <row r="15" spans="1:16" ht="13.5" customHeight="1" thickBot="1">
      <c r="A15" s="105" t="s">
        <v>30</v>
      </c>
      <c r="B15" s="290" t="s">
        <v>29</v>
      </c>
      <c r="C15" s="291" t="s">
        <v>334</v>
      </c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9">
        <f t="shared" si="3"/>
        <v>0</v>
      </c>
    </row>
    <row r="16" spans="1:45" s="313" customFormat="1" ht="13.5" customHeight="1" thickBot="1">
      <c r="A16" s="313" t="s">
        <v>31</v>
      </c>
      <c r="B16" s="283" t="s">
        <v>30</v>
      </c>
      <c r="C16" s="298" t="s">
        <v>320</v>
      </c>
      <c r="D16" s="322">
        <f>SUM(D8:D15)</f>
        <v>47901</v>
      </c>
      <c r="E16" s="322">
        <f aca="true" t="shared" si="6" ref="E16:O16">SUM(E8:E15)</f>
        <v>52901</v>
      </c>
      <c r="F16" s="322">
        <f t="shared" si="6"/>
        <v>42901</v>
      </c>
      <c r="G16" s="322">
        <f t="shared" si="6"/>
        <v>42901</v>
      </c>
      <c r="H16" s="322">
        <f t="shared" si="6"/>
        <v>42901</v>
      </c>
      <c r="I16" s="322">
        <f t="shared" si="6"/>
        <v>42901</v>
      </c>
      <c r="J16" s="322">
        <f t="shared" si="6"/>
        <v>42901</v>
      </c>
      <c r="K16" s="322">
        <f t="shared" si="6"/>
        <v>42901</v>
      </c>
      <c r="L16" s="322">
        <f t="shared" si="6"/>
        <v>57038</v>
      </c>
      <c r="M16" s="322">
        <f t="shared" si="6"/>
        <v>42901</v>
      </c>
      <c r="N16" s="322">
        <f t="shared" si="6"/>
        <v>65214</v>
      </c>
      <c r="O16" s="322">
        <f t="shared" si="6"/>
        <v>42899</v>
      </c>
      <c r="P16" s="322">
        <f>SUM(P8:P15)</f>
        <v>566260</v>
      </c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</row>
    <row r="17" spans="1:45" s="313" customFormat="1" ht="13.5" customHeight="1" thickBot="1">
      <c r="A17" s="313" t="s">
        <v>32</v>
      </c>
      <c r="B17" s="283" t="s">
        <v>31</v>
      </c>
      <c r="C17" s="284" t="s">
        <v>122</v>
      </c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300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</row>
    <row r="18" spans="1:16" ht="13.5" customHeight="1">
      <c r="A18" s="105" t="s">
        <v>33</v>
      </c>
      <c r="B18" s="301" t="s">
        <v>32</v>
      </c>
      <c r="C18" s="302" t="s">
        <v>213</v>
      </c>
      <c r="D18" s="320">
        <v>253</v>
      </c>
      <c r="E18" s="320">
        <f>+D18</f>
        <v>253</v>
      </c>
      <c r="F18" s="320">
        <f aca="true" t="shared" si="7" ref="F18:N20">+E18</f>
        <v>253</v>
      </c>
      <c r="G18" s="320">
        <f t="shared" si="7"/>
        <v>253</v>
      </c>
      <c r="H18" s="320">
        <f t="shared" si="7"/>
        <v>253</v>
      </c>
      <c r="I18" s="320">
        <f t="shared" si="7"/>
        <v>253</v>
      </c>
      <c r="J18" s="320">
        <f t="shared" si="7"/>
        <v>253</v>
      </c>
      <c r="K18" s="320">
        <f t="shared" si="7"/>
        <v>253</v>
      </c>
      <c r="L18" s="320">
        <f t="shared" si="7"/>
        <v>253</v>
      </c>
      <c r="M18" s="320">
        <f t="shared" si="7"/>
        <v>253</v>
      </c>
      <c r="N18" s="320">
        <f t="shared" si="7"/>
        <v>253</v>
      </c>
      <c r="O18" s="320">
        <f>+N18-4+8-8</f>
        <v>249</v>
      </c>
      <c r="P18" s="321">
        <f>SUM(D18:O18)</f>
        <v>3032</v>
      </c>
    </row>
    <row r="19" spans="1:16" ht="24.75" customHeight="1">
      <c r="A19" s="105" t="s">
        <v>34</v>
      </c>
      <c r="B19" s="290" t="s">
        <v>33</v>
      </c>
      <c r="C19" s="296" t="s">
        <v>321</v>
      </c>
      <c r="D19" s="318">
        <v>65</v>
      </c>
      <c r="E19" s="318">
        <f>+D19</f>
        <v>65</v>
      </c>
      <c r="F19" s="318">
        <f t="shared" si="7"/>
        <v>65</v>
      </c>
      <c r="G19" s="318">
        <f t="shared" si="7"/>
        <v>65</v>
      </c>
      <c r="H19" s="318">
        <f t="shared" si="7"/>
        <v>65</v>
      </c>
      <c r="I19" s="318">
        <f t="shared" si="7"/>
        <v>65</v>
      </c>
      <c r="J19" s="318">
        <f t="shared" si="7"/>
        <v>65</v>
      </c>
      <c r="K19" s="318">
        <f t="shared" si="7"/>
        <v>65</v>
      </c>
      <c r="L19" s="318">
        <f t="shared" si="7"/>
        <v>65</v>
      </c>
      <c r="M19" s="318">
        <f t="shared" si="7"/>
        <v>65</v>
      </c>
      <c r="N19" s="318">
        <f t="shared" si="7"/>
        <v>65</v>
      </c>
      <c r="O19" s="318">
        <f>+N19+5-10</f>
        <v>60</v>
      </c>
      <c r="P19" s="319">
        <f t="shared" si="3"/>
        <v>775</v>
      </c>
    </row>
    <row r="20" spans="1:16" ht="13.5" customHeight="1">
      <c r="A20" s="105" t="s">
        <v>35</v>
      </c>
      <c r="B20" s="290" t="s">
        <v>34</v>
      </c>
      <c r="C20" s="291" t="s">
        <v>249</v>
      </c>
      <c r="D20" s="318">
        <v>473</v>
      </c>
      <c r="E20" s="318">
        <f>+D20</f>
        <v>473</v>
      </c>
      <c r="F20" s="318">
        <f t="shared" si="7"/>
        <v>473</v>
      </c>
      <c r="G20" s="318">
        <f t="shared" si="7"/>
        <v>473</v>
      </c>
      <c r="H20" s="318">
        <f t="shared" si="7"/>
        <v>473</v>
      </c>
      <c r="I20" s="318">
        <f t="shared" si="7"/>
        <v>473</v>
      </c>
      <c r="J20" s="318">
        <f t="shared" si="7"/>
        <v>473</v>
      </c>
      <c r="K20" s="318">
        <f t="shared" si="7"/>
        <v>473</v>
      </c>
      <c r="L20" s="318">
        <f t="shared" si="7"/>
        <v>473</v>
      </c>
      <c r="M20" s="318">
        <f t="shared" si="7"/>
        <v>473</v>
      </c>
      <c r="N20" s="318">
        <f t="shared" si="7"/>
        <v>473</v>
      </c>
      <c r="O20" s="318">
        <f>+N20+3+9450</f>
        <v>9926</v>
      </c>
      <c r="P20" s="319">
        <f t="shared" si="3"/>
        <v>15129</v>
      </c>
    </row>
    <row r="21" spans="1:16" ht="13.5" customHeight="1">
      <c r="A21" s="105" t="s">
        <v>36</v>
      </c>
      <c r="B21" s="290" t="s">
        <v>35</v>
      </c>
      <c r="C21" s="291" t="s">
        <v>322</v>
      </c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9">
        <f t="shared" si="3"/>
        <v>0</v>
      </c>
    </row>
    <row r="22" spans="1:16" ht="13.5" customHeight="1">
      <c r="A22" s="105" t="s">
        <v>37</v>
      </c>
      <c r="B22" s="290" t="s">
        <v>36</v>
      </c>
      <c r="C22" s="291" t="s">
        <v>323</v>
      </c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9">
        <f t="shared" si="3"/>
        <v>0</v>
      </c>
    </row>
    <row r="23" spans="1:16" ht="13.5" customHeight="1">
      <c r="A23" s="105" t="s">
        <v>40</v>
      </c>
      <c r="B23" s="290" t="s">
        <v>37</v>
      </c>
      <c r="C23" s="291" t="s">
        <v>324</v>
      </c>
      <c r="D23" s="318">
        <v>2239</v>
      </c>
      <c r="E23" s="318">
        <f aca="true" t="shared" si="8" ref="E23:N23">+D23</f>
        <v>2239</v>
      </c>
      <c r="F23" s="318">
        <f t="shared" si="8"/>
        <v>2239</v>
      </c>
      <c r="G23" s="318">
        <f t="shared" si="8"/>
        <v>2239</v>
      </c>
      <c r="H23" s="318">
        <f t="shared" si="8"/>
        <v>2239</v>
      </c>
      <c r="I23" s="318">
        <f t="shared" si="8"/>
        <v>2239</v>
      </c>
      <c r="J23" s="318">
        <f t="shared" si="8"/>
        <v>2239</v>
      </c>
      <c r="K23" s="318">
        <f t="shared" si="8"/>
        <v>2239</v>
      </c>
      <c r="L23" s="318">
        <f t="shared" si="8"/>
        <v>2239</v>
      </c>
      <c r="M23" s="318">
        <f t="shared" si="8"/>
        <v>2239</v>
      </c>
      <c r="N23" s="318">
        <f t="shared" si="8"/>
        <v>2239</v>
      </c>
      <c r="O23" s="318">
        <f>+N23+1-700</f>
        <v>1540</v>
      </c>
      <c r="P23" s="319">
        <f t="shared" si="3"/>
        <v>26169</v>
      </c>
    </row>
    <row r="24" spans="1:16" ht="21" customHeight="1">
      <c r="A24" s="105" t="s">
        <v>42</v>
      </c>
      <c r="B24" s="290" t="s">
        <v>40</v>
      </c>
      <c r="C24" s="296" t="s">
        <v>325</v>
      </c>
      <c r="D24" s="318">
        <v>426</v>
      </c>
      <c r="E24" s="318">
        <f>+D24</f>
        <v>426</v>
      </c>
      <c r="F24" s="318">
        <f aca="true" t="shared" si="9" ref="F24:N24">+E24</f>
        <v>426</v>
      </c>
      <c r="G24" s="318">
        <f t="shared" si="9"/>
        <v>426</v>
      </c>
      <c r="H24" s="318">
        <f t="shared" si="9"/>
        <v>426</v>
      </c>
      <c r="I24" s="318">
        <f t="shared" si="9"/>
        <v>426</v>
      </c>
      <c r="J24" s="318">
        <f t="shared" si="9"/>
        <v>426</v>
      </c>
      <c r="K24" s="318">
        <f t="shared" si="9"/>
        <v>426</v>
      </c>
      <c r="L24" s="318">
        <f t="shared" si="9"/>
        <v>426</v>
      </c>
      <c r="M24" s="318">
        <f t="shared" si="9"/>
        <v>426</v>
      </c>
      <c r="N24" s="318">
        <f t="shared" si="9"/>
        <v>426</v>
      </c>
      <c r="O24" s="318">
        <f>+N24+2</f>
        <v>428</v>
      </c>
      <c r="P24" s="319">
        <f t="shared" si="3"/>
        <v>5114</v>
      </c>
    </row>
    <row r="25" spans="1:16" ht="13.5" customHeight="1">
      <c r="A25" s="105" t="s">
        <v>43</v>
      </c>
      <c r="B25" s="290" t="s">
        <v>42</v>
      </c>
      <c r="C25" s="291" t="s">
        <v>463</v>
      </c>
      <c r="D25" s="318"/>
      <c r="E25" s="318">
        <v>1000</v>
      </c>
      <c r="F25" s="318">
        <v>2000</v>
      </c>
      <c r="G25" s="318"/>
      <c r="H25" s="318"/>
      <c r="I25" s="318"/>
      <c r="J25" s="318"/>
      <c r="K25" s="318"/>
      <c r="L25" s="318"/>
      <c r="M25" s="318"/>
      <c r="N25" s="318"/>
      <c r="O25" s="318"/>
      <c r="P25" s="319">
        <f t="shared" si="3"/>
        <v>3000</v>
      </c>
    </row>
    <row r="26" spans="1:16" ht="13.5" customHeight="1">
      <c r="A26" s="105" t="s">
        <v>44</v>
      </c>
      <c r="B26" s="290" t="s">
        <v>43</v>
      </c>
      <c r="C26" s="291" t="s">
        <v>327</v>
      </c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9">
        <f t="shared" si="3"/>
        <v>0</v>
      </c>
    </row>
    <row r="27" spans="1:16" ht="13.5" customHeight="1">
      <c r="A27" s="105" t="s">
        <v>45</v>
      </c>
      <c r="B27" s="290" t="s">
        <v>44</v>
      </c>
      <c r="C27" s="291" t="s">
        <v>328</v>
      </c>
      <c r="D27" s="318"/>
      <c r="E27" s="318"/>
      <c r="F27" s="318"/>
      <c r="G27" s="318"/>
      <c r="H27" s="318"/>
      <c r="I27" s="318">
        <v>8101</v>
      </c>
      <c r="J27" s="318"/>
      <c r="K27" s="318"/>
      <c r="L27" s="318"/>
      <c r="M27" s="318"/>
      <c r="N27" s="318"/>
      <c r="O27" s="318">
        <f>35878-8101</f>
        <v>27777</v>
      </c>
      <c r="P27" s="319">
        <f t="shared" si="3"/>
        <v>35878</v>
      </c>
    </row>
    <row r="28" spans="1:45" s="313" customFormat="1" ht="13.5" customHeight="1" thickBot="1">
      <c r="A28" s="313" t="s">
        <v>46</v>
      </c>
      <c r="B28" s="290" t="s">
        <v>45</v>
      </c>
      <c r="C28" s="291" t="s">
        <v>329</v>
      </c>
      <c r="D28" s="318">
        <f>+'20mell'!D16+'19mell'!D16+'18mell'!D16+'17mell'!D18</f>
        <v>39348</v>
      </c>
      <c r="E28" s="318">
        <f>+'20mell'!E16+'19mell'!E16+'18mell'!E16+'17mell'!E18</f>
        <v>40348</v>
      </c>
      <c r="F28" s="318">
        <f>+'20mell'!F16+'19mell'!F16+'18mell'!F16+'17mell'!F18</f>
        <v>40426</v>
      </c>
      <c r="G28" s="318">
        <f>+'20mell'!G16+'19mell'!G16+'18mell'!G16+'17mell'!G18</f>
        <v>38632</v>
      </c>
      <c r="H28" s="318">
        <f>+'20mell'!H16+'19mell'!H16+'18mell'!H16+'17mell'!H18</f>
        <v>39369</v>
      </c>
      <c r="I28" s="318">
        <f>+'20mell'!I16+'19mell'!I16+'18mell'!I16+'17mell'!I18</f>
        <v>39369</v>
      </c>
      <c r="J28" s="318">
        <f>+'20mell'!J16+'19mell'!J16+'18mell'!J16+'17mell'!J18</f>
        <v>40132</v>
      </c>
      <c r="K28" s="318">
        <f>+'20mell'!K16+'19mell'!K16+'18mell'!K16+'17mell'!K18</f>
        <v>40132</v>
      </c>
      <c r="L28" s="318">
        <f>+'20mell'!L16+'19mell'!L16+'18mell'!L16+'17mell'!L18</f>
        <v>39917</v>
      </c>
      <c r="M28" s="318">
        <f>+'20mell'!M16+'19mell'!M16+'18mell'!M16+'17mell'!M18</f>
        <v>40930</v>
      </c>
      <c r="N28" s="318">
        <f>+'20mell'!N16+'19mell'!N16+'18mell'!N16+'17mell'!N18</f>
        <v>39369</v>
      </c>
      <c r="O28" s="318">
        <f>+'20mell'!O16+'19mell'!O16+'18mell'!O16+'17mell'!O18</f>
        <v>39191</v>
      </c>
      <c r="P28" s="319">
        <f t="shared" si="3"/>
        <v>477163</v>
      </c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</row>
    <row r="29" spans="1:45" s="313" customFormat="1" ht="13.5" customHeight="1" thickBot="1">
      <c r="A29" s="313" t="s">
        <v>47</v>
      </c>
      <c r="B29" s="304" t="s">
        <v>46</v>
      </c>
      <c r="C29" s="298" t="s">
        <v>330</v>
      </c>
      <c r="D29" s="322">
        <f>SUM(D18:D28)</f>
        <v>42804</v>
      </c>
      <c r="E29" s="322">
        <f aca="true" t="shared" si="10" ref="E29:O29">SUM(E18:E28)</f>
        <v>44804</v>
      </c>
      <c r="F29" s="322">
        <f t="shared" si="10"/>
        <v>45882</v>
      </c>
      <c r="G29" s="322">
        <f t="shared" si="10"/>
        <v>42088</v>
      </c>
      <c r="H29" s="322">
        <f t="shared" si="10"/>
        <v>42825</v>
      </c>
      <c r="I29" s="322">
        <f t="shared" si="10"/>
        <v>50926</v>
      </c>
      <c r="J29" s="322">
        <f t="shared" si="10"/>
        <v>43588</v>
      </c>
      <c r="K29" s="322">
        <f t="shared" si="10"/>
        <v>43588</v>
      </c>
      <c r="L29" s="322">
        <f t="shared" si="10"/>
        <v>43373</v>
      </c>
      <c r="M29" s="322">
        <f t="shared" si="10"/>
        <v>44386</v>
      </c>
      <c r="N29" s="322">
        <f t="shared" si="10"/>
        <v>42825</v>
      </c>
      <c r="O29" s="322">
        <f t="shared" si="10"/>
        <v>79171</v>
      </c>
      <c r="P29" s="324">
        <f>SUM(D29:O29)</f>
        <v>566260</v>
      </c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</row>
    <row r="30" spans="1:45" s="328" customFormat="1" ht="28.5" customHeight="1" thickBot="1">
      <c r="A30" s="328" t="s">
        <v>48</v>
      </c>
      <c r="B30" s="304" t="s">
        <v>47</v>
      </c>
      <c r="C30" s="306" t="s">
        <v>335</v>
      </c>
      <c r="D30" s="325">
        <f>D16-D29</f>
        <v>5097</v>
      </c>
      <c r="E30" s="325">
        <f aca="true" t="shared" si="11" ref="E30:N30">E16-E29</f>
        <v>8097</v>
      </c>
      <c r="F30" s="325">
        <f t="shared" si="11"/>
        <v>-2981</v>
      </c>
      <c r="G30" s="325">
        <f t="shared" si="11"/>
        <v>813</v>
      </c>
      <c r="H30" s="325">
        <f t="shared" si="11"/>
        <v>76</v>
      </c>
      <c r="I30" s="325">
        <f t="shared" si="11"/>
        <v>-8025</v>
      </c>
      <c r="J30" s="325">
        <f t="shared" si="11"/>
        <v>-687</v>
      </c>
      <c r="K30" s="325">
        <f t="shared" si="11"/>
        <v>-687</v>
      </c>
      <c r="L30" s="325">
        <f t="shared" si="11"/>
        <v>13665</v>
      </c>
      <c r="M30" s="325">
        <f t="shared" si="11"/>
        <v>-1485</v>
      </c>
      <c r="N30" s="325">
        <f t="shared" si="11"/>
        <v>22389</v>
      </c>
      <c r="O30" s="325">
        <f>O16-O29</f>
        <v>-36272</v>
      </c>
      <c r="P30" s="326" t="s">
        <v>333</v>
      </c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</row>
    <row r="31" spans="2:16" ht="13.5" customHeight="1"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23"/>
    </row>
    <row r="32" spans="2:16" ht="13.5" customHeight="1"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23"/>
    </row>
    <row r="33" spans="2:16" ht="13.5" customHeight="1"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23"/>
    </row>
    <row r="34" spans="2:16" ht="13.5" customHeight="1"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23"/>
    </row>
    <row r="35" spans="2:16" ht="13.5" customHeight="1"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23"/>
    </row>
    <row r="36" spans="2:16" ht="13.5" customHeight="1"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23"/>
    </row>
    <row r="37" spans="2:16" ht="13.5" customHeight="1"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23"/>
    </row>
    <row r="38" spans="2:16" ht="13.5" customHeight="1"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23"/>
    </row>
    <row r="39" spans="2:16" ht="13.5" customHeight="1"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23"/>
    </row>
    <row r="40" spans="2:16" ht="13.5" customHeight="1"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23"/>
    </row>
    <row r="41" spans="2:16" ht="13.5" customHeight="1"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23"/>
    </row>
    <row r="42" spans="2:16" ht="13.5" customHeight="1"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23"/>
    </row>
    <row r="43" spans="2:16" ht="13.5" customHeight="1"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23"/>
    </row>
    <row r="44" spans="2:16" ht="13.5" customHeight="1"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23"/>
    </row>
    <row r="45" spans="2:16" ht="13.5" customHeight="1"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23"/>
    </row>
    <row r="46" spans="2:16" ht="13.5" customHeight="1"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23"/>
    </row>
    <row r="47" spans="2:16" ht="13.5" customHeight="1"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23"/>
    </row>
    <row r="48" spans="2:16" ht="13.5" customHeight="1"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23"/>
    </row>
    <row r="49" spans="2:16" ht="13.5" customHeight="1"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23"/>
    </row>
    <row r="50" spans="2:16" ht="13.5" customHeight="1"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23"/>
    </row>
    <row r="51" spans="2:16" ht="13.5" customHeight="1"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23"/>
    </row>
    <row r="52" spans="2:16" ht="13.5" customHeight="1"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23"/>
    </row>
    <row r="53" spans="2:16" ht="13.5" customHeight="1"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23"/>
    </row>
    <row r="54" spans="2:16" ht="13.5" customHeight="1"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23"/>
    </row>
    <row r="55" spans="2:16" ht="13.5" customHeight="1"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23"/>
    </row>
    <row r="56" spans="2:16" ht="13.5" customHeight="1"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23"/>
    </row>
    <row r="57" spans="2:16" ht="13.5" customHeight="1"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23"/>
    </row>
    <row r="58" spans="2:16" ht="13.5" customHeight="1"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23"/>
    </row>
    <row r="59" spans="2:16" ht="13.5" customHeight="1"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12"/>
      <c r="P59" s="323"/>
    </row>
    <row r="60" spans="2:16" ht="13.5" customHeight="1"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23"/>
    </row>
    <row r="61" spans="2:16" ht="13.5" customHeight="1"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23"/>
    </row>
    <row r="62" spans="2:16" ht="13.5" customHeight="1"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23"/>
    </row>
    <row r="63" spans="2:16" ht="13.5" customHeight="1"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23"/>
    </row>
    <row r="64" spans="2:16" ht="13.5" customHeight="1"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23"/>
    </row>
    <row r="65" spans="2:16" ht="13.5" customHeight="1"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12"/>
      <c r="P65" s="323"/>
    </row>
    <row r="66" spans="2:16" ht="13.5" customHeight="1"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23"/>
    </row>
    <row r="67" spans="2:16" ht="13.5" customHeight="1"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23"/>
    </row>
    <row r="68" spans="2:16" ht="13.5" customHeight="1"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23"/>
    </row>
    <row r="69" spans="2:16" ht="13.5" customHeight="1"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23"/>
    </row>
    <row r="70" spans="2:16" ht="13.5" customHeight="1"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23"/>
    </row>
    <row r="71" spans="2:16" ht="13.5" customHeight="1"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23"/>
    </row>
    <row r="72" spans="2:16" ht="13.5" customHeight="1"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23"/>
    </row>
    <row r="73" spans="2:16" ht="13.5" customHeight="1"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23"/>
    </row>
    <row r="74" spans="2:16" ht="13.5" customHeight="1"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2"/>
      <c r="P74" s="323"/>
    </row>
    <row r="75" spans="2:16" ht="13.5" customHeight="1"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2"/>
      <c r="P75" s="323"/>
    </row>
    <row r="76" spans="2:16" ht="13.5" customHeight="1"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23"/>
    </row>
    <row r="77" spans="2:16" ht="13.5" customHeight="1"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23"/>
    </row>
    <row r="78" spans="2:16" ht="13.5" customHeight="1"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23"/>
    </row>
    <row r="79" spans="2:16" ht="13.5" customHeight="1"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23"/>
    </row>
    <row r="80" spans="2:16" ht="13.5" customHeight="1"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312"/>
      <c r="P80" s="323"/>
    </row>
    <row r="81" spans="2:16" ht="13.5" customHeight="1"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312"/>
      <c r="P81" s="323"/>
    </row>
    <row r="82" spans="2:16" ht="13.5" customHeight="1">
      <c r="B82" s="312"/>
      <c r="C82" s="312"/>
      <c r="D82" s="312"/>
      <c r="E82" s="312"/>
      <c r="F82" s="312"/>
      <c r="G82" s="312"/>
      <c r="H82" s="312"/>
      <c r="I82" s="312"/>
      <c r="J82" s="312"/>
      <c r="K82" s="312"/>
      <c r="L82" s="312"/>
      <c r="M82" s="312"/>
      <c r="N82" s="312"/>
      <c r="O82" s="312"/>
      <c r="P82" s="323"/>
    </row>
    <row r="83" spans="2:16" ht="13.5" customHeight="1"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312"/>
      <c r="P83" s="323"/>
    </row>
    <row r="84" spans="2:16" ht="13.5" customHeight="1"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312"/>
      <c r="P84" s="323"/>
    </row>
    <row r="85" spans="2:16" ht="13.5" customHeight="1"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312"/>
      <c r="P85" s="323"/>
    </row>
    <row r="86" spans="2:16" ht="13.5" customHeight="1"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23"/>
    </row>
    <row r="87" spans="2:16" ht="13.5" customHeight="1"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23"/>
    </row>
    <row r="88" spans="2:16" ht="13.5" customHeight="1"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312"/>
      <c r="P88" s="323"/>
    </row>
    <row r="89" spans="2:16" ht="13.5" customHeight="1"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23"/>
    </row>
    <row r="90" spans="2:16" ht="13.5" customHeight="1"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312"/>
      <c r="P90" s="323"/>
    </row>
    <row r="91" spans="2:16" ht="13.5" customHeight="1"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312"/>
      <c r="M91" s="312"/>
      <c r="N91" s="312"/>
      <c r="O91" s="312"/>
      <c r="P91" s="323"/>
    </row>
    <row r="92" spans="2:16" ht="13.5" customHeight="1"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312"/>
      <c r="P92" s="323"/>
    </row>
    <row r="93" spans="2:16" ht="13.5" customHeight="1"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23"/>
    </row>
    <row r="94" spans="2:16" ht="13.5" customHeight="1"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12"/>
      <c r="P94" s="323"/>
    </row>
    <row r="95" spans="2:16" ht="13.5" customHeight="1">
      <c r="B95" s="312"/>
      <c r="C95" s="312"/>
      <c r="D95" s="312"/>
      <c r="E95" s="312"/>
      <c r="F95" s="312"/>
      <c r="G95" s="312"/>
      <c r="H95" s="312"/>
      <c r="I95" s="312"/>
      <c r="J95" s="312"/>
      <c r="K95" s="312"/>
      <c r="L95" s="312"/>
      <c r="M95" s="312"/>
      <c r="N95" s="312"/>
      <c r="O95" s="312"/>
      <c r="P95" s="323"/>
    </row>
    <row r="96" spans="2:16" ht="13.5" customHeight="1"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  <c r="M96" s="312"/>
      <c r="N96" s="312"/>
      <c r="O96" s="312"/>
      <c r="P96" s="323"/>
    </row>
    <row r="97" spans="2:16" ht="13.5" customHeight="1"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  <c r="M97" s="312"/>
      <c r="N97" s="312"/>
      <c r="O97" s="312"/>
      <c r="P97" s="323"/>
    </row>
    <row r="98" spans="2:16" ht="13.5" customHeight="1">
      <c r="B98" s="312"/>
      <c r="C98" s="312"/>
      <c r="D98" s="312"/>
      <c r="E98" s="312"/>
      <c r="F98" s="312"/>
      <c r="G98" s="312"/>
      <c r="H98" s="312"/>
      <c r="I98" s="312"/>
      <c r="J98" s="312"/>
      <c r="K98" s="312"/>
      <c r="L98" s="312"/>
      <c r="M98" s="312"/>
      <c r="N98" s="312"/>
      <c r="O98" s="312"/>
      <c r="P98" s="323"/>
    </row>
    <row r="99" spans="2:16" ht="13.5" customHeight="1">
      <c r="B99" s="312"/>
      <c r="C99" s="312"/>
      <c r="D99" s="312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312"/>
      <c r="P99" s="323"/>
    </row>
    <row r="100" spans="2:16" ht="13.5" customHeight="1"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  <c r="M100" s="312"/>
      <c r="N100" s="312"/>
      <c r="O100" s="312"/>
      <c r="P100" s="323"/>
    </row>
    <row r="101" spans="2:16" ht="13.5" customHeight="1">
      <c r="B101" s="312"/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23"/>
    </row>
    <row r="102" spans="2:16" ht="13.5" customHeight="1">
      <c r="B102" s="312"/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12"/>
      <c r="P102" s="323"/>
    </row>
    <row r="103" spans="2:16" ht="13.5" customHeight="1">
      <c r="B103" s="312"/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  <c r="N103" s="312"/>
      <c r="O103" s="312"/>
      <c r="P103" s="323"/>
    </row>
    <row r="104" spans="2:16" ht="13.5" customHeight="1">
      <c r="B104" s="312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  <c r="N104" s="312"/>
      <c r="O104" s="312"/>
      <c r="P104" s="323"/>
    </row>
    <row r="105" spans="2:16" ht="13.5" customHeight="1"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23"/>
    </row>
    <row r="106" spans="2:16" ht="13.5" customHeight="1"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12"/>
      <c r="P106" s="323"/>
    </row>
    <row r="107" spans="2:16" ht="13.5" customHeight="1">
      <c r="B107" s="312"/>
      <c r="C107" s="312"/>
      <c r="D107" s="312"/>
      <c r="E107" s="312"/>
      <c r="F107" s="312"/>
      <c r="G107" s="312"/>
      <c r="H107" s="312"/>
      <c r="I107" s="312"/>
      <c r="J107" s="312"/>
      <c r="K107" s="312"/>
      <c r="L107" s="312"/>
      <c r="M107" s="312"/>
      <c r="N107" s="312"/>
      <c r="O107" s="312"/>
      <c r="P107" s="323"/>
    </row>
    <row r="108" spans="2:16" ht="13.5" customHeight="1">
      <c r="B108" s="312"/>
      <c r="C108" s="312"/>
      <c r="D108" s="312"/>
      <c r="E108" s="312"/>
      <c r="F108" s="312"/>
      <c r="G108" s="312"/>
      <c r="H108" s="312"/>
      <c r="I108" s="312"/>
      <c r="J108" s="312"/>
      <c r="K108" s="312"/>
      <c r="L108" s="312"/>
      <c r="M108" s="312"/>
      <c r="N108" s="312"/>
      <c r="O108" s="312"/>
      <c r="P108" s="323"/>
    </row>
    <row r="109" spans="2:16" ht="13.5" customHeight="1">
      <c r="B109" s="312"/>
      <c r="C109" s="312"/>
      <c r="D109" s="312"/>
      <c r="E109" s="312"/>
      <c r="F109" s="312"/>
      <c r="G109" s="312"/>
      <c r="H109" s="312"/>
      <c r="I109" s="312"/>
      <c r="J109" s="312"/>
      <c r="K109" s="312"/>
      <c r="L109" s="312"/>
      <c r="M109" s="312"/>
      <c r="N109" s="312"/>
      <c r="O109" s="312"/>
      <c r="P109" s="323"/>
    </row>
    <row r="110" spans="2:16" ht="13.5" customHeight="1">
      <c r="B110" s="312"/>
      <c r="C110" s="312"/>
      <c r="D110" s="312"/>
      <c r="E110" s="312"/>
      <c r="F110" s="312"/>
      <c r="G110" s="312"/>
      <c r="H110" s="312"/>
      <c r="I110" s="312"/>
      <c r="J110" s="312"/>
      <c r="K110" s="312"/>
      <c r="L110" s="312"/>
      <c r="M110" s="312"/>
      <c r="N110" s="312"/>
      <c r="O110" s="312"/>
      <c r="P110" s="323"/>
    </row>
    <row r="111" spans="2:16" ht="13.5" customHeight="1">
      <c r="B111" s="312"/>
      <c r="C111" s="312"/>
      <c r="D111" s="312"/>
      <c r="E111" s="312"/>
      <c r="F111" s="312"/>
      <c r="G111" s="312"/>
      <c r="H111" s="312"/>
      <c r="I111" s="312"/>
      <c r="J111" s="312"/>
      <c r="K111" s="312"/>
      <c r="L111" s="312"/>
      <c r="M111" s="312"/>
      <c r="N111" s="312"/>
      <c r="O111" s="312"/>
      <c r="P111" s="323"/>
    </row>
    <row r="112" spans="2:16" ht="13.5" customHeight="1">
      <c r="B112" s="312"/>
      <c r="C112" s="312"/>
      <c r="D112" s="312"/>
      <c r="E112" s="312"/>
      <c r="F112" s="312"/>
      <c r="G112" s="312"/>
      <c r="H112" s="312"/>
      <c r="I112" s="312"/>
      <c r="J112" s="312"/>
      <c r="K112" s="312"/>
      <c r="L112" s="312"/>
      <c r="M112" s="312"/>
      <c r="N112" s="312"/>
      <c r="O112" s="312"/>
      <c r="P112" s="323"/>
    </row>
    <row r="113" spans="2:16" ht="13.5" customHeight="1">
      <c r="B113" s="312"/>
      <c r="C113" s="312"/>
      <c r="D113" s="312"/>
      <c r="E113" s="312"/>
      <c r="F113" s="312"/>
      <c r="G113" s="312"/>
      <c r="H113" s="312"/>
      <c r="I113" s="312"/>
      <c r="J113" s="312"/>
      <c r="K113" s="312"/>
      <c r="L113" s="312"/>
      <c r="M113" s="312"/>
      <c r="N113" s="312"/>
      <c r="O113" s="312"/>
      <c r="P113" s="323"/>
    </row>
    <row r="114" spans="2:16" ht="13.5" customHeight="1">
      <c r="B114" s="312"/>
      <c r="C114" s="312"/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23"/>
    </row>
    <row r="115" spans="2:16" ht="13.5" customHeight="1">
      <c r="B115" s="312"/>
      <c r="C115" s="312"/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2"/>
      <c r="P115" s="323"/>
    </row>
    <row r="116" spans="2:16" ht="13.5" customHeight="1"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312"/>
      <c r="P116" s="323"/>
    </row>
    <row r="117" spans="2:16" ht="13.5" customHeight="1"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  <c r="N117" s="312"/>
      <c r="O117" s="312"/>
      <c r="P117" s="323"/>
    </row>
    <row r="118" spans="2:16" ht="13.5" customHeight="1"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312"/>
      <c r="P118" s="323"/>
    </row>
    <row r="119" spans="2:16" ht="13.5" customHeight="1">
      <c r="B119" s="312"/>
      <c r="C119" s="312"/>
      <c r="D119" s="312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312"/>
      <c r="P119" s="323"/>
    </row>
    <row r="120" spans="2:16" ht="13.5" customHeight="1"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312"/>
      <c r="P120" s="323"/>
    </row>
    <row r="121" spans="2:16" ht="13.5" customHeight="1">
      <c r="B121" s="312"/>
      <c r="C121" s="312"/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312"/>
      <c r="P121" s="323"/>
    </row>
    <row r="122" spans="2:16" ht="13.5" customHeight="1">
      <c r="B122" s="312"/>
      <c r="C122" s="312"/>
      <c r="D122" s="312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312"/>
      <c r="P122" s="323"/>
    </row>
    <row r="123" spans="2:16" ht="13.5" customHeight="1">
      <c r="B123" s="312"/>
      <c r="C123" s="312"/>
      <c r="D123" s="312"/>
      <c r="E123" s="312"/>
      <c r="F123" s="312"/>
      <c r="G123" s="312"/>
      <c r="H123" s="312"/>
      <c r="I123" s="312"/>
      <c r="J123" s="312"/>
      <c r="K123" s="312"/>
      <c r="L123" s="312"/>
      <c r="M123" s="312"/>
      <c r="N123" s="312"/>
      <c r="O123" s="312"/>
      <c r="P123" s="323"/>
    </row>
    <row r="124" spans="2:16" ht="13.5" customHeight="1">
      <c r="B124" s="312"/>
      <c r="C124" s="312"/>
      <c r="D124" s="312"/>
      <c r="E124" s="312"/>
      <c r="F124" s="312"/>
      <c r="G124" s="312"/>
      <c r="H124" s="312"/>
      <c r="I124" s="312"/>
      <c r="J124" s="312"/>
      <c r="K124" s="312"/>
      <c r="L124" s="312"/>
      <c r="M124" s="312"/>
      <c r="N124" s="312"/>
      <c r="O124" s="312"/>
      <c r="P124" s="323"/>
    </row>
    <row r="125" spans="2:16" ht="13.5" customHeight="1">
      <c r="B125" s="312"/>
      <c r="C125" s="312"/>
      <c r="D125" s="312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312"/>
      <c r="P125" s="323"/>
    </row>
    <row r="126" spans="2:16" ht="13.5" customHeight="1">
      <c r="B126" s="312"/>
      <c r="C126" s="312"/>
      <c r="D126" s="312"/>
      <c r="E126" s="312"/>
      <c r="F126" s="312"/>
      <c r="G126" s="312"/>
      <c r="H126" s="312"/>
      <c r="I126" s="312"/>
      <c r="J126" s="312"/>
      <c r="K126" s="312"/>
      <c r="L126" s="312"/>
      <c r="M126" s="312"/>
      <c r="N126" s="312"/>
      <c r="O126" s="312"/>
      <c r="P126" s="323"/>
    </row>
    <row r="127" spans="2:16" ht="13.5" customHeight="1">
      <c r="B127" s="312"/>
      <c r="C127" s="312"/>
      <c r="D127" s="312"/>
      <c r="E127" s="312"/>
      <c r="F127" s="312"/>
      <c r="G127" s="312"/>
      <c r="H127" s="312"/>
      <c r="I127" s="312"/>
      <c r="J127" s="312"/>
      <c r="K127" s="312"/>
      <c r="L127" s="312"/>
      <c r="M127" s="312"/>
      <c r="N127" s="312"/>
      <c r="O127" s="312"/>
      <c r="P127" s="323"/>
    </row>
    <row r="128" spans="2:16" ht="13.5" customHeight="1">
      <c r="B128" s="312"/>
      <c r="C128" s="312"/>
      <c r="D128" s="312"/>
      <c r="E128" s="312"/>
      <c r="F128" s="312"/>
      <c r="G128" s="312"/>
      <c r="H128" s="312"/>
      <c r="I128" s="312"/>
      <c r="J128" s="312"/>
      <c r="K128" s="312"/>
      <c r="L128" s="312"/>
      <c r="M128" s="312"/>
      <c r="N128" s="312"/>
      <c r="O128" s="312"/>
      <c r="P128" s="323"/>
    </row>
    <row r="129" spans="2:16" ht="13.5" customHeight="1">
      <c r="B129" s="312"/>
      <c r="C129" s="312"/>
      <c r="D129" s="312"/>
      <c r="E129" s="312"/>
      <c r="F129" s="312"/>
      <c r="G129" s="312"/>
      <c r="H129" s="312"/>
      <c r="I129" s="312"/>
      <c r="J129" s="312"/>
      <c r="K129" s="312"/>
      <c r="L129" s="312"/>
      <c r="M129" s="312"/>
      <c r="N129" s="312"/>
      <c r="O129" s="312"/>
      <c r="P129" s="323"/>
    </row>
    <row r="130" spans="2:16" ht="13.5" customHeight="1">
      <c r="B130" s="312"/>
      <c r="C130" s="312"/>
      <c r="D130" s="312"/>
      <c r="E130" s="312"/>
      <c r="F130" s="312"/>
      <c r="G130" s="312"/>
      <c r="H130" s="312"/>
      <c r="I130" s="312"/>
      <c r="J130" s="312"/>
      <c r="K130" s="312"/>
      <c r="L130" s="312"/>
      <c r="M130" s="312"/>
      <c r="N130" s="312"/>
      <c r="O130" s="312"/>
      <c r="P130" s="323"/>
    </row>
    <row r="131" spans="2:16" ht="13.5" customHeight="1">
      <c r="B131" s="312"/>
      <c r="C131" s="312"/>
      <c r="D131" s="312"/>
      <c r="E131" s="312"/>
      <c r="F131" s="312"/>
      <c r="G131" s="312"/>
      <c r="H131" s="312"/>
      <c r="I131" s="312"/>
      <c r="J131" s="312"/>
      <c r="K131" s="312"/>
      <c r="L131" s="312"/>
      <c r="M131" s="312"/>
      <c r="N131" s="312"/>
      <c r="O131" s="312"/>
      <c r="P131" s="323"/>
    </row>
    <row r="132" spans="2:16" ht="13.5" customHeight="1"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  <c r="O132" s="312"/>
      <c r="P132" s="323"/>
    </row>
    <row r="133" spans="2:16" ht="13.5" customHeight="1">
      <c r="B133" s="312"/>
      <c r="C133" s="312"/>
      <c r="D133" s="312"/>
      <c r="E133" s="312"/>
      <c r="F133" s="312"/>
      <c r="G133" s="312"/>
      <c r="H133" s="312"/>
      <c r="I133" s="312"/>
      <c r="J133" s="312"/>
      <c r="K133" s="312"/>
      <c r="L133" s="312"/>
      <c r="M133" s="312"/>
      <c r="N133" s="312"/>
      <c r="O133" s="312"/>
      <c r="P133" s="323"/>
    </row>
    <row r="134" spans="2:16" ht="13.5" customHeight="1">
      <c r="B134" s="312"/>
      <c r="C134" s="312"/>
      <c r="D134" s="312"/>
      <c r="E134" s="312"/>
      <c r="F134" s="312"/>
      <c r="G134" s="312"/>
      <c r="H134" s="312"/>
      <c r="I134" s="312"/>
      <c r="J134" s="312"/>
      <c r="K134" s="312"/>
      <c r="L134" s="312"/>
      <c r="M134" s="312"/>
      <c r="N134" s="312"/>
      <c r="O134" s="312"/>
      <c r="P134" s="323"/>
    </row>
    <row r="135" spans="2:16" ht="13.5" customHeight="1">
      <c r="B135" s="312"/>
      <c r="C135" s="312"/>
      <c r="D135" s="312"/>
      <c r="E135" s="312"/>
      <c r="F135" s="312"/>
      <c r="G135" s="312"/>
      <c r="H135" s="312"/>
      <c r="I135" s="312"/>
      <c r="J135" s="312"/>
      <c r="K135" s="312"/>
      <c r="L135" s="312"/>
      <c r="M135" s="312"/>
      <c r="N135" s="312"/>
      <c r="O135" s="312"/>
      <c r="P135" s="323"/>
    </row>
    <row r="136" spans="2:16" ht="13.5" customHeight="1">
      <c r="B136" s="312"/>
      <c r="C136" s="312"/>
      <c r="D136" s="312"/>
      <c r="E136" s="312"/>
      <c r="F136" s="312"/>
      <c r="G136" s="312"/>
      <c r="H136" s="312"/>
      <c r="I136" s="312"/>
      <c r="J136" s="312"/>
      <c r="K136" s="312"/>
      <c r="L136" s="312"/>
      <c r="M136" s="312"/>
      <c r="N136" s="312"/>
      <c r="O136" s="312"/>
      <c r="P136" s="323"/>
    </row>
    <row r="137" spans="2:16" ht="13.5" customHeight="1">
      <c r="B137" s="312"/>
      <c r="C137" s="312"/>
      <c r="D137" s="312"/>
      <c r="E137" s="312"/>
      <c r="F137" s="312"/>
      <c r="G137" s="312"/>
      <c r="H137" s="312"/>
      <c r="I137" s="312"/>
      <c r="J137" s="312"/>
      <c r="K137" s="312"/>
      <c r="L137" s="312"/>
      <c r="M137" s="312"/>
      <c r="N137" s="312"/>
      <c r="O137" s="312"/>
      <c r="P137" s="323"/>
    </row>
    <row r="138" spans="2:16" ht="13.5" customHeight="1">
      <c r="B138" s="312"/>
      <c r="C138" s="312"/>
      <c r="D138" s="312"/>
      <c r="E138" s="312"/>
      <c r="F138" s="312"/>
      <c r="G138" s="312"/>
      <c r="H138" s="312"/>
      <c r="I138" s="312"/>
      <c r="J138" s="312"/>
      <c r="K138" s="312"/>
      <c r="L138" s="312"/>
      <c r="M138" s="312"/>
      <c r="N138" s="312"/>
      <c r="O138" s="312"/>
      <c r="P138" s="323"/>
    </row>
    <row r="139" spans="2:16" ht="13.5" customHeight="1">
      <c r="B139" s="312"/>
      <c r="C139" s="312"/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23"/>
    </row>
    <row r="140" spans="2:16" ht="13.5" customHeight="1"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23"/>
    </row>
    <row r="141" spans="2:16" ht="13.5" customHeight="1">
      <c r="B141" s="312"/>
      <c r="C141" s="312"/>
      <c r="D141" s="312"/>
      <c r="E141" s="312"/>
      <c r="F141" s="312"/>
      <c r="G141" s="312"/>
      <c r="H141" s="312"/>
      <c r="I141" s="312"/>
      <c r="J141" s="312"/>
      <c r="K141" s="312"/>
      <c r="L141" s="312"/>
      <c r="M141" s="312"/>
      <c r="N141" s="312"/>
      <c r="O141" s="312"/>
      <c r="P141" s="323"/>
    </row>
    <row r="142" spans="2:16" ht="13.5" customHeight="1">
      <c r="B142" s="312"/>
      <c r="C142" s="312"/>
      <c r="D142" s="312"/>
      <c r="E142" s="312"/>
      <c r="F142" s="312"/>
      <c r="G142" s="312"/>
      <c r="H142" s="312"/>
      <c r="I142" s="312"/>
      <c r="J142" s="312"/>
      <c r="K142" s="312"/>
      <c r="L142" s="312"/>
      <c r="M142" s="312"/>
      <c r="N142" s="312"/>
      <c r="O142" s="312"/>
      <c r="P142" s="323"/>
    </row>
    <row r="143" spans="2:16" ht="13.5" customHeight="1">
      <c r="B143" s="312"/>
      <c r="C143" s="312"/>
      <c r="D143" s="312"/>
      <c r="E143" s="312"/>
      <c r="F143" s="312"/>
      <c r="G143" s="312"/>
      <c r="H143" s="312"/>
      <c r="I143" s="312"/>
      <c r="J143" s="312"/>
      <c r="K143" s="312"/>
      <c r="L143" s="312"/>
      <c r="M143" s="312"/>
      <c r="N143" s="312"/>
      <c r="O143" s="312"/>
      <c r="P143" s="323"/>
    </row>
    <row r="144" spans="2:16" ht="13.5" customHeight="1">
      <c r="B144" s="312"/>
      <c r="C144" s="312"/>
      <c r="D144" s="312"/>
      <c r="E144" s="312"/>
      <c r="F144" s="312"/>
      <c r="G144" s="312"/>
      <c r="H144" s="312"/>
      <c r="I144" s="312"/>
      <c r="J144" s="312"/>
      <c r="K144" s="312"/>
      <c r="L144" s="312"/>
      <c r="M144" s="312"/>
      <c r="N144" s="312"/>
      <c r="O144" s="312"/>
      <c r="P144" s="323"/>
    </row>
    <row r="145" spans="2:16" ht="13.5" customHeight="1"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  <c r="L145" s="312"/>
      <c r="M145" s="312"/>
      <c r="N145" s="312"/>
      <c r="O145" s="312"/>
      <c r="P145" s="323"/>
    </row>
    <row r="146" spans="2:16" ht="13.5" customHeight="1">
      <c r="B146" s="312"/>
      <c r="C146" s="312"/>
      <c r="D146" s="312"/>
      <c r="E146" s="312"/>
      <c r="F146" s="312"/>
      <c r="G146" s="312"/>
      <c r="H146" s="312"/>
      <c r="I146" s="312"/>
      <c r="J146" s="312"/>
      <c r="K146" s="312"/>
      <c r="L146" s="312"/>
      <c r="M146" s="312"/>
      <c r="N146" s="312"/>
      <c r="O146" s="312"/>
      <c r="P146" s="323"/>
    </row>
    <row r="147" spans="2:16" ht="13.5" customHeight="1">
      <c r="B147" s="312"/>
      <c r="C147" s="312"/>
      <c r="D147" s="312"/>
      <c r="E147" s="312"/>
      <c r="F147" s="312"/>
      <c r="G147" s="312"/>
      <c r="H147" s="312"/>
      <c r="I147" s="312"/>
      <c r="J147" s="312"/>
      <c r="K147" s="312"/>
      <c r="L147" s="312"/>
      <c r="M147" s="312"/>
      <c r="N147" s="312"/>
      <c r="O147" s="312"/>
      <c r="P147" s="323"/>
    </row>
    <row r="148" spans="2:16" ht="13.5" customHeight="1">
      <c r="B148" s="312"/>
      <c r="C148" s="312"/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312"/>
      <c r="P148" s="323"/>
    </row>
    <row r="149" spans="2:16" ht="13.5" customHeight="1">
      <c r="B149" s="312"/>
      <c r="C149" s="312"/>
      <c r="D149" s="312"/>
      <c r="E149" s="312"/>
      <c r="F149" s="312"/>
      <c r="G149" s="312"/>
      <c r="H149" s="312"/>
      <c r="I149" s="312"/>
      <c r="J149" s="312"/>
      <c r="K149" s="312"/>
      <c r="L149" s="312"/>
      <c r="M149" s="312"/>
      <c r="N149" s="312"/>
      <c r="O149" s="312"/>
      <c r="P149" s="323"/>
    </row>
    <row r="150" spans="2:16" ht="13.5" customHeight="1">
      <c r="B150" s="312"/>
      <c r="C150" s="312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312"/>
      <c r="P150" s="323"/>
    </row>
    <row r="151" spans="2:16" ht="13.5" customHeight="1"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312"/>
      <c r="P151" s="323"/>
    </row>
    <row r="152" spans="2:16" ht="13.5" customHeight="1">
      <c r="B152" s="312"/>
      <c r="C152" s="312"/>
      <c r="D152" s="312"/>
      <c r="E152" s="312"/>
      <c r="F152" s="312"/>
      <c r="G152" s="312"/>
      <c r="H152" s="312"/>
      <c r="I152" s="312"/>
      <c r="J152" s="312"/>
      <c r="K152" s="312"/>
      <c r="L152" s="312"/>
      <c r="M152" s="312"/>
      <c r="N152" s="312"/>
      <c r="O152" s="312"/>
      <c r="P152" s="323"/>
    </row>
    <row r="153" spans="2:16" ht="13.5" customHeight="1">
      <c r="B153" s="312"/>
      <c r="C153" s="312"/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  <c r="O153" s="312"/>
      <c r="P153" s="323"/>
    </row>
    <row r="154" spans="2:16" ht="13.5" customHeight="1">
      <c r="B154" s="312"/>
      <c r="C154" s="312"/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312"/>
      <c r="P154" s="323"/>
    </row>
    <row r="155" spans="2:16" ht="13.5" customHeight="1">
      <c r="B155" s="312"/>
      <c r="C155" s="312"/>
      <c r="D155" s="312"/>
      <c r="E155" s="312"/>
      <c r="F155" s="312"/>
      <c r="G155" s="312"/>
      <c r="H155" s="312"/>
      <c r="I155" s="312"/>
      <c r="J155" s="312"/>
      <c r="K155" s="312"/>
      <c r="L155" s="312"/>
      <c r="M155" s="312"/>
      <c r="N155" s="312"/>
      <c r="O155" s="312"/>
      <c r="P155" s="323"/>
    </row>
    <row r="156" spans="2:16" ht="13.5" customHeight="1">
      <c r="B156" s="312"/>
      <c r="C156" s="312"/>
      <c r="D156" s="312"/>
      <c r="E156" s="312"/>
      <c r="F156" s="312"/>
      <c r="G156" s="312"/>
      <c r="H156" s="312"/>
      <c r="I156" s="312"/>
      <c r="J156" s="312"/>
      <c r="K156" s="312"/>
      <c r="L156" s="312"/>
      <c r="M156" s="312"/>
      <c r="N156" s="312"/>
      <c r="O156" s="312"/>
      <c r="P156" s="323"/>
    </row>
    <row r="157" spans="2:16" ht="13.5" customHeight="1">
      <c r="B157" s="312"/>
      <c r="C157" s="312"/>
      <c r="D157" s="312"/>
      <c r="E157" s="312"/>
      <c r="F157" s="312"/>
      <c r="G157" s="312"/>
      <c r="H157" s="312"/>
      <c r="I157" s="312"/>
      <c r="J157" s="312"/>
      <c r="K157" s="312"/>
      <c r="L157" s="312"/>
      <c r="M157" s="312"/>
      <c r="N157" s="312"/>
      <c r="O157" s="312"/>
      <c r="P157" s="323"/>
    </row>
    <row r="158" spans="2:16" ht="13.5" customHeight="1">
      <c r="B158" s="312"/>
      <c r="C158" s="312"/>
      <c r="D158" s="312"/>
      <c r="E158" s="312"/>
      <c r="F158" s="312"/>
      <c r="G158" s="312"/>
      <c r="H158" s="312"/>
      <c r="I158" s="312"/>
      <c r="J158" s="312"/>
      <c r="K158" s="312"/>
      <c r="L158" s="312"/>
      <c r="M158" s="312"/>
      <c r="N158" s="312"/>
      <c r="O158" s="312"/>
      <c r="P158" s="323"/>
    </row>
    <row r="159" spans="2:16" ht="13.5" customHeight="1">
      <c r="B159" s="312"/>
      <c r="C159" s="312"/>
      <c r="D159" s="312"/>
      <c r="E159" s="312"/>
      <c r="F159" s="312"/>
      <c r="G159" s="312"/>
      <c r="H159" s="312"/>
      <c r="I159" s="312"/>
      <c r="J159" s="312"/>
      <c r="K159" s="312"/>
      <c r="L159" s="312"/>
      <c r="M159" s="312"/>
      <c r="N159" s="312"/>
      <c r="O159" s="312"/>
      <c r="P159" s="323"/>
    </row>
    <row r="160" spans="2:16" ht="13.5" customHeight="1">
      <c r="B160" s="312"/>
      <c r="C160" s="312"/>
      <c r="D160" s="312"/>
      <c r="E160" s="312"/>
      <c r="F160" s="312"/>
      <c r="G160" s="312"/>
      <c r="H160" s="312"/>
      <c r="I160" s="312"/>
      <c r="J160" s="312"/>
      <c r="K160" s="312"/>
      <c r="L160" s="312"/>
      <c r="M160" s="312"/>
      <c r="N160" s="312"/>
      <c r="O160" s="312"/>
      <c r="P160" s="323"/>
    </row>
    <row r="161" spans="2:16" ht="13.5" customHeight="1">
      <c r="B161" s="312"/>
      <c r="C161" s="312"/>
      <c r="D161" s="312"/>
      <c r="E161" s="312"/>
      <c r="F161" s="312"/>
      <c r="G161" s="312"/>
      <c r="H161" s="312"/>
      <c r="I161" s="312"/>
      <c r="J161" s="312"/>
      <c r="K161" s="312"/>
      <c r="L161" s="312"/>
      <c r="M161" s="312"/>
      <c r="N161" s="312"/>
      <c r="O161" s="312"/>
      <c r="P161" s="323"/>
    </row>
    <row r="162" spans="2:16" ht="13.5" customHeight="1">
      <c r="B162" s="312"/>
      <c r="C162" s="312"/>
      <c r="D162" s="312"/>
      <c r="E162" s="312"/>
      <c r="F162" s="312"/>
      <c r="G162" s="312"/>
      <c r="H162" s="312"/>
      <c r="I162" s="312"/>
      <c r="J162" s="312"/>
      <c r="K162" s="312"/>
      <c r="L162" s="312"/>
      <c r="M162" s="312"/>
      <c r="N162" s="312"/>
      <c r="O162" s="312"/>
      <c r="P162" s="323"/>
    </row>
    <row r="163" spans="2:16" ht="13.5" customHeight="1"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  <c r="N163" s="312"/>
      <c r="O163" s="312"/>
      <c r="P163" s="323"/>
    </row>
    <row r="164" spans="2:16" ht="13.5" customHeight="1">
      <c r="B164" s="312"/>
      <c r="C164" s="312"/>
      <c r="D164" s="312"/>
      <c r="E164" s="312"/>
      <c r="F164" s="312"/>
      <c r="G164" s="312"/>
      <c r="H164" s="312"/>
      <c r="I164" s="312"/>
      <c r="J164" s="312"/>
      <c r="K164" s="312"/>
      <c r="L164" s="312"/>
      <c r="M164" s="312"/>
      <c r="N164" s="312"/>
      <c r="O164" s="312"/>
      <c r="P164" s="323"/>
    </row>
    <row r="165" spans="2:16" ht="13.5" customHeight="1">
      <c r="B165" s="312"/>
      <c r="C165" s="312"/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312"/>
      <c r="P165" s="323"/>
    </row>
    <row r="166" spans="2:16" ht="13.5" customHeight="1">
      <c r="B166" s="312"/>
      <c r="C166" s="312"/>
      <c r="D166" s="312"/>
      <c r="E166" s="312"/>
      <c r="F166" s="312"/>
      <c r="G166" s="312"/>
      <c r="H166" s="312"/>
      <c r="I166" s="312"/>
      <c r="J166" s="312"/>
      <c r="K166" s="312"/>
      <c r="L166" s="312"/>
      <c r="M166" s="312"/>
      <c r="N166" s="312"/>
      <c r="O166" s="312"/>
      <c r="P166" s="323"/>
    </row>
    <row r="167" spans="2:16" ht="13.5" customHeight="1">
      <c r="B167" s="312"/>
      <c r="C167" s="312"/>
      <c r="D167" s="312"/>
      <c r="E167" s="312"/>
      <c r="F167" s="312"/>
      <c r="G167" s="312"/>
      <c r="H167" s="312"/>
      <c r="I167" s="312"/>
      <c r="J167" s="312"/>
      <c r="K167" s="312"/>
      <c r="L167" s="312"/>
      <c r="M167" s="312"/>
      <c r="N167" s="312"/>
      <c r="O167" s="312"/>
      <c r="P167" s="323"/>
    </row>
    <row r="168" spans="2:16" ht="13.5" customHeight="1">
      <c r="B168" s="312"/>
      <c r="C168" s="312"/>
      <c r="D168" s="312"/>
      <c r="E168" s="312"/>
      <c r="F168" s="312"/>
      <c r="G168" s="312"/>
      <c r="H168" s="312"/>
      <c r="I168" s="312"/>
      <c r="J168" s="312"/>
      <c r="K168" s="312"/>
      <c r="L168" s="312"/>
      <c r="M168" s="312"/>
      <c r="N168" s="312"/>
      <c r="O168" s="312"/>
      <c r="P168" s="323"/>
    </row>
    <row r="169" spans="2:16" ht="13.5" customHeight="1">
      <c r="B169" s="312"/>
      <c r="C169" s="312"/>
      <c r="D169" s="312"/>
      <c r="E169" s="312"/>
      <c r="F169" s="312"/>
      <c r="G169" s="312"/>
      <c r="H169" s="312"/>
      <c r="I169" s="312"/>
      <c r="J169" s="312"/>
      <c r="K169" s="312"/>
      <c r="L169" s="312"/>
      <c r="M169" s="312"/>
      <c r="N169" s="312"/>
      <c r="O169" s="312"/>
      <c r="P169" s="323"/>
    </row>
    <row r="170" spans="2:16" ht="13.5" customHeight="1">
      <c r="B170" s="312"/>
      <c r="C170" s="312"/>
      <c r="D170" s="312"/>
      <c r="E170" s="312"/>
      <c r="F170" s="312"/>
      <c r="G170" s="312"/>
      <c r="H170" s="312"/>
      <c r="I170" s="312"/>
      <c r="J170" s="312"/>
      <c r="K170" s="312"/>
      <c r="L170" s="312"/>
      <c r="M170" s="312"/>
      <c r="N170" s="312"/>
      <c r="O170" s="312"/>
      <c r="P170" s="323"/>
    </row>
    <row r="171" spans="2:16" ht="13.5" customHeight="1">
      <c r="B171" s="312"/>
      <c r="C171" s="312"/>
      <c r="D171" s="312"/>
      <c r="E171" s="312"/>
      <c r="F171" s="312"/>
      <c r="G171" s="312"/>
      <c r="H171" s="312"/>
      <c r="I171" s="312"/>
      <c r="J171" s="312"/>
      <c r="K171" s="312"/>
      <c r="L171" s="312"/>
      <c r="M171" s="312"/>
      <c r="N171" s="312"/>
      <c r="O171" s="312"/>
      <c r="P171" s="323"/>
    </row>
    <row r="172" spans="2:16" ht="13.5" customHeight="1">
      <c r="B172" s="312"/>
      <c r="C172" s="312"/>
      <c r="D172" s="312"/>
      <c r="E172" s="312"/>
      <c r="F172" s="312"/>
      <c r="G172" s="312"/>
      <c r="H172" s="312"/>
      <c r="I172" s="312"/>
      <c r="J172" s="312"/>
      <c r="K172" s="312"/>
      <c r="L172" s="312"/>
      <c r="M172" s="312"/>
      <c r="N172" s="312"/>
      <c r="O172" s="312"/>
      <c r="P172" s="323"/>
    </row>
    <row r="173" spans="2:16" ht="13.5" customHeight="1">
      <c r="B173" s="312"/>
      <c r="C173" s="312"/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23"/>
    </row>
    <row r="174" spans="2:16" ht="13.5" customHeight="1">
      <c r="B174" s="312"/>
      <c r="C174" s="312"/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2"/>
      <c r="O174" s="312"/>
      <c r="P174" s="323"/>
    </row>
    <row r="175" spans="2:16" ht="13.5" customHeight="1">
      <c r="B175" s="312"/>
      <c r="C175" s="312"/>
      <c r="D175" s="312"/>
      <c r="E175" s="312"/>
      <c r="F175" s="312"/>
      <c r="G175" s="312"/>
      <c r="H175" s="312"/>
      <c r="I175" s="312"/>
      <c r="J175" s="312"/>
      <c r="K175" s="312"/>
      <c r="L175" s="312"/>
      <c r="M175" s="312"/>
      <c r="N175" s="312"/>
      <c r="O175" s="312"/>
      <c r="P175" s="323"/>
    </row>
    <row r="176" spans="2:16" ht="13.5" customHeight="1">
      <c r="B176" s="312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  <c r="P176" s="323"/>
    </row>
    <row r="177" spans="2:16" ht="13.5" customHeight="1">
      <c r="B177" s="312"/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2"/>
      <c r="N177" s="312"/>
      <c r="O177" s="312"/>
      <c r="P177" s="323"/>
    </row>
    <row r="178" spans="2:16" ht="13.5" customHeight="1">
      <c r="B178" s="312"/>
      <c r="C178" s="312"/>
      <c r="D178" s="312"/>
      <c r="E178" s="312"/>
      <c r="F178" s="312"/>
      <c r="G178" s="312"/>
      <c r="H178" s="312"/>
      <c r="I178" s="312"/>
      <c r="J178" s="312"/>
      <c r="K178" s="312"/>
      <c r="L178" s="312"/>
      <c r="M178" s="312"/>
      <c r="N178" s="312"/>
      <c r="O178" s="312"/>
      <c r="P178" s="323"/>
    </row>
    <row r="179" spans="2:16" ht="13.5" customHeight="1">
      <c r="B179" s="312"/>
      <c r="C179" s="312"/>
      <c r="D179" s="312"/>
      <c r="E179" s="312"/>
      <c r="F179" s="312"/>
      <c r="G179" s="312"/>
      <c r="H179" s="312"/>
      <c r="I179" s="312"/>
      <c r="J179" s="312"/>
      <c r="K179" s="312"/>
      <c r="L179" s="312"/>
      <c r="M179" s="312"/>
      <c r="N179" s="312"/>
      <c r="O179" s="312"/>
      <c r="P179" s="323"/>
    </row>
    <row r="180" spans="2:16" ht="13.5" customHeight="1">
      <c r="B180" s="312"/>
      <c r="C180" s="312"/>
      <c r="D180" s="312"/>
      <c r="E180" s="312"/>
      <c r="F180" s="312"/>
      <c r="G180" s="312"/>
      <c r="H180" s="312"/>
      <c r="I180" s="312"/>
      <c r="J180" s="312"/>
      <c r="K180" s="312"/>
      <c r="L180" s="312"/>
      <c r="M180" s="312"/>
      <c r="N180" s="312"/>
      <c r="O180" s="312"/>
      <c r="P180" s="323"/>
    </row>
    <row r="181" spans="2:16" ht="13.5" customHeight="1">
      <c r="B181" s="312"/>
      <c r="C181" s="312"/>
      <c r="D181" s="312"/>
      <c r="E181" s="312"/>
      <c r="F181" s="312"/>
      <c r="G181" s="312"/>
      <c r="H181" s="312"/>
      <c r="I181" s="312"/>
      <c r="J181" s="312"/>
      <c r="K181" s="312"/>
      <c r="L181" s="312"/>
      <c r="M181" s="312"/>
      <c r="N181" s="312"/>
      <c r="O181" s="312"/>
      <c r="P181" s="323"/>
    </row>
    <row r="182" spans="2:16" ht="13.5" customHeight="1">
      <c r="B182" s="312"/>
      <c r="C182" s="312"/>
      <c r="D182" s="312"/>
      <c r="E182" s="312"/>
      <c r="F182" s="312"/>
      <c r="G182" s="312"/>
      <c r="H182" s="312"/>
      <c r="I182" s="312"/>
      <c r="J182" s="312"/>
      <c r="K182" s="312"/>
      <c r="L182" s="312"/>
      <c r="M182" s="312"/>
      <c r="N182" s="312"/>
      <c r="O182" s="312"/>
      <c r="P182" s="323"/>
    </row>
    <row r="183" spans="2:16" ht="13.5" customHeight="1">
      <c r="B183" s="312"/>
      <c r="C183" s="312"/>
      <c r="D183" s="312"/>
      <c r="E183" s="312"/>
      <c r="F183" s="312"/>
      <c r="G183" s="312"/>
      <c r="H183" s="312"/>
      <c r="I183" s="312"/>
      <c r="J183" s="312"/>
      <c r="K183" s="312"/>
      <c r="L183" s="312"/>
      <c r="M183" s="312"/>
      <c r="N183" s="312"/>
      <c r="O183" s="312"/>
      <c r="P183" s="323"/>
    </row>
    <row r="184" spans="2:16" ht="13.5" customHeight="1">
      <c r="B184" s="312"/>
      <c r="C184" s="312"/>
      <c r="D184" s="312"/>
      <c r="E184" s="312"/>
      <c r="F184" s="312"/>
      <c r="G184" s="312"/>
      <c r="H184" s="312"/>
      <c r="I184" s="312"/>
      <c r="J184" s="312"/>
      <c r="K184" s="312"/>
      <c r="L184" s="312"/>
      <c r="M184" s="312"/>
      <c r="N184" s="312"/>
      <c r="O184" s="312"/>
      <c r="P184" s="323"/>
    </row>
    <row r="185" spans="2:16" ht="13.5" customHeight="1">
      <c r="B185" s="312"/>
      <c r="C185" s="312"/>
      <c r="D185" s="312"/>
      <c r="E185" s="312"/>
      <c r="F185" s="312"/>
      <c r="G185" s="312"/>
      <c r="H185" s="312"/>
      <c r="I185" s="312"/>
      <c r="J185" s="312"/>
      <c r="K185" s="312"/>
      <c r="L185" s="312"/>
      <c r="M185" s="312"/>
      <c r="N185" s="312"/>
      <c r="O185" s="312"/>
      <c r="P185" s="323"/>
    </row>
    <row r="186" spans="2:16" ht="13.5" customHeight="1">
      <c r="B186" s="312"/>
      <c r="C186" s="312"/>
      <c r="D186" s="312"/>
      <c r="E186" s="312"/>
      <c r="F186" s="312"/>
      <c r="G186" s="312"/>
      <c r="H186" s="312"/>
      <c r="I186" s="312"/>
      <c r="J186" s="312"/>
      <c r="K186" s="312"/>
      <c r="L186" s="312"/>
      <c r="M186" s="312"/>
      <c r="N186" s="312"/>
      <c r="O186" s="312"/>
      <c r="P186" s="323"/>
    </row>
    <row r="187" spans="2:16" ht="13.5" customHeight="1">
      <c r="B187" s="312"/>
      <c r="C187" s="312"/>
      <c r="D187" s="312"/>
      <c r="E187" s="312"/>
      <c r="F187" s="312"/>
      <c r="G187" s="312"/>
      <c r="H187" s="312"/>
      <c r="I187" s="312"/>
      <c r="J187" s="312"/>
      <c r="K187" s="312"/>
      <c r="L187" s="312"/>
      <c r="M187" s="312"/>
      <c r="N187" s="312"/>
      <c r="O187" s="312"/>
      <c r="P187" s="323"/>
    </row>
    <row r="188" spans="2:16" ht="13.5" customHeight="1">
      <c r="B188" s="312"/>
      <c r="C188" s="312"/>
      <c r="D188" s="312"/>
      <c r="E188" s="312"/>
      <c r="F188" s="312"/>
      <c r="G188" s="312"/>
      <c r="H188" s="312"/>
      <c r="I188" s="312"/>
      <c r="J188" s="312"/>
      <c r="K188" s="312"/>
      <c r="L188" s="312"/>
      <c r="M188" s="312"/>
      <c r="N188" s="312"/>
      <c r="O188" s="312"/>
      <c r="P188" s="323"/>
    </row>
    <row r="189" spans="2:16" ht="13.5" customHeight="1">
      <c r="B189" s="312"/>
      <c r="C189" s="312"/>
      <c r="D189" s="312"/>
      <c r="E189" s="312"/>
      <c r="F189" s="312"/>
      <c r="G189" s="312"/>
      <c r="H189" s="312"/>
      <c r="I189" s="312"/>
      <c r="J189" s="312"/>
      <c r="K189" s="312"/>
      <c r="L189" s="312"/>
      <c r="M189" s="312"/>
      <c r="N189" s="312"/>
      <c r="O189" s="312"/>
      <c r="P189" s="323"/>
    </row>
    <row r="190" spans="2:16" ht="13.5" customHeight="1">
      <c r="B190" s="312"/>
      <c r="C190" s="312"/>
      <c r="D190" s="312"/>
      <c r="E190" s="312"/>
      <c r="F190" s="312"/>
      <c r="G190" s="312"/>
      <c r="H190" s="312"/>
      <c r="I190" s="312"/>
      <c r="J190" s="312"/>
      <c r="K190" s="312"/>
      <c r="L190" s="312"/>
      <c r="M190" s="312"/>
      <c r="N190" s="312"/>
      <c r="O190" s="312"/>
      <c r="P190" s="323"/>
    </row>
    <row r="191" spans="2:16" ht="13.5" customHeight="1">
      <c r="B191" s="312"/>
      <c r="C191" s="312"/>
      <c r="D191" s="312"/>
      <c r="E191" s="312"/>
      <c r="F191" s="312"/>
      <c r="G191" s="312"/>
      <c r="H191" s="312"/>
      <c r="I191" s="312"/>
      <c r="J191" s="312"/>
      <c r="K191" s="312"/>
      <c r="L191" s="312"/>
      <c r="M191" s="312"/>
      <c r="N191" s="312"/>
      <c r="O191" s="312"/>
      <c r="P191" s="323"/>
    </row>
    <row r="192" spans="2:16" ht="13.5" customHeight="1">
      <c r="B192" s="312"/>
      <c r="C192" s="312"/>
      <c r="D192" s="312"/>
      <c r="E192" s="312"/>
      <c r="F192" s="312"/>
      <c r="G192" s="312"/>
      <c r="H192" s="312"/>
      <c r="I192" s="312"/>
      <c r="J192" s="312"/>
      <c r="K192" s="312"/>
      <c r="L192" s="312"/>
      <c r="M192" s="312"/>
      <c r="N192" s="312"/>
      <c r="O192" s="312"/>
      <c r="P192" s="323"/>
    </row>
    <row r="193" spans="2:16" ht="13.5" customHeight="1">
      <c r="B193" s="312"/>
      <c r="C193" s="312"/>
      <c r="D193" s="312"/>
      <c r="E193" s="312"/>
      <c r="F193" s="312"/>
      <c r="G193" s="312"/>
      <c r="H193" s="312"/>
      <c r="I193" s="312"/>
      <c r="J193" s="312"/>
      <c r="K193" s="312"/>
      <c r="L193" s="312"/>
      <c r="M193" s="312"/>
      <c r="N193" s="312"/>
      <c r="O193" s="312"/>
      <c r="P193" s="323"/>
    </row>
    <row r="194" spans="2:16" ht="13.5" customHeight="1">
      <c r="B194" s="312"/>
      <c r="C194" s="312"/>
      <c r="D194" s="312"/>
      <c r="E194" s="312"/>
      <c r="F194" s="312"/>
      <c r="G194" s="312"/>
      <c r="H194" s="312"/>
      <c r="I194" s="312"/>
      <c r="J194" s="312"/>
      <c r="K194" s="312"/>
      <c r="L194" s="312"/>
      <c r="M194" s="312"/>
      <c r="N194" s="312"/>
      <c r="O194" s="312"/>
      <c r="P194" s="323"/>
    </row>
    <row r="195" spans="2:16" ht="13.5" customHeight="1">
      <c r="B195" s="312"/>
      <c r="C195" s="312"/>
      <c r="D195" s="312"/>
      <c r="E195" s="312"/>
      <c r="F195" s="312"/>
      <c r="G195" s="312"/>
      <c r="H195" s="312"/>
      <c r="I195" s="312"/>
      <c r="J195" s="312"/>
      <c r="K195" s="312"/>
      <c r="L195" s="312"/>
      <c r="M195" s="312"/>
      <c r="N195" s="312"/>
      <c r="O195" s="312"/>
      <c r="P195" s="323"/>
    </row>
    <row r="196" spans="2:16" ht="13.5" customHeight="1">
      <c r="B196" s="312"/>
      <c r="C196" s="312"/>
      <c r="D196" s="312"/>
      <c r="E196" s="312"/>
      <c r="F196" s="312"/>
      <c r="G196" s="312"/>
      <c r="H196" s="312"/>
      <c r="I196" s="312"/>
      <c r="J196" s="312"/>
      <c r="K196" s="312"/>
      <c r="L196" s="312"/>
      <c r="M196" s="312"/>
      <c r="N196" s="312"/>
      <c r="O196" s="312"/>
      <c r="P196" s="323"/>
    </row>
    <row r="197" spans="2:16" ht="13.5" customHeight="1">
      <c r="B197" s="312"/>
      <c r="C197" s="312"/>
      <c r="D197" s="312"/>
      <c r="E197" s="312"/>
      <c r="F197" s="312"/>
      <c r="G197" s="312"/>
      <c r="H197" s="312"/>
      <c r="I197" s="312"/>
      <c r="J197" s="312"/>
      <c r="K197" s="312"/>
      <c r="L197" s="312"/>
      <c r="M197" s="312"/>
      <c r="N197" s="312"/>
      <c r="O197" s="312"/>
      <c r="P197" s="323"/>
    </row>
    <row r="198" spans="2:16" ht="13.5" customHeight="1">
      <c r="B198" s="312"/>
      <c r="C198" s="312"/>
      <c r="D198" s="312"/>
      <c r="E198" s="312"/>
      <c r="F198" s="312"/>
      <c r="G198" s="312"/>
      <c r="H198" s="312"/>
      <c r="I198" s="312"/>
      <c r="J198" s="312"/>
      <c r="K198" s="312"/>
      <c r="L198" s="312"/>
      <c r="M198" s="312"/>
      <c r="N198" s="312"/>
      <c r="O198" s="312"/>
      <c r="P198" s="323"/>
    </row>
    <row r="199" spans="2:16" ht="13.5" customHeight="1">
      <c r="B199" s="312"/>
      <c r="C199" s="312"/>
      <c r="D199" s="312"/>
      <c r="E199" s="312"/>
      <c r="F199" s="312"/>
      <c r="G199" s="312"/>
      <c r="H199" s="312"/>
      <c r="I199" s="312"/>
      <c r="J199" s="312"/>
      <c r="K199" s="312"/>
      <c r="L199" s="312"/>
      <c r="M199" s="312"/>
      <c r="N199" s="312"/>
      <c r="O199" s="312"/>
      <c r="P199" s="323"/>
    </row>
    <row r="200" spans="2:16" ht="13.5" customHeight="1">
      <c r="B200" s="312"/>
      <c r="C200" s="312"/>
      <c r="D200" s="312"/>
      <c r="E200" s="312"/>
      <c r="F200" s="312"/>
      <c r="G200" s="312"/>
      <c r="H200" s="312"/>
      <c r="I200" s="312"/>
      <c r="J200" s="312"/>
      <c r="K200" s="312"/>
      <c r="L200" s="312"/>
      <c r="M200" s="312"/>
      <c r="N200" s="312"/>
      <c r="O200" s="312"/>
      <c r="P200" s="323"/>
    </row>
    <row r="201" spans="2:16" ht="13.5" customHeight="1">
      <c r="B201" s="312"/>
      <c r="C201" s="312"/>
      <c r="D201" s="312"/>
      <c r="E201" s="312"/>
      <c r="F201" s="312"/>
      <c r="G201" s="312"/>
      <c r="H201" s="312"/>
      <c r="I201" s="312"/>
      <c r="J201" s="312"/>
      <c r="K201" s="312"/>
      <c r="L201" s="312"/>
      <c r="M201" s="312"/>
      <c r="N201" s="312"/>
      <c r="O201" s="312"/>
      <c r="P201" s="323"/>
    </row>
    <row r="202" spans="2:16" ht="13.5" customHeight="1">
      <c r="B202" s="312"/>
      <c r="C202" s="312"/>
      <c r="D202" s="312"/>
      <c r="E202" s="312"/>
      <c r="F202" s="312"/>
      <c r="G202" s="312"/>
      <c r="H202" s="312"/>
      <c r="I202" s="312"/>
      <c r="J202" s="312"/>
      <c r="K202" s="312"/>
      <c r="L202" s="312"/>
      <c r="M202" s="312"/>
      <c r="N202" s="312"/>
      <c r="O202" s="312"/>
      <c r="P202" s="323"/>
    </row>
    <row r="203" spans="2:16" ht="13.5" customHeight="1">
      <c r="B203" s="312"/>
      <c r="C203" s="312"/>
      <c r="D203" s="312"/>
      <c r="E203" s="312"/>
      <c r="F203" s="312"/>
      <c r="G203" s="312"/>
      <c r="H203" s="312"/>
      <c r="I203" s="312"/>
      <c r="J203" s="312"/>
      <c r="K203" s="312"/>
      <c r="L203" s="312"/>
      <c r="M203" s="312"/>
      <c r="N203" s="312"/>
      <c r="O203" s="312"/>
      <c r="P203" s="323"/>
    </row>
    <row r="204" spans="2:16" ht="13.5" customHeight="1">
      <c r="B204" s="312"/>
      <c r="C204" s="312"/>
      <c r="D204" s="312"/>
      <c r="E204" s="312"/>
      <c r="F204" s="312"/>
      <c r="G204" s="312"/>
      <c r="H204" s="312"/>
      <c r="I204" s="312"/>
      <c r="J204" s="312"/>
      <c r="K204" s="312"/>
      <c r="L204" s="312"/>
      <c r="M204" s="312"/>
      <c r="N204" s="312"/>
      <c r="O204" s="312"/>
      <c r="P204" s="323"/>
    </row>
    <row r="205" spans="2:16" ht="13.5" customHeight="1">
      <c r="B205" s="312"/>
      <c r="C205" s="312"/>
      <c r="D205" s="312"/>
      <c r="E205" s="312"/>
      <c r="F205" s="312"/>
      <c r="G205" s="312"/>
      <c r="H205" s="312"/>
      <c r="I205" s="312"/>
      <c r="J205" s="312"/>
      <c r="K205" s="312"/>
      <c r="L205" s="312"/>
      <c r="M205" s="312"/>
      <c r="N205" s="312"/>
      <c r="O205" s="312"/>
      <c r="P205" s="323"/>
    </row>
    <row r="206" spans="2:16" ht="13.5" customHeight="1">
      <c r="B206" s="312"/>
      <c r="C206" s="312"/>
      <c r="D206" s="312"/>
      <c r="E206" s="312"/>
      <c r="F206" s="312"/>
      <c r="G206" s="312"/>
      <c r="H206" s="312"/>
      <c r="I206" s="312"/>
      <c r="J206" s="312"/>
      <c r="K206" s="312"/>
      <c r="L206" s="312"/>
      <c r="M206" s="312"/>
      <c r="N206" s="312"/>
      <c r="O206" s="312"/>
      <c r="P206" s="323"/>
    </row>
    <row r="207" spans="2:16" ht="13.5" customHeight="1">
      <c r="B207" s="312"/>
      <c r="C207" s="312"/>
      <c r="D207" s="312"/>
      <c r="E207" s="312"/>
      <c r="F207" s="312"/>
      <c r="G207" s="312"/>
      <c r="H207" s="312"/>
      <c r="I207" s="312"/>
      <c r="J207" s="312"/>
      <c r="K207" s="312"/>
      <c r="L207" s="312"/>
      <c r="M207" s="312"/>
      <c r="N207" s="312"/>
      <c r="O207" s="312"/>
      <c r="P207" s="323"/>
    </row>
    <row r="208" spans="2:16" ht="13.5" customHeight="1">
      <c r="B208" s="312"/>
      <c r="C208" s="312"/>
      <c r="D208" s="312"/>
      <c r="E208" s="312"/>
      <c r="F208" s="312"/>
      <c r="G208" s="312"/>
      <c r="H208" s="312"/>
      <c r="I208" s="312"/>
      <c r="J208" s="312"/>
      <c r="K208" s="312"/>
      <c r="L208" s="312"/>
      <c r="M208" s="312"/>
      <c r="N208" s="312"/>
      <c r="O208" s="312"/>
      <c r="P208" s="323"/>
    </row>
    <row r="209" spans="2:16" ht="13.5" customHeight="1">
      <c r="B209" s="312"/>
      <c r="C209" s="312"/>
      <c r="D209" s="312"/>
      <c r="E209" s="312"/>
      <c r="F209" s="312"/>
      <c r="G209" s="312"/>
      <c r="H209" s="312"/>
      <c r="I209" s="312"/>
      <c r="J209" s="312"/>
      <c r="K209" s="312"/>
      <c r="L209" s="312"/>
      <c r="M209" s="312"/>
      <c r="N209" s="312"/>
      <c r="O209" s="312"/>
      <c r="P209" s="323"/>
    </row>
    <row r="210" spans="2:16" ht="13.5" customHeight="1">
      <c r="B210" s="312"/>
      <c r="C210" s="312"/>
      <c r="D210" s="312"/>
      <c r="E210" s="312"/>
      <c r="F210" s="312"/>
      <c r="G210" s="312"/>
      <c r="H210" s="312"/>
      <c r="I210" s="312"/>
      <c r="J210" s="312"/>
      <c r="K210" s="312"/>
      <c r="L210" s="312"/>
      <c r="M210" s="312"/>
      <c r="N210" s="312"/>
      <c r="O210" s="312"/>
      <c r="P210" s="323"/>
    </row>
    <row r="211" spans="2:16" ht="13.5" customHeight="1">
      <c r="B211" s="312"/>
      <c r="C211" s="312"/>
      <c r="D211" s="312"/>
      <c r="E211" s="312"/>
      <c r="F211" s="312"/>
      <c r="G211" s="312"/>
      <c r="H211" s="312"/>
      <c r="I211" s="312"/>
      <c r="J211" s="312"/>
      <c r="K211" s="312"/>
      <c r="L211" s="312"/>
      <c r="M211" s="312"/>
      <c r="N211" s="312"/>
      <c r="O211" s="312"/>
      <c r="P211" s="323"/>
    </row>
    <row r="212" spans="2:16" ht="13.5" customHeight="1">
      <c r="B212" s="312"/>
      <c r="C212" s="312"/>
      <c r="D212" s="312"/>
      <c r="E212" s="312"/>
      <c r="F212" s="312"/>
      <c r="G212" s="312"/>
      <c r="H212" s="312"/>
      <c r="I212" s="312"/>
      <c r="J212" s="312"/>
      <c r="K212" s="312"/>
      <c r="L212" s="312"/>
      <c r="M212" s="312"/>
      <c r="N212" s="312"/>
      <c r="O212" s="312"/>
      <c r="P212" s="323"/>
    </row>
    <row r="213" spans="2:16" ht="13.5" customHeight="1">
      <c r="B213" s="312"/>
      <c r="C213" s="312"/>
      <c r="D213" s="312"/>
      <c r="E213" s="312"/>
      <c r="F213" s="312"/>
      <c r="G213" s="312"/>
      <c r="H213" s="312"/>
      <c r="I213" s="312"/>
      <c r="J213" s="312"/>
      <c r="K213" s="312"/>
      <c r="L213" s="312"/>
      <c r="M213" s="312"/>
      <c r="N213" s="312"/>
      <c r="O213" s="312"/>
      <c r="P213" s="323"/>
    </row>
    <row r="214" spans="2:16" ht="13.5" customHeight="1">
      <c r="B214" s="312"/>
      <c r="C214" s="312"/>
      <c r="D214" s="312"/>
      <c r="E214" s="312"/>
      <c r="F214" s="312"/>
      <c r="G214" s="312"/>
      <c r="H214" s="312"/>
      <c r="I214" s="312"/>
      <c r="J214" s="312"/>
      <c r="K214" s="312"/>
      <c r="L214" s="312"/>
      <c r="M214" s="312"/>
      <c r="N214" s="312"/>
      <c r="O214" s="312"/>
      <c r="P214" s="323"/>
    </row>
    <row r="215" spans="2:16" ht="13.5" customHeight="1">
      <c r="B215" s="312"/>
      <c r="C215" s="312"/>
      <c r="D215" s="312"/>
      <c r="E215" s="312"/>
      <c r="F215" s="312"/>
      <c r="G215" s="312"/>
      <c r="H215" s="312"/>
      <c r="I215" s="312"/>
      <c r="J215" s="312"/>
      <c r="K215" s="312"/>
      <c r="L215" s="312"/>
      <c r="M215" s="312"/>
      <c r="N215" s="312"/>
      <c r="O215" s="312"/>
      <c r="P215" s="323"/>
    </row>
    <row r="216" spans="2:16" ht="13.5" customHeight="1">
      <c r="B216" s="312"/>
      <c r="C216" s="312"/>
      <c r="D216" s="312"/>
      <c r="E216" s="312"/>
      <c r="F216" s="312"/>
      <c r="G216" s="312"/>
      <c r="H216" s="312"/>
      <c r="I216" s="312"/>
      <c r="J216" s="312"/>
      <c r="K216" s="312"/>
      <c r="L216" s="312"/>
      <c r="M216" s="312"/>
      <c r="N216" s="312"/>
      <c r="O216" s="312"/>
      <c r="P216" s="323"/>
    </row>
    <row r="217" spans="2:16" ht="13.5" customHeight="1">
      <c r="B217" s="312"/>
      <c r="C217" s="312"/>
      <c r="D217" s="312"/>
      <c r="E217" s="312"/>
      <c r="F217" s="312"/>
      <c r="G217" s="312"/>
      <c r="H217" s="312"/>
      <c r="I217" s="312"/>
      <c r="J217" s="312"/>
      <c r="K217" s="312"/>
      <c r="L217" s="312"/>
      <c r="M217" s="312"/>
      <c r="N217" s="312"/>
      <c r="O217" s="312"/>
      <c r="P217" s="323"/>
    </row>
    <row r="218" spans="2:16" ht="13.5" customHeight="1">
      <c r="B218" s="312"/>
      <c r="C218" s="312"/>
      <c r="D218" s="312"/>
      <c r="E218" s="312"/>
      <c r="F218" s="312"/>
      <c r="G218" s="312"/>
      <c r="H218" s="312"/>
      <c r="I218" s="312"/>
      <c r="J218" s="312"/>
      <c r="K218" s="312"/>
      <c r="L218" s="312"/>
      <c r="M218" s="312"/>
      <c r="N218" s="312"/>
      <c r="O218" s="312"/>
      <c r="P218" s="323"/>
    </row>
    <row r="219" spans="2:16" ht="13.5" customHeight="1">
      <c r="B219" s="312"/>
      <c r="C219" s="312"/>
      <c r="D219" s="312"/>
      <c r="E219" s="312"/>
      <c r="F219" s="312"/>
      <c r="G219" s="312"/>
      <c r="H219" s="312"/>
      <c r="I219" s="312"/>
      <c r="J219" s="312"/>
      <c r="K219" s="312"/>
      <c r="L219" s="312"/>
      <c r="M219" s="312"/>
      <c r="N219" s="312"/>
      <c r="O219" s="312"/>
      <c r="P219" s="323"/>
    </row>
    <row r="220" spans="2:16" ht="13.5" customHeight="1">
      <c r="B220" s="312"/>
      <c r="C220" s="312"/>
      <c r="D220" s="312"/>
      <c r="E220" s="312"/>
      <c r="F220" s="312"/>
      <c r="G220" s="312"/>
      <c r="H220" s="312"/>
      <c r="I220" s="312"/>
      <c r="J220" s="312"/>
      <c r="K220" s="312"/>
      <c r="L220" s="312"/>
      <c r="M220" s="312"/>
      <c r="N220" s="312"/>
      <c r="O220" s="312"/>
      <c r="P220" s="323"/>
    </row>
    <row r="221" spans="2:16" ht="13.5" customHeight="1">
      <c r="B221" s="312"/>
      <c r="C221" s="312"/>
      <c r="D221" s="312"/>
      <c r="E221" s="312"/>
      <c r="F221" s="312"/>
      <c r="G221" s="312"/>
      <c r="H221" s="312"/>
      <c r="I221" s="312"/>
      <c r="J221" s="312"/>
      <c r="K221" s="312"/>
      <c r="L221" s="312"/>
      <c r="M221" s="312"/>
      <c r="N221" s="312"/>
      <c r="O221" s="312"/>
      <c r="P221" s="323"/>
    </row>
    <row r="222" spans="2:16" ht="13.5" customHeight="1">
      <c r="B222" s="312"/>
      <c r="C222" s="312"/>
      <c r="D222" s="312"/>
      <c r="E222" s="312"/>
      <c r="F222" s="312"/>
      <c r="G222" s="312"/>
      <c r="H222" s="312"/>
      <c r="I222" s="312"/>
      <c r="J222" s="312"/>
      <c r="K222" s="312"/>
      <c r="L222" s="312"/>
      <c r="M222" s="312"/>
      <c r="N222" s="312"/>
      <c r="O222" s="312"/>
      <c r="P222" s="323"/>
    </row>
    <row r="223" spans="2:16" ht="13.5" customHeight="1">
      <c r="B223" s="312"/>
      <c r="C223" s="312"/>
      <c r="D223" s="312"/>
      <c r="E223" s="312"/>
      <c r="F223" s="312"/>
      <c r="G223" s="312"/>
      <c r="H223" s="312"/>
      <c r="I223" s="312"/>
      <c r="J223" s="312"/>
      <c r="K223" s="312"/>
      <c r="L223" s="312"/>
      <c r="M223" s="312"/>
      <c r="N223" s="312"/>
      <c r="O223" s="312"/>
      <c r="P223" s="323"/>
    </row>
    <row r="224" spans="2:16" ht="13.5" customHeight="1">
      <c r="B224" s="312"/>
      <c r="C224" s="312"/>
      <c r="D224" s="312"/>
      <c r="E224" s="312"/>
      <c r="F224" s="312"/>
      <c r="G224" s="312"/>
      <c r="H224" s="312"/>
      <c r="I224" s="312"/>
      <c r="J224" s="312"/>
      <c r="K224" s="312"/>
      <c r="L224" s="312"/>
      <c r="M224" s="312"/>
      <c r="N224" s="312"/>
      <c r="O224" s="312"/>
      <c r="P224" s="323"/>
    </row>
    <row r="225" spans="2:16" ht="13.5" customHeight="1">
      <c r="B225" s="312"/>
      <c r="C225" s="312"/>
      <c r="D225" s="312"/>
      <c r="E225" s="312"/>
      <c r="F225" s="312"/>
      <c r="G225" s="312"/>
      <c r="H225" s="312"/>
      <c r="I225" s="312"/>
      <c r="J225" s="312"/>
      <c r="K225" s="312"/>
      <c r="L225" s="312"/>
      <c r="M225" s="312"/>
      <c r="N225" s="312"/>
      <c r="O225" s="312"/>
      <c r="P225" s="323"/>
    </row>
    <row r="226" spans="2:16" ht="13.5" customHeight="1">
      <c r="B226" s="312"/>
      <c r="C226" s="312"/>
      <c r="D226" s="312"/>
      <c r="E226" s="312"/>
      <c r="F226" s="312"/>
      <c r="G226" s="312"/>
      <c r="H226" s="312"/>
      <c r="I226" s="312"/>
      <c r="J226" s="312"/>
      <c r="K226" s="312"/>
      <c r="L226" s="312"/>
      <c r="M226" s="312"/>
      <c r="N226" s="312"/>
      <c r="O226" s="312"/>
      <c r="P226" s="323"/>
    </row>
    <row r="227" spans="2:16" ht="13.5" customHeight="1">
      <c r="B227" s="312"/>
      <c r="C227" s="312"/>
      <c r="D227" s="312"/>
      <c r="E227" s="312"/>
      <c r="F227" s="312"/>
      <c r="G227" s="312"/>
      <c r="H227" s="312"/>
      <c r="I227" s="312"/>
      <c r="J227" s="312"/>
      <c r="K227" s="312"/>
      <c r="L227" s="312"/>
      <c r="M227" s="312"/>
      <c r="N227" s="312"/>
      <c r="O227" s="312"/>
      <c r="P227" s="323"/>
    </row>
    <row r="228" spans="2:16" ht="13.5" customHeight="1">
      <c r="B228" s="312"/>
      <c r="C228" s="312"/>
      <c r="D228" s="312"/>
      <c r="E228" s="312"/>
      <c r="F228" s="312"/>
      <c r="G228" s="312"/>
      <c r="H228" s="312"/>
      <c r="I228" s="312"/>
      <c r="J228" s="312"/>
      <c r="K228" s="312"/>
      <c r="L228" s="312"/>
      <c r="M228" s="312"/>
      <c r="N228" s="312"/>
      <c r="O228" s="312"/>
      <c r="P228" s="323"/>
    </row>
    <row r="229" spans="2:16" ht="13.5" customHeight="1">
      <c r="B229" s="312"/>
      <c r="C229" s="312"/>
      <c r="D229" s="312"/>
      <c r="E229" s="312"/>
      <c r="F229" s="312"/>
      <c r="G229" s="312"/>
      <c r="H229" s="312"/>
      <c r="I229" s="312"/>
      <c r="J229" s="312"/>
      <c r="K229" s="312"/>
      <c r="L229" s="312"/>
      <c r="M229" s="312"/>
      <c r="N229" s="312"/>
      <c r="O229" s="312"/>
      <c r="P229" s="323"/>
    </row>
    <row r="230" spans="2:16" ht="13.5" customHeight="1">
      <c r="B230" s="312"/>
      <c r="C230" s="312"/>
      <c r="D230" s="312"/>
      <c r="E230" s="312"/>
      <c r="F230" s="312"/>
      <c r="G230" s="312"/>
      <c r="H230" s="312"/>
      <c r="I230" s="312"/>
      <c r="J230" s="312"/>
      <c r="K230" s="312"/>
      <c r="L230" s="312"/>
      <c r="M230" s="312"/>
      <c r="N230" s="312"/>
      <c r="O230" s="312"/>
      <c r="P230" s="323"/>
    </row>
    <row r="231" spans="2:16" ht="13.5" customHeight="1">
      <c r="B231" s="312"/>
      <c r="C231" s="312"/>
      <c r="D231" s="312"/>
      <c r="E231" s="312"/>
      <c r="F231" s="312"/>
      <c r="G231" s="312"/>
      <c r="H231" s="312"/>
      <c r="I231" s="312"/>
      <c r="J231" s="312"/>
      <c r="K231" s="312"/>
      <c r="L231" s="312"/>
      <c r="M231" s="312"/>
      <c r="N231" s="312"/>
      <c r="O231" s="312"/>
      <c r="P231" s="323"/>
    </row>
    <row r="232" spans="2:16" ht="13.5" customHeight="1">
      <c r="B232" s="312"/>
      <c r="C232" s="312"/>
      <c r="D232" s="312"/>
      <c r="E232" s="312"/>
      <c r="F232" s="312"/>
      <c r="G232" s="312"/>
      <c r="H232" s="312"/>
      <c r="I232" s="312"/>
      <c r="J232" s="312"/>
      <c r="K232" s="312"/>
      <c r="L232" s="312"/>
      <c r="M232" s="312"/>
      <c r="N232" s="312"/>
      <c r="O232" s="312"/>
      <c r="P232" s="323"/>
    </row>
    <row r="233" spans="2:16" ht="13.5" customHeight="1">
      <c r="B233" s="312"/>
      <c r="C233" s="312"/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23"/>
    </row>
    <row r="234" spans="2:16" ht="13.5" customHeight="1">
      <c r="B234" s="312"/>
      <c r="C234" s="312"/>
      <c r="D234" s="312"/>
      <c r="E234" s="312"/>
      <c r="F234" s="312"/>
      <c r="G234" s="312"/>
      <c r="H234" s="312"/>
      <c r="I234" s="312"/>
      <c r="J234" s="312"/>
      <c r="K234" s="312"/>
      <c r="L234" s="312"/>
      <c r="M234" s="312"/>
      <c r="N234" s="312"/>
      <c r="O234" s="312"/>
      <c r="P234" s="323"/>
    </row>
    <row r="235" spans="2:16" ht="13.5" customHeight="1">
      <c r="B235" s="312"/>
      <c r="C235" s="312"/>
      <c r="D235" s="312"/>
      <c r="E235" s="312"/>
      <c r="F235" s="312"/>
      <c r="G235" s="312"/>
      <c r="H235" s="312"/>
      <c r="I235" s="312"/>
      <c r="J235" s="312"/>
      <c r="K235" s="312"/>
      <c r="L235" s="312"/>
      <c r="M235" s="312"/>
      <c r="N235" s="312"/>
      <c r="O235" s="312"/>
      <c r="P235" s="323"/>
    </row>
    <row r="236" spans="2:16" ht="13.5" customHeight="1">
      <c r="B236" s="312"/>
      <c r="C236" s="312"/>
      <c r="D236" s="312"/>
      <c r="E236" s="312"/>
      <c r="F236" s="312"/>
      <c r="G236" s="312"/>
      <c r="H236" s="312"/>
      <c r="I236" s="312"/>
      <c r="J236" s="312"/>
      <c r="K236" s="312"/>
      <c r="L236" s="312"/>
      <c r="M236" s="312"/>
      <c r="N236" s="312"/>
      <c r="O236" s="312"/>
      <c r="P236" s="323"/>
    </row>
    <row r="237" spans="2:16" ht="13.5" customHeight="1">
      <c r="B237" s="312"/>
      <c r="C237" s="312"/>
      <c r="D237" s="312"/>
      <c r="E237" s="312"/>
      <c r="F237" s="312"/>
      <c r="G237" s="312"/>
      <c r="H237" s="312"/>
      <c r="I237" s="312"/>
      <c r="J237" s="312"/>
      <c r="K237" s="312"/>
      <c r="L237" s="312"/>
      <c r="M237" s="312"/>
      <c r="N237" s="312"/>
      <c r="O237" s="312"/>
      <c r="P237" s="323"/>
    </row>
    <row r="238" spans="2:16" ht="13.5" customHeight="1">
      <c r="B238" s="312"/>
      <c r="C238" s="312"/>
      <c r="D238" s="312"/>
      <c r="E238" s="312"/>
      <c r="F238" s="312"/>
      <c r="G238" s="312"/>
      <c r="H238" s="312"/>
      <c r="I238" s="312"/>
      <c r="J238" s="312"/>
      <c r="K238" s="312"/>
      <c r="L238" s="312"/>
      <c r="M238" s="312"/>
      <c r="N238" s="312"/>
      <c r="O238" s="312"/>
      <c r="P238" s="323"/>
    </row>
    <row r="239" spans="2:16" ht="13.5" customHeight="1">
      <c r="B239" s="312"/>
      <c r="C239" s="312"/>
      <c r="D239" s="312"/>
      <c r="E239" s="312"/>
      <c r="F239" s="312"/>
      <c r="G239" s="312"/>
      <c r="H239" s="312"/>
      <c r="I239" s="312"/>
      <c r="J239" s="312"/>
      <c r="K239" s="312"/>
      <c r="L239" s="312"/>
      <c r="M239" s="312"/>
      <c r="N239" s="312"/>
      <c r="O239" s="312"/>
      <c r="P239" s="323"/>
    </row>
    <row r="240" spans="2:16" ht="13.5" customHeight="1">
      <c r="B240" s="312"/>
      <c r="C240" s="312"/>
      <c r="D240" s="312"/>
      <c r="E240" s="312"/>
      <c r="F240" s="312"/>
      <c r="G240" s="312"/>
      <c r="H240" s="312"/>
      <c r="I240" s="312"/>
      <c r="J240" s="312"/>
      <c r="K240" s="312"/>
      <c r="L240" s="312"/>
      <c r="M240" s="312"/>
      <c r="N240" s="312"/>
      <c r="O240" s="312"/>
      <c r="P240" s="323"/>
    </row>
    <row r="241" spans="2:16" ht="13.5" customHeight="1">
      <c r="B241" s="312"/>
      <c r="C241" s="312"/>
      <c r="D241" s="312"/>
      <c r="E241" s="312"/>
      <c r="F241" s="312"/>
      <c r="G241" s="312"/>
      <c r="H241" s="312"/>
      <c r="I241" s="312"/>
      <c r="J241" s="312"/>
      <c r="K241" s="312"/>
      <c r="L241" s="312"/>
      <c r="M241" s="312"/>
      <c r="N241" s="312"/>
      <c r="O241" s="312"/>
      <c r="P241" s="323"/>
    </row>
    <row r="242" spans="2:16" ht="13.5" customHeight="1">
      <c r="B242" s="312"/>
      <c r="C242" s="312"/>
      <c r="D242" s="312"/>
      <c r="E242" s="312"/>
      <c r="F242" s="312"/>
      <c r="G242" s="312"/>
      <c r="H242" s="312"/>
      <c r="I242" s="312"/>
      <c r="J242" s="312"/>
      <c r="K242" s="312"/>
      <c r="L242" s="312"/>
      <c r="M242" s="312"/>
      <c r="N242" s="312"/>
      <c r="O242" s="312"/>
      <c r="P242" s="323"/>
    </row>
    <row r="243" spans="2:16" ht="13.5" customHeight="1">
      <c r="B243" s="312"/>
      <c r="C243" s="312"/>
      <c r="D243" s="312"/>
      <c r="E243" s="312"/>
      <c r="F243" s="312"/>
      <c r="G243" s="312"/>
      <c r="H243" s="312"/>
      <c r="I243" s="312"/>
      <c r="J243" s="312"/>
      <c r="K243" s="312"/>
      <c r="L243" s="312"/>
      <c r="M243" s="312"/>
      <c r="N243" s="312"/>
      <c r="O243" s="312"/>
      <c r="P243" s="323"/>
    </row>
    <row r="244" spans="2:16" ht="13.5" customHeight="1">
      <c r="B244" s="312"/>
      <c r="C244" s="312"/>
      <c r="D244" s="312"/>
      <c r="E244" s="312"/>
      <c r="F244" s="312"/>
      <c r="G244" s="312"/>
      <c r="H244" s="312"/>
      <c r="I244" s="312"/>
      <c r="J244" s="312"/>
      <c r="K244" s="312"/>
      <c r="L244" s="312"/>
      <c r="M244" s="312"/>
      <c r="N244" s="312"/>
      <c r="O244" s="312"/>
      <c r="P244" s="323"/>
    </row>
    <row r="245" spans="2:16" ht="13.5" customHeight="1">
      <c r="B245" s="312"/>
      <c r="C245" s="312"/>
      <c r="D245" s="312"/>
      <c r="E245" s="312"/>
      <c r="F245" s="312"/>
      <c r="G245" s="312"/>
      <c r="H245" s="312"/>
      <c r="I245" s="312"/>
      <c r="J245" s="312"/>
      <c r="K245" s="312"/>
      <c r="L245" s="312"/>
      <c r="M245" s="312"/>
      <c r="N245" s="312"/>
      <c r="O245" s="312"/>
      <c r="P245" s="323"/>
    </row>
    <row r="246" spans="2:16" ht="13.5" customHeight="1">
      <c r="B246" s="312"/>
      <c r="C246" s="312"/>
      <c r="D246" s="312"/>
      <c r="E246" s="312"/>
      <c r="F246" s="312"/>
      <c r="G246" s="312"/>
      <c r="H246" s="312"/>
      <c r="I246" s="312"/>
      <c r="J246" s="312"/>
      <c r="K246" s="312"/>
      <c r="L246" s="312"/>
      <c r="M246" s="312"/>
      <c r="N246" s="312"/>
      <c r="O246" s="312"/>
      <c r="P246" s="323"/>
    </row>
    <row r="247" spans="2:16" ht="13.5" customHeight="1">
      <c r="B247" s="312"/>
      <c r="C247" s="312"/>
      <c r="D247" s="312"/>
      <c r="E247" s="312"/>
      <c r="F247" s="312"/>
      <c r="G247" s="312"/>
      <c r="H247" s="312"/>
      <c r="I247" s="312"/>
      <c r="J247" s="312"/>
      <c r="K247" s="312"/>
      <c r="L247" s="312"/>
      <c r="M247" s="312"/>
      <c r="N247" s="312"/>
      <c r="O247" s="312"/>
      <c r="P247" s="323"/>
    </row>
    <row r="248" spans="2:16" ht="13.5" customHeight="1">
      <c r="B248" s="312"/>
      <c r="C248" s="312"/>
      <c r="D248" s="312"/>
      <c r="E248" s="312"/>
      <c r="F248" s="312"/>
      <c r="G248" s="312"/>
      <c r="H248" s="312"/>
      <c r="I248" s="312"/>
      <c r="J248" s="312"/>
      <c r="K248" s="312"/>
      <c r="L248" s="312"/>
      <c r="M248" s="312"/>
      <c r="N248" s="312"/>
      <c r="O248" s="312"/>
      <c r="P248" s="323"/>
    </row>
    <row r="249" spans="2:16" ht="13.5" customHeight="1">
      <c r="B249" s="312"/>
      <c r="C249" s="312"/>
      <c r="D249" s="312"/>
      <c r="E249" s="312"/>
      <c r="F249" s="312"/>
      <c r="G249" s="312"/>
      <c r="H249" s="312"/>
      <c r="I249" s="312"/>
      <c r="J249" s="312"/>
      <c r="K249" s="312"/>
      <c r="L249" s="312"/>
      <c r="M249" s="312"/>
      <c r="N249" s="312"/>
      <c r="O249" s="312"/>
      <c r="P249" s="323"/>
    </row>
    <row r="250" spans="2:16" ht="13.5" customHeight="1">
      <c r="B250" s="312"/>
      <c r="C250" s="312"/>
      <c r="D250" s="312"/>
      <c r="E250" s="312"/>
      <c r="F250" s="312"/>
      <c r="G250" s="312"/>
      <c r="H250" s="312"/>
      <c r="I250" s="312"/>
      <c r="J250" s="312"/>
      <c r="K250" s="312"/>
      <c r="L250" s="312"/>
      <c r="M250" s="312"/>
      <c r="N250" s="312"/>
      <c r="O250" s="312"/>
      <c r="P250" s="323"/>
    </row>
    <row r="251" spans="2:16" ht="13.5" customHeight="1">
      <c r="B251" s="312"/>
      <c r="C251" s="312"/>
      <c r="D251" s="312"/>
      <c r="E251" s="312"/>
      <c r="F251" s="312"/>
      <c r="G251" s="312"/>
      <c r="H251" s="312"/>
      <c r="I251" s="312"/>
      <c r="J251" s="312"/>
      <c r="K251" s="312"/>
      <c r="L251" s="312"/>
      <c r="M251" s="312"/>
      <c r="N251" s="312"/>
      <c r="O251" s="312"/>
      <c r="P251" s="323"/>
    </row>
    <row r="252" spans="2:16" ht="13.5" customHeight="1">
      <c r="B252" s="312"/>
      <c r="C252" s="312"/>
      <c r="D252" s="312"/>
      <c r="E252" s="312"/>
      <c r="F252" s="312"/>
      <c r="G252" s="312"/>
      <c r="H252" s="312"/>
      <c r="I252" s="312"/>
      <c r="J252" s="312"/>
      <c r="K252" s="312"/>
      <c r="L252" s="312"/>
      <c r="M252" s="312"/>
      <c r="N252" s="312"/>
      <c r="O252" s="312"/>
      <c r="P252" s="323"/>
    </row>
    <row r="253" spans="2:16" ht="13.5" customHeight="1">
      <c r="B253" s="312"/>
      <c r="C253" s="312"/>
      <c r="D253" s="312"/>
      <c r="E253" s="312"/>
      <c r="F253" s="312"/>
      <c r="G253" s="312"/>
      <c r="H253" s="312"/>
      <c r="I253" s="312"/>
      <c r="J253" s="312"/>
      <c r="K253" s="312"/>
      <c r="L253" s="312"/>
      <c r="M253" s="312"/>
      <c r="N253" s="312"/>
      <c r="O253" s="312"/>
      <c r="P253" s="323"/>
    </row>
    <row r="254" spans="2:16" ht="13.5" customHeight="1">
      <c r="B254" s="312"/>
      <c r="C254" s="312"/>
      <c r="D254" s="312"/>
      <c r="E254" s="312"/>
      <c r="F254" s="312"/>
      <c r="G254" s="312"/>
      <c r="H254" s="312"/>
      <c r="I254" s="312"/>
      <c r="J254" s="312"/>
      <c r="K254" s="312"/>
      <c r="L254" s="312"/>
      <c r="M254" s="312"/>
      <c r="N254" s="312"/>
      <c r="O254" s="312"/>
      <c r="P254" s="323"/>
    </row>
    <row r="255" spans="2:16" ht="13.5" customHeight="1">
      <c r="B255" s="312"/>
      <c r="C255" s="312"/>
      <c r="D255" s="312"/>
      <c r="E255" s="312"/>
      <c r="F255" s="312"/>
      <c r="G255" s="312"/>
      <c r="H255" s="312"/>
      <c r="I255" s="312"/>
      <c r="J255" s="312"/>
      <c r="K255" s="312"/>
      <c r="L255" s="312"/>
      <c r="M255" s="312"/>
      <c r="N255" s="312"/>
      <c r="O255" s="312"/>
      <c r="P255" s="323"/>
    </row>
    <row r="256" spans="2:16" ht="13.5" customHeight="1">
      <c r="B256" s="312"/>
      <c r="C256" s="312"/>
      <c r="D256" s="312"/>
      <c r="E256" s="312"/>
      <c r="F256" s="312"/>
      <c r="G256" s="312"/>
      <c r="H256" s="312"/>
      <c r="I256" s="312"/>
      <c r="J256" s="312"/>
      <c r="K256" s="312"/>
      <c r="L256" s="312"/>
      <c r="M256" s="312"/>
      <c r="N256" s="312"/>
      <c r="O256" s="312"/>
      <c r="P256" s="323"/>
    </row>
    <row r="257" spans="2:16" ht="13.5" customHeight="1">
      <c r="B257" s="312"/>
      <c r="C257" s="312"/>
      <c r="D257" s="312"/>
      <c r="E257" s="312"/>
      <c r="F257" s="312"/>
      <c r="G257" s="312"/>
      <c r="H257" s="312"/>
      <c r="I257" s="312"/>
      <c r="J257" s="312"/>
      <c r="K257" s="312"/>
      <c r="L257" s="312"/>
      <c r="M257" s="312"/>
      <c r="N257" s="312"/>
      <c r="O257" s="312"/>
      <c r="P257" s="323"/>
    </row>
    <row r="258" spans="2:16" ht="13.5" customHeight="1">
      <c r="B258" s="312"/>
      <c r="C258" s="312"/>
      <c r="D258" s="312"/>
      <c r="E258" s="312"/>
      <c r="F258" s="312"/>
      <c r="G258" s="312"/>
      <c r="H258" s="312"/>
      <c r="I258" s="312"/>
      <c r="J258" s="312"/>
      <c r="K258" s="312"/>
      <c r="L258" s="312"/>
      <c r="M258" s="312"/>
      <c r="N258" s="312"/>
      <c r="O258" s="312"/>
      <c r="P258" s="323"/>
    </row>
    <row r="259" spans="2:16" ht="13.5" customHeight="1">
      <c r="B259" s="312"/>
      <c r="C259" s="312"/>
      <c r="D259" s="312"/>
      <c r="E259" s="312"/>
      <c r="F259" s="312"/>
      <c r="G259" s="312"/>
      <c r="H259" s="312"/>
      <c r="I259" s="312"/>
      <c r="J259" s="312"/>
      <c r="K259" s="312"/>
      <c r="L259" s="312"/>
      <c r="M259" s="312"/>
      <c r="N259" s="312"/>
      <c r="O259" s="312"/>
      <c r="P259" s="323"/>
    </row>
  </sheetData>
  <sheetProtection/>
  <mergeCells count="1">
    <mergeCell ref="B3:P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2" r:id="rId1"/>
  <headerFooter alignWithMargins="0">
    <oddHeader>&amp;L15. melléklet a 2014. évi 2/2014.(I.24.) Önkormányzati költségvetési rendelethez</oddHeader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AI268"/>
  <sheetViews>
    <sheetView zoomScalePageLayoutView="0" workbookViewId="0" topLeftCell="A1">
      <selection activeCell="H35" sqref="H35"/>
    </sheetView>
  </sheetViews>
  <sheetFormatPr defaultColWidth="9.140625" defaultRowHeight="13.5" customHeight="1"/>
  <cols>
    <col min="1" max="1" width="4.7109375" style="105" customWidth="1"/>
    <col min="2" max="2" width="23.7109375" style="105" customWidth="1"/>
    <col min="3" max="4" width="12.7109375" style="105" bestFit="1" customWidth="1"/>
    <col min="5" max="5" width="10.140625" style="105" bestFit="1" customWidth="1"/>
    <col min="6" max="6" width="8.28125" style="105" bestFit="1" customWidth="1"/>
    <col min="7" max="9" width="10.140625" style="105" bestFit="1" customWidth="1"/>
    <col min="10" max="10" width="9.8515625" style="105" bestFit="1" customWidth="1"/>
    <col min="11" max="11" width="11.00390625" style="105" bestFit="1" customWidth="1"/>
    <col min="12" max="12" width="10.140625" style="105" bestFit="1" customWidth="1"/>
    <col min="13" max="13" width="11.57421875" style="105" bestFit="1" customWidth="1"/>
    <col min="14" max="14" width="11.140625" style="105" bestFit="1" customWidth="1"/>
    <col min="15" max="15" width="11.140625" style="313" bestFit="1" customWidth="1"/>
    <col min="16" max="35" width="9.140625" style="312" customWidth="1"/>
    <col min="36" max="16384" width="9.140625" style="105" customWidth="1"/>
  </cols>
  <sheetData>
    <row r="3" spans="1:15" ht="32.25" customHeight="1" thickBot="1">
      <c r="A3" s="711" t="s">
        <v>492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</row>
    <row r="4" spans="1:15" ht="13.5" customHeight="1" thickBot="1">
      <c r="A4" s="280" t="s">
        <v>298</v>
      </c>
      <c r="B4" s="281" t="s">
        <v>63</v>
      </c>
      <c r="C4" s="281" t="s">
        <v>299</v>
      </c>
      <c r="D4" s="281" t="s">
        <v>300</v>
      </c>
      <c r="E4" s="281" t="s">
        <v>301</v>
      </c>
      <c r="F4" s="281" t="s">
        <v>302</v>
      </c>
      <c r="G4" s="281" t="s">
        <v>303</v>
      </c>
      <c r="H4" s="281" t="s">
        <v>304</v>
      </c>
      <c r="I4" s="281" t="s">
        <v>305</v>
      </c>
      <c r="J4" s="281" t="s">
        <v>306</v>
      </c>
      <c r="K4" s="281" t="s">
        <v>307</v>
      </c>
      <c r="L4" s="281" t="s">
        <v>308</v>
      </c>
      <c r="M4" s="281" t="s">
        <v>309</v>
      </c>
      <c r="N4" s="281" t="s">
        <v>310</v>
      </c>
      <c r="O4" s="282" t="s">
        <v>311</v>
      </c>
    </row>
    <row r="5" spans="1:15" ht="13.5" customHeight="1" thickBot="1">
      <c r="A5" s="283" t="s">
        <v>20</v>
      </c>
      <c r="B5" s="284" t="s">
        <v>93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300"/>
    </row>
    <row r="6" spans="1:15" ht="13.5" customHeight="1">
      <c r="A6" s="286" t="s">
        <v>21</v>
      </c>
      <c r="B6" s="287" t="s">
        <v>332</v>
      </c>
      <c r="C6" s="315">
        <v>77957</v>
      </c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7" t="s">
        <v>333</v>
      </c>
    </row>
    <row r="7" spans="1:15" ht="13.5" customHeight="1">
      <c r="A7" s="290" t="s">
        <v>22</v>
      </c>
      <c r="B7" s="291" t="s">
        <v>313</v>
      </c>
      <c r="C7" s="318">
        <f>+'15mell'!D8+'20mell'!D9+'19mell'!D9+'18mell'!D9+'17mell'!D11</f>
        <v>8289</v>
      </c>
      <c r="D7" s="318">
        <f>+'15mell'!E8+'20mell'!E9+'19mell'!E9+'18mell'!E9+'17mell'!E11</f>
        <v>8289</v>
      </c>
      <c r="E7" s="318">
        <f>+'15mell'!F8+'20mell'!F9+'19mell'!F9+'18mell'!F9+'17mell'!F11</f>
        <v>8289</v>
      </c>
      <c r="F7" s="318">
        <f>+'15mell'!G8+'20mell'!G9+'19mell'!G9+'18mell'!G9+'17mell'!G11</f>
        <v>8289</v>
      </c>
      <c r="G7" s="318">
        <f>+'15mell'!H8+'20mell'!H9+'19mell'!H9+'18mell'!H9+'17mell'!H11</f>
        <v>8289</v>
      </c>
      <c r="H7" s="318">
        <f>+'15mell'!I8+'20mell'!I9+'19mell'!I9+'18mell'!I9+'17mell'!I11</f>
        <v>8289</v>
      </c>
      <c r="I7" s="318">
        <f>+'15mell'!J8+'20mell'!J9+'19mell'!J9+'18mell'!J9+'17mell'!J11</f>
        <v>8289</v>
      </c>
      <c r="J7" s="318">
        <f>+'15mell'!K8+'20mell'!K9+'19mell'!K9+'18mell'!K9+'17mell'!K11</f>
        <v>8289</v>
      </c>
      <c r="K7" s="318">
        <f>+'15mell'!L8+'20mell'!L9+'19mell'!L9+'18mell'!L9+'17mell'!L11</f>
        <v>8289</v>
      </c>
      <c r="L7" s="318">
        <f>+'15mell'!M8+'20mell'!M9+'19mell'!M9+'18mell'!M9+'17mell'!M11</f>
        <v>8289</v>
      </c>
      <c r="M7" s="318">
        <f>+'15mell'!N8+'20mell'!N9+'19mell'!N9+'18mell'!N9+'17mell'!N11</f>
        <v>8289</v>
      </c>
      <c r="N7" s="318">
        <f>+'15mell'!O8+'20mell'!O9+'19mell'!O9+'18mell'!O9+'17mell'!O11</f>
        <v>8292</v>
      </c>
      <c r="O7" s="319">
        <f>SUM(C7:N7)</f>
        <v>99471</v>
      </c>
    </row>
    <row r="8" spans="1:15" ht="22.5" customHeight="1">
      <c r="A8" s="290" t="s">
        <v>23</v>
      </c>
      <c r="B8" s="294" t="s">
        <v>361</v>
      </c>
      <c r="C8" s="318">
        <f>+'15mell'!D9+'20mell'!D10+'19mell'!D10+'18mell'!D10+'17mell'!D12</f>
        <v>20064</v>
      </c>
      <c r="D8" s="320">
        <f>+'15mell'!E9</f>
        <v>20064</v>
      </c>
      <c r="E8" s="320">
        <f>+'15mell'!F9</f>
        <v>20064</v>
      </c>
      <c r="F8" s="320">
        <f>+'15mell'!G9</f>
        <v>20064</v>
      </c>
      <c r="G8" s="320">
        <f>+'15mell'!H9</f>
        <v>20064</v>
      </c>
      <c r="H8" s="320">
        <f>+'15mell'!I9</f>
        <v>20064</v>
      </c>
      <c r="I8" s="320">
        <f>+'15mell'!J9</f>
        <v>20064</v>
      </c>
      <c r="J8" s="320">
        <f>+'15mell'!K9</f>
        <v>20064</v>
      </c>
      <c r="K8" s="320">
        <f>+'15mell'!L9</f>
        <v>20064</v>
      </c>
      <c r="L8" s="320">
        <f>+'15mell'!M9</f>
        <v>20064</v>
      </c>
      <c r="M8" s="320">
        <f>+'15mell'!N9</f>
        <v>20064</v>
      </c>
      <c r="N8" s="320">
        <f>+'15mell'!O9</f>
        <v>20069</v>
      </c>
      <c r="O8" s="321">
        <f>SUM(C8:N8)</f>
        <v>240773</v>
      </c>
    </row>
    <row r="9" spans="1:15" ht="13.5" customHeight="1">
      <c r="A9" s="290" t="s">
        <v>24</v>
      </c>
      <c r="B9" s="291" t="s">
        <v>315</v>
      </c>
      <c r="C9" s="318">
        <f>+'15mell'!D10+'20mell'!D11+'19mell'!D11+'18mell'!D11+'17mell'!D13</f>
        <v>12937</v>
      </c>
      <c r="D9" s="318">
        <f>+'15mell'!E10+'20mell'!E11+'19mell'!E11+'18mell'!E11+'17mell'!E13</f>
        <v>12937</v>
      </c>
      <c r="E9" s="318">
        <f>+'15mell'!F10+'20mell'!F11+'19mell'!F11+'18mell'!F11+'17mell'!F13</f>
        <v>12937</v>
      </c>
      <c r="F9" s="318">
        <f>+'15mell'!G10+'20mell'!G11+'19mell'!G11+'18mell'!G11+'17mell'!G13</f>
        <v>12937</v>
      </c>
      <c r="G9" s="318">
        <f>+'15mell'!H10+'20mell'!H11+'19mell'!H11+'18mell'!H11+'17mell'!H13</f>
        <v>12937</v>
      </c>
      <c r="H9" s="318">
        <f>+'15mell'!I10+'20mell'!I11+'19mell'!I11+'18mell'!I11+'17mell'!I13</f>
        <v>12937</v>
      </c>
      <c r="I9" s="318">
        <f>+'15mell'!J10+'20mell'!J11+'19mell'!J11+'18mell'!J11+'17mell'!J13</f>
        <v>12937</v>
      </c>
      <c r="J9" s="318">
        <f>+'15mell'!K10+'20mell'!K11+'19mell'!K11+'18mell'!K11+'17mell'!K13</f>
        <v>12937</v>
      </c>
      <c r="K9" s="318">
        <f>+'15mell'!L10+'20mell'!L11+'19mell'!L11+'18mell'!L11+'17mell'!L13</f>
        <v>12937</v>
      </c>
      <c r="L9" s="318">
        <f>+'15mell'!M10+'20mell'!M11+'19mell'!M11+'18mell'!M11+'17mell'!M13</f>
        <v>12937</v>
      </c>
      <c r="M9" s="318">
        <f>+'15mell'!N10+'20mell'!N11+'19mell'!N11+'18mell'!N11+'17mell'!N13</f>
        <v>12937</v>
      </c>
      <c r="N9" s="318">
        <f>+'15mell'!O10+'20mell'!O11+'19mell'!O11+'18mell'!O11+'17mell'!O13</f>
        <v>12935</v>
      </c>
      <c r="O9" s="319">
        <f aca="true" t="shared" si="0" ref="O9:O27">SUM(C9:N9)</f>
        <v>155242</v>
      </c>
    </row>
    <row r="10" spans="1:15" ht="13.5" customHeight="1">
      <c r="A10" s="290" t="s">
        <v>25</v>
      </c>
      <c r="B10" s="291" t="s">
        <v>316</v>
      </c>
      <c r="C10" s="318">
        <f>+'15mell'!D11+'20mell'!D12+'19mell'!D12+'18mell'!D12+'17mell'!D14</f>
        <v>5000</v>
      </c>
      <c r="D10" s="318">
        <f>+'15mell'!E11+'20mell'!E12+'19mell'!E12+'18mell'!E12+'17mell'!E14</f>
        <v>10000</v>
      </c>
      <c r="E10" s="318">
        <f>+'15mell'!F11+'20mell'!F12+'19mell'!F12+'18mell'!F12+'17mell'!F14</f>
        <v>0</v>
      </c>
      <c r="F10" s="318">
        <f>+'15mell'!G11+'20mell'!G12+'19mell'!G12+'18mell'!G12+'17mell'!G14</f>
        <v>0</v>
      </c>
      <c r="G10" s="318">
        <f>+'15mell'!H11+'20mell'!H12+'19mell'!H12+'18mell'!H12+'17mell'!H14</f>
        <v>0</v>
      </c>
      <c r="H10" s="318">
        <f>+'15mell'!I11+'20mell'!I12+'19mell'!I12+'18mell'!I12+'17mell'!I14</f>
        <v>0</v>
      </c>
      <c r="I10" s="318">
        <f>+'15mell'!J11+'20mell'!J12+'19mell'!J12+'18mell'!J12+'17mell'!J14</f>
        <v>0</v>
      </c>
      <c r="J10" s="318">
        <f>+'15mell'!K11+'20mell'!K12+'19mell'!K12+'18mell'!K12+'17mell'!K14</f>
        <v>0</v>
      </c>
      <c r="K10" s="318">
        <f>+'15mell'!L11+'20mell'!L12+'19mell'!L12+'18mell'!L12+'17mell'!L14</f>
        <v>14137</v>
      </c>
      <c r="L10" s="318">
        <f>+'15mell'!M11+'20mell'!M12+'19mell'!M12+'18mell'!M12+'17mell'!M14</f>
        <v>0</v>
      </c>
      <c r="M10" s="318">
        <f>+'15mell'!N11+'20mell'!N12+'19mell'!N12+'18mell'!N12+'17mell'!N14</f>
        <v>22313</v>
      </c>
      <c r="N10" s="318">
        <f>+'15mell'!O11+'20mell'!O12+'19mell'!O12+'18mell'!O12+'17mell'!O14</f>
        <v>0</v>
      </c>
      <c r="O10" s="319">
        <f t="shared" si="0"/>
        <v>51450</v>
      </c>
    </row>
    <row r="11" spans="1:15" ht="13.5" customHeight="1">
      <c r="A11" s="290" t="s">
        <v>26</v>
      </c>
      <c r="B11" s="291" t="s">
        <v>317</v>
      </c>
      <c r="C11" s="318">
        <f>+'15mell'!D12+'20mell'!D13+'19mell'!D13+'18mell'!D13+'17mell'!D15</f>
        <v>12553</v>
      </c>
      <c r="D11" s="318">
        <f>+'15mell'!E12+'20mell'!E13+'19mell'!E13+'18mell'!E13+'17mell'!E15</f>
        <v>12553</v>
      </c>
      <c r="E11" s="318">
        <f>+'15mell'!F12+'20mell'!F13+'19mell'!F13+'18mell'!F13+'17mell'!F15</f>
        <v>12553</v>
      </c>
      <c r="F11" s="318">
        <f>+'15mell'!G12+'20mell'!G13+'19mell'!G13+'18mell'!G13+'17mell'!G15</f>
        <v>12553</v>
      </c>
      <c r="G11" s="318">
        <f>+'15mell'!H12+'20mell'!H13+'19mell'!H13+'18mell'!H13+'17mell'!H15</f>
        <v>12553</v>
      </c>
      <c r="H11" s="318">
        <f>+'15mell'!I12+'20mell'!I13+'19mell'!I13+'18mell'!I13+'17mell'!I15</f>
        <v>12553</v>
      </c>
      <c r="I11" s="318">
        <f>+'15mell'!J12+'20mell'!J13+'19mell'!J13+'18mell'!J13+'17mell'!J15</f>
        <v>12553</v>
      </c>
      <c r="J11" s="318">
        <f>+'15mell'!K12+'20mell'!K13+'19mell'!K13+'18mell'!K13+'17mell'!K15</f>
        <v>12553</v>
      </c>
      <c r="K11" s="318">
        <f>+'15mell'!L12+'20mell'!L13+'19mell'!L13+'18mell'!L13+'17mell'!L15</f>
        <v>12553</v>
      </c>
      <c r="L11" s="318">
        <f>+'15mell'!M12+'20mell'!M13+'19mell'!M13+'18mell'!M13+'17mell'!M15</f>
        <v>12553</v>
      </c>
      <c r="M11" s="318">
        <f>+'15mell'!N12+'20mell'!N13+'19mell'!N13+'18mell'!N13+'17mell'!N15</f>
        <v>12553</v>
      </c>
      <c r="N11" s="318">
        <f>+'15mell'!O12+'20mell'!O13+'19mell'!O13+'18mell'!O13+'17mell'!O15</f>
        <v>12562</v>
      </c>
      <c r="O11" s="319">
        <f t="shared" si="0"/>
        <v>150645</v>
      </c>
    </row>
    <row r="12" spans="1:15" ht="13.5" customHeight="1">
      <c r="A12" s="290" t="s">
        <v>27</v>
      </c>
      <c r="B12" s="291" t="s">
        <v>318</v>
      </c>
      <c r="C12" s="318">
        <f>+'15mell'!D13+'20mell'!D14+'19mell'!D14+'18mell'!D14+'17mell'!D16</f>
        <v>13</v>
      </c>
      <c r="D12" s="318">
        <f>+'15mell'!E13+'20mell'!E14+'19mell'!E14+'18mell'!E14+'17mell'!E16</f>
        <v>13</v>
      </c>
      <c r="E12" s="318">
        <f>+'15mell'!F13+'20mell'!F14+'19mell'!F14+'18mell'!F14+'17mell'!F16</f>
        <v>13</v>
      </c>
      <c r="F12" s="318">
        <f>+'15mell'!G13+'20mell'!G14+'19mell'!G14+'18mell'!G14+'17mell'!G16</f>
        <v>13</v>
      </c>
      <c r="G12" s="318">
        <f>+'15mell'!H13+'20mell'!H14+'19mell'!H14+'18mell'!H14+'17mell'!H16</f>
        <v>13</v>
      </c>
      <c r="H12" s="318">
        <f>+'15mell'!I13+'20mell'!I14+'19mell'!I14+'18mell'!I14+'17mell'!I16</f>
        <v>13</v>
      </c>
      <c r="I12" s="318">
        <f>+'15mell'!J13+'20mell'!J14+'19mell'!J14+'18mell'!J14+'17mell'!J16</f>
        <v>13</v>
      </c>
      <c r="J12" s="318">
        <f>+'15mell'!K13+'20mell'!K14+'19mell'!K14+'18mell'!K14+'17mell'!K16</f>
        <v>13</v>
      </c>
      <c r="K12" s="318">
        <f>+'15mell'!L13+'20mell'!L14+'19mell'!L14+'18mell'!L14+'17mell'!L16</f>
        <v>13</v>
      </c>
      <c r="L12" s="318">
        <f>+'15mell'!M13+'20mell'!M14+'19mell'!M14+'18mell'!M14+'17mell'!M16</f>
        <v>13</v>
      </c>
      <c r="M12" s="318">
        <f>+'15mell'!N13+'20mell'!N14+'19mell'!N14+'18mell'!N14+'17mell'!N16</f>
        <v>13</v>
      </c>
      <c r="N12" s="318">
        <f>+'15mell'!O13+'20mell'!O14+'19mell'!O14+'18mell'!O14+'17mell'!O16</f>
        <v>7</v>
      </c>
      <c r="O12" s="319">
        <f t="shared" si="0"/>
        <v>150</v>
      </c>
    </row>
    <row r="13" spans="1:15" ht="21" customHeight="1">
      <c r="A13" s="290" t="s">
        <v>28</v>
      </c>
      <c r="B13" s="296" t="s">
        <v>319</v>
      </c>
      <c r="C13" s="318">
        <f>+'15mell'!D14+'20mell'!D15+'19mell'!D15+'18mell'!D15+'17mell'!D17</f>
        <v>0</v>
      </c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9">
        <f t="shared" si="0"/>
        <v>0</v>
      </c>
    </row>
    <row r="14" spans="1:15" ht="13.5" customHeight="1" thickBot="1">
      <c r="A14" s="290" t="s">
        <v>29</v>
      </c>
      <c r="B14" s="291" t="s">
        <v>334</v>
      </c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9">
        <f t="shared" si="0"/>
        <v>0</v>
      </c>
    </row>
    <row r="15" spans="1:35" s="313" customFormat="1" ht="13.5" customHeight="1" thickBot="1">
      <c r="A15" s="283" t="s">
        <v>30</v>
      </c>
      <c r="B15" s="298" t="s">
        <v>320</v>
      </c>
      <c r="C15" s="322">
        <f>SUM(C7:C14)</f>
        <v>58856</v>
      </c>
      <c r="D15" s="322">
        <f aca="true" t="shared" si="1" ref="D15:N15">SUM(D7:D14)</f>
        <v>63856</v>
      </c>
      <c r="E15" s="322">
        <f t="shared" si="1"/>
        <v>53856</v>
      </c>
      <c r="F15" s="322">
        <f t="shared" si="1"/>
        <v>53856</v>
      </c>
      <c r="G15" s="322">
        <f t="shared" si="1"/>
        <v>53856</v>
      </c>
      <c r="H15" s="322">
        <f t="shared" si="1"/>
        <v>53856</v>
      </c>
      <c r="I15" s="322">
        <f t="shared" si="1"/>
        <v>53856</v>
      </c>
      <c r="J15" s="322">
        <f t="shared" si="1"/>
        <v>53856</v>
      </c>
      <c r="K15" s="322">
        <f t="shared" si="1"/>
        <v>67993</v>
      </c>
      <c r="L15" s="322">
        <f t="shared" si="1"/>
        <v>53856</v>
      </c>
      <c r="M15" s="322">
        <f t="shared" si="1"/>
        <v>76169</v>
      </c>
      <c r="N15" s="322">
        <f t="shared" si="1"/>
        <v>53865</v>
      </c>
      <c r="O15" s="322">
        <f>SUM(O7:O14)</f>
        <v>697731</v>
      </c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</row>
    <row r="16" spans="1:35" s="313" customFormat="1" ht="13.5" customHeight="1" thickBot="1">
      <c r="A16" s="283" t="s">
        <v>31</v>
      </c>
      <c r="B16" s="284" t="s">
        <v>122</v>
      </c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300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</row>
    <row r="17" spans="1:15" ht="13.5" customHeight="1">
      <c r="A17" s="301" t="s">
        <v>32</v>
      </c>
      <c r="B17" s="302" t="s">
        <v>213</v>
      </c>
      <c r="C17" s="320">
        <f>+'15mell'!D18+'20mell'!D19+'19mell'!D19+'18mell'!D19+'17mell'!D21</f>
        <v>18510</v>
      </c>
      <c r="D17" s="320">
        <f>+'15mell'!E18+'20mell'!E19+'19mell'!E19+'18mell'!E19+'17mell'!E21</f>
        <v>19410</v>
      </c>
      <c r="E17" s="320">
        <f>+'15mell'!F18+'20mell'!F19+'19mell'!F19+'18mell'!F19+'17mell'!F21</f>
        <v>19567</v>
      </c>
      <c r="F17" s="320">
        <f>+'15mell'!G18+'20mell'!G19+'19mell'!G19+'18mell'!G19+'17mell'!G21</f>
        <v>17773</v>
      </c>
      <c r="G17" s="320">
        <f>+'15mell'!H18+'20mell'!H19+'19mell'!H19+'18mell'!H19+'17mell'!H21</f>
        <v>18510</v>
      </c>
      <c r="H17" s="320">
        <f>+'15mell'!I18+'20mell'!I19+'19mell'!I19+'18mell'!I19+'17mell'!I21</f>
        <v>18510</v>
      </c>
      <c r="I17" s="320">
        <f>+'15mell'!J18+'20mell'!J19+'19mell'!J19+'18mell'!J19+'17mell'!J21</f>
        <v>19273</v>
      </c>
      <c r="J17" s="320">
        <f>+'15mell'!K18+'20mell'!K19+'19mell'!K19+'18mell'!K19+'17mell'!K21</f>
        <v>19273</v>
      </c>
      <c r="K17" s="320">
        <f>+'15mell'!L18+'20mell'!L19+'19mell'!L19+'18mell'!L19+'17mell'!L21</f>
        <v>18358</v>
      </c>
      <c r="L17" s="320">
        <f>+'15mell'!M18+'20mell'!M19+'19mell'!M19+'18mell'!M19+'17mell'!M21</f>
        <v>19280</v>
      </c>
      <c r="M17" s="320">
        <f>+'15mell'!N18+'20mell'!N19+'19mell'!N19+'18mell'!N19+'17mell'!N21</f>
        <v>18510</v>
      </c>
      <c r="N17" s="320">
        <f>+'15mell'!O18+'20mell'!O19+'19mell'!O19+'18mell'!O19+'17mell'!O21</f>
        <v>18506</v>
      </c>
      <c r="O17" s="321">
        <f>SUM(C17:N17)</f>
        <v>225480</v>
      </c>
    </row>
    <row r="18" spans="1:15" ht="24.75" customHeight="1">
      <c r="A18" s="290" t="s">
        <v>33</v>
      </c>
      <c r="B18" s="296" t="s">
        <v>321</v>
      </c>
      <c r="C18" s="320">
        <f>+'15mell'!D19+'20mell'!D20+'19mell'!D20+'18mell'!D20+'17mell'!D22</f>
        <v>4957</v>
      </c>
      <c r="D18" s="320">
        <f>+'15mell'!E19+'20mell'!E20+'19mell'!E20+'18mell'!E20+'17mell'!E22</f>
        <v>5057</v>
      </c>
      <c r="E18" s="320">
        <f>+'15mell'!F19+'20mell'!F20+'19mell'!F20+'18mell'!F20+'17mell'!F22</f>
        <v>4978</v>
      </c>
      <c r="F18" s="320">
        <f>+'15mell'!G19+'20mell'!G20+'19mell'!G20+'18mell'!G20+'17mell'!G22</f>
        <v>4978</v>
      </c>
      <c r="G18" s="320">
        <f>+'15mell'!H19+'20mell'!H20+'19mell'!H20+'18mell'!H20+'17mell'!H22</f>
        <v>4978</v>
      </c>
      <c r="H18" s="320">
        <f>+'15mell'!I19+'20mell'!I20+'19mell'!I20+'18mell'!I20+'17mell'!I22</f>
        <v>4978</v>
      </c>
      <c r="I18" s="320">
        <f>+'15mell'!J19+'20mell'!J20+'19mell'!J20+'18mell'!J20+'17mell'!J22</f>
        <v>4978</v>
      </c>
      <c r="J18" s="320">
        <f>+'15mell'!K19+'20mell'!K20+'19mell'!K20+'18mell'!K20+'17mell'!K22</f>
        <v>4978</v>
      </c>
      <c r="K18" s="320">
        <f>+'15mell'!L19+'20mell'!L20+'19mell'!L20+'18mell'!L20+'17mell'!L22</f>
        <v>4978</v>
      </c>
      <c r="L18" s="320">
        <f>+'15mell'!M19+'20mell'!M20+'19mell'!M20+'18mell'!M20+'17mell'!M22</f>
        <v>5769</v>
      </c>
      <c r="M18" s="320">
        <f>+'15mell'!N19+'20mell'!N20+'19mell'!N20+'18mell'!N20+'17mell'!N22</f>
        <v>4978</v>
      </c>
      <c r="N18" s="320">
        <f>+'15mell'!O19+'20mell'!O20+'19mell'!O20+'18mell'!O20+'17mell'!O22</f>
        <v>4800</v>
      </c>
      <c r="O18" s="319">
        <f t="shared" si="0"/>
        <v>60407</v>
      </c>
    </row>
    <row r="19" spans="1:15" ht="13.5" customHeight="1">
      <c r="A19" s="290" t="s">
        <v>34</v>
      </c>
      <c r="B19" s="291" t="s">
        <v>249</v>
      </c>
      <c r="C19" s="320">
        <f>+'15mell'!D20+'20mell'!D21+'19mell'!D21+'18mell'!D21+'17mell'!D23</f>
        <v>18192</v>
      </c>
      <c r="D19" s="320">
        <f>+'15mell'!E20+'20mell'!E21+'19mell'!E21+'18mell'!E21+'17mell'!E23</f>
        <v>18192</v>
      </c>
      <c r="E19" s="320">
        <f>+'15mell'!F20+'20mell'!F21+'19mell'!F21+'18mell'!F21+'17mell'!F23</f>
        <v>18192</v>
      </c>
      <c r="F19" s="320">
        <f>+'15mell'!G20+'20mell'!G21+'19mell'!G21+'18mell'!G21+'17mell'!G23</f>
        <v>18192</v>
      </c>
      <c r="G19" s="320">
        <f>+'15mell'!H20+'20mell'!H21+'19mell'!H21+'18mell'!H21+'17mell'!H23</f>
        <v>18192</v>
      </c>
      <c r="H19" s="320">
        <f>+'15mell'!I20+'20mell'!I21+'19mell'!I21+'18mell'!I21+'17mell'!I23</f>
        <v>18192</v>
      </c>
      <c r="I19" s="320">
        <f>+'15mell'!J20+'20mell'!J21+'19mell'!J21+'18mell'!J21+'17mell'!J23</f>
        <v>18192</v>
      </c>
      <c r="J19" s="320">
        <f>+'15mell'!K20+'20mell'!K21+'19mell'!K21+'18mell'!K21+'17mell'!K23</f>
        <v>18192</v>
      </c>
      <c r="K19" s="320">
        <f>+'15mell'!L20+'20mell'!L21+'19mell'!L21+'18mell'!L21+'17mell'!L23</f>
        <v>18892</v>
      </c>
      <c r="L19" s="320">
        <f>+'15mell'!M20+'20mell'!M21+'19mell'!M21+'18mell'!M21+'17mell'!M23</f>
        <v>18192</v>
      </c>
      <c r="M19" s="320">
        <f>+'15mell'!N20+'20mell'!N21+'19mell'!N21+'18mell'!N21+'17mell'!N23</f>
        <v>18192</v>
      </c>
      <c r="N19" s="320">
        <f>+'15mell'!O20+'20mell'!O21+'19mell'!O21+'18mell'!O21+'17mell'!O23</f>
        <v>27646</v>
      </c>
      <c r="O19" s="319">
        <f t="shared" si="0"/>
        <v>228458</v>
      </c>
    </row>
    <row r="20" spans="1:15" ht="13.5" customHeight="1">
      <c r="A20" s="290" t="s">
        <v>35</v>
      </c>
      <c r="B20" s="291" t="s">
        <v>322</v>
      </c>
      <c r="C20" s="320">
        <f>+'15mell'!D21+'20mell'!D22+'19mell'!D22+'18mell'!D22+'17mell'!D24</f>
        <v>0</v>
      </c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9">
        <f t="shared" si="0"/>
        <v>0</v>
      </c>
    </row>
    <row r="21" spans="1:15" ht="13.5" customHeight="1">
      <c r="A21" s="290" t="s">
        <v>36</v>
      </c>
      <c r="B21" s="291" t="s">
        <v>323</v>
      </c>
      <c r="C21" s="320">
        <f>+'15mell'!D22+'20mell'!D23+'19mell'!D23+'18mell'!D23+'17mell'!D25</f>
        <v>0</v>
      </c>
      <c r="D21" s="320">
        <f>+'15mell'!E22+'20mell'!E23+'19mell'!E23+'18mell'!E23+'17mell'!E25</f>
        <v>0</v>
      </c>
      <c r="E21" s="320">
        <f>+'15mell'!F22+'20mell'!F23+'19mell'!F23+'18mell'!F23+'17mell'!F25</f>
        <v>0</v>
      </c>
      <c r="F21" s="320">
        <f>+'15mell'!G22+'20mell'!G23+'19mell'!G23+'18mell'!G23+'17mell'!G25</f>
        <v>0</v>
      </c>
      <c r="G21" s="320">
        <f>+'15mell'!H22+'20mell'!H23+'19mell'!H23+'18mell'!H23+'17mell'!H25</f>
        <v>0</v>
      </c>
      <c r="H21" s="320">
        <f>+'15mell'!I22+'20mell'!I23+'19mell'!I23+'18mell'!I23+'17mell'!I25</f>
        <v>0</v>
      </c>
      <c r="I21" s="320">
        <f>+'15mell'!J22+'20mell'!J23+'19mell'!J23+'18mell'!J23+'17mell'!J25</f>
        <v>0</v>
      </c>
      <c r="J21" s="320">
        <f>+'15mell'!K22+'20mell'!K23+'19mell'!K23+'18mell'!K23+'17mell'!K25</f>
        <v>0</v>
      </c>
      <c r="K21" s="320">
        <f>+'15mell'!L22+'20mell'!L23+'19mell'!L23+'18mell'!L23+'17mell'!L25</f>
        <v>0</v>
      </c>
      <c r="L21" s="320">
        <f>+'15mell'!M22+'20mell'!M23+'19mell'!M23+'18mell'!M23+'17mell'!M25</f>
        <v>0</v>
      </c>
      <c r="M21" s="320">
        <f>+'15mell'!N22+'20mell'!N23+'19mell'!N23+'18mell'!N23+'17mell'!N25</f>
        <v>0</v>
      </c>
      <c r="N21" s="320">
        <f>+'15mell'!O22+'20mell'!O23+'19mell'!O23+'18mell'!O23+'17mell'!O25</f>
        <v>0</v>
      </c>
      <c r="O21" s="319">
        <f t="shared" si="0"/>
        <v>0</v>
      </c>
    </row>
    <row r="22" spans="1:15" ht="13.5" customHeight="1">
      <c r="A22" s="290" t="s">
        <v>37</v>
      </c>
      <c r="B22" s="291" t="s">
        <v>324</v>
      </c>
      <c r="C22" s="320">
        <f>+'15mell'!D23+'20mell'!D24+'19mell'!D24+'18mell'!D24+'17mell'!D26</f>
        <v>2239</v>
      </c>
      <c r="D22" s="320">
        <f>+'15mell'!E23+'20mell'!E24+'19mell'!E24+'18mell'!E24+'17mell'!E26</f>
        <v>2239</v>
      </c>
      <c r="E22" s="320">
        <f>+'15mell'!F23+'20mell'!F24+'19mell'!F24+'18mell'!F24+'17mell'!F26</f>
        <v>2239</v>
      </c>
      <c r="F22" s="320">
        <f>+'15mell'!G23+'20mell'!G24+'19mell'!G24+'18mell'!G24+'17mell'!G26</f>
        <v>2239</v>
      </c>
      <c r="G22" s="320">
        <f>+'15mell'!H23+'20mell'!H24+'19mell'!H24+'18mell'!H24+'17mell'!H26</f>
        <v>2239</v>
      </c>
      <c r="H22" s="320">
        <f>+'15mell'!I23+'20mell'!I24+'19mell'!I24+'18mell'!I24+'17mell'!I26</f>
        <v>2239</v>
      </c>
      <c r="I22" s="320">
        <f>+'15mell'!J23+'20mell'!J24+'19mell'!J24+'18mell'!J24+'17mell'!J26</f>
        <v>2239</v>
      </c>
      <c r="J22" s="320">
        <f>+'15mell'!K23+'20mell'!K24+'19mell'!K24+'18mell'!K24+'17mell'!K26</f>
        <v>2239</v>
      </c>
      <c r="K22" s="320">
        <f>+'15mell'!L23+'20mell'!L24+'19mell'!L24+'18mell'!L24+'17mell'!L26</f>
        <v>2239</v>
      </c>
      <c r="L22" s="320">
        <f>+'15mell'!M23+'20mell'!M24+'19mell'!M24+'18mell'!M24+'17mell'!M26</f>
        <v>2239</v>
      </c>
      <c r="M22" s="320">
        <f>+'15mell'!N23+'20mell'!N24+'19mell'!N24+'18mell'!N24+'17mell'!N26</f>
        <v>2239</v>
      </c>
      <c r="N22" s="320">
        <f>+'15mell'!O23+'20mell'!O24+'19mell'!O24+'18mell'!O24+'17mell'!O26</f>
        <v>1540</v>
      </c>
      <c r="O22" s="319">
        <f t="shared" si="0"/>
        <v>26169</v>
      </c>
    </row>
    <row r="23" spans="1:15" ht="21" customHeight="1">
      <c r="A23" s="290" t="s">
        <v>40</v>
      </c>
      <c r="B23" s="296" t="s">
        <v>325</v>
      </c>
      <c r="C23" s="320">
        <f>+'15mell'!D24+'20mell'!D25+'19mell'!D25+'18mell'!D25+'17mell'!D27</f>
        <v>9861</v>
      </c>
      <c r="D23" s="320">
        <f>+'15mell'!E24+'20mell'!E25+'19mell'!E25+'18mell'!E25+'17mell'!E27</f>
        <v>9861</v>
      </c>
      <c r="E23" s="320">
        <f>+'15mell'!F24+'20mell'!F25+'19mell'!F25+'18mell'!F25+'17mell'!F27</f>
        <v>9861</v>
      </c>
      <c r="F23" s="320">
        <f>+'15mell'!G24+'20mell'!G25+'19mell'!G25+'18mell'!G25+'17mell'!G27</f>
        <v>9861</v>
      </c>
      <c r="G23" s="320">
        <f>+'15mell'!H24+'20mell'!H25+'19mell'!H25+'18mell'!H25+'17mell'!H27</f>
        <v>9861</v>
      </c>
      <c r="H23" s="320">
        <f>+'15mell'!I24+'20mell'!I25+'19mell'!I25+'18mell'!I25+'17mell'!I27</f>
        <v>9861</v>
      </c>
      <c r="I23" s="320">
        <f>+'15mell'!J24+'20mell'!J25+'19mell'!J25+'18mell'!J25+'17mell'!J27</f>
        <v>9861</v>
      </c>
      <c r="J23" s="320">
        <f>+'15mell'!K24+'20mell'!K25+'19mell'!K25+'18mell'!K25+'17mell'!K27</f>
        <v>9861</v>
      </c>
      <c r="K23" s="320">
        <f>+'15mell'!L24+'20mell'!L25+'19mell'!L25+'18mell'!L25+'17mell'!L27</f>
        <v>9861</v>
      </c>
      <c r="L23" s="320">
        <f>+'15mell'!M24+'20mell'!M25+'19mell'!M25+'18mell'!M25+'17mell'!M27</f>
        <v>9861</v>
      </c>
      <c r="M23" s="320">
        <f>+'15mell'!N24+'20mell'!N25+'19mell'!N25+'18mell'!N25+'17mell'!N27</f>
        <v>9861</v>
      </c>
      <c r="N23" s="320">
        <f>+'15mell'!O24+'20mell'!O25+'19mell'!O25+'18mell'!O25+'17mell'!O27</f>
        <v>9868</v>
      </c>
      <c r="O23" s="319">
        <f t="shared" si="0"/>
        <v>118339</v>
      </c>
    </row>
    <row r="24" spans="1:15" ht="13.5" customHeight="1">
      <c r="A24" s="290" t="s">
        <v>42</v>
      </c>
      <c r="B24" s="291" t="s">
        <v>463</v>
      </c>
      <c r="C24" s="320">
        <f>+'15mell'!D25+'20mell'!D26+'19mell'!D26+'18mell'!D26+'17mell'!D28</f>
        <v>0</v>
      </c>
      <c r="D24" s="320">
        <f>+'15mell'!E25+'20mell'!E26+'19mell'!E26+'18mell'!E26+'17mell'!E28</f>
        <v>1000</v>
      </c>
      <c r="E24" s="320">
        <f>+'15mell'!F25+'20mell'!F26+'19mell'!F26+'18mell'!F26+'17mell'!F28</f>
        <v>2000</v>
      </c>
      <c r="F24" s="320">
        <f>+'15mell'!G25+'20mell'!G26+'19mell'!G26+'18mell'!G26+'17mell'!G28</f>
        <v>0</v>
      </c>
      <c r="G24" s="320">
        <f>+'15mell'!H25+'20mell'!H26+'19mell'!H26+'18mell'!H26+'17mell'!H28</f>
        <v>0</v>
      </c>
      <c r="H24" s="320">
        <f>+'15mell'!I25+'20mell'!I26+'19mell'!I26+'18mell'!I26+'17mell'!I28</f>
        <v>0</v>
      </c>
      <c r="I24" s="320">
        <f>+'15mell'!J25+'20mell'!J26+'19mell'!J26+'18mell'!J26+'17mell'!J28</f>
        <v>0</v>
      </c>
      <c r="J24" s="320">
        <f>+'15mell'!K25+'20mell'!K26+'19mell'!K26+'18mell'!K26+'17mell'!K28</f>
        <v>0</v>
      </c>
      <c r="K24" s="320">
        <f>+'15mell'!L25+'20mell'!L26+'19mell'!L26+'18mell'!L26+'17mell'!L28</f>
        <v>0</v>
      </c>
      <c r="L24" s="320">
        <f>+'15mell'!M25+'20mell'!M26+'19mell'!M26+'18mell'!M26+'17mell'!M28</f>
        <v>0</v>
      </c>
      <c r="M24" s="320">
        <f>+'15mell'!N25+'20mell'!N26+'19mell'!N26+'18mell'!N26+'17mell'!N28</f>
        <v>0</v>
      </c>
      <c r="N24" s="320">
        <f>+'15mell'!O25+'20mell'!O26+'19mell'!O26+'18mell'!O26+'17mell'!O28</f>
        <v>0</v>
      </c>
      <c r="O24" s="319">
        <f t="shared" si="0"/>
        <v>3000</v>
      </c>
    </row>
    <row r="25" spans="1:15" ht="13.5" customHeight="1">
      <c r="A25" s="290" t="s">
        <v>43</v>
      </c>
      <c r="B25" s="291" t="s">
        <v>327</v>
      </c>
      <c r="C25" s="320">
        <f>+'15mell'!D26+'20mell'!D27+'19mell'!D27+'18mell'!D27+'17mell'!D29</f>
        <v>0</v>
      </c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9">
        <f t="shared" si="0"/>
        <v>0</v>
      </c>
    </row>
    <row r="26" spans="1:15" ht="13.5" customHeight="1">
      <c r="A26" s="290" t="s">
        <v>44</v>
      </c>
      <c r="B26" s="291" t="s">
        <v>328</v>
      </c>
      <c r="C26" s="320">
        <f>+'15mell'!D27+'20mell'!D28+'19mell'!D28+'18mell'!D28+'17mell'!D30</f>
        <v>0</v>
      </c>
      <c r="D26" s="320">
        <f>+'15mell'!E27+'20mell'!E28+'19mell'!E28+'18mell'!E28+'17mell'!E30</f>
        <v>0</v>
      </c>
      <c r="E26" s="320">
        <f>+'15mell'!F27+'20mell'!F28+'19mell'!F28+'18mell'!F28+'17mell'!F30</f>
        <v>0</v>
      </c>
      <c r="F26" s="320">
        <f>+'15mell'!G27+'20mell'!G28+'19mell'!G28+'18mell'!G28+'17mell'!G30</f>
        <v>0</v>
      </c>
      <c r="G26" s="320">
        <f>+'15mell'!H27+'20mell'!H28+'19mell'!H28+'18mell'!H28+'17mell'!H30</f>
        <v>0</v>
      </c>
      <c r="H26" s="320">
        <f>+'15mell'!I27+'20mell'!I28+'19mell'!I28+'18mell'!I28+'17mell'!I30</f>
        <v>8101</v>
      </c>
      <c r="I26" s="320">
        <f>+'15mell'!J27+'20mell'!J28+'19mell'!J28+'18mell'!J28+'17mell'!J30</f>
        <v>0</v>
      </c>
      <c r="J26" s="320">
        <f>+'15mell'!K27+'20mell'!K28+'19mell'!K28+'18mell'!K28+'17mell'!K30</f>
        <v>0</v>
      </c>
      <c r="K26" s="320">
        <f>+'15mell'!L27+'20mell'!L28+'19mell'!L28+'18mell'!L28+'17mell'!L30</f>
        <v>0</v>
      </c>
      <c r="L26" s="320">
        <f>+'15mell'!M27+'20mell'!M28+'19mell'!M28+'18mell'!M28+'17mell'!M30</f>
        <v>0</v>
      </c>
      <c r="M26" s="320">
        <f>+'15mell'!N27+'20mell'!N28+'19mell'!N28+'18mell'!N28+'17mell'!N30</f>
        <v>0</v>
      </c>
      <c r="N26" s="320">
        <f>+'15mell'!O27+'20mell'!O28+'19mell'!O28+'18mell'!O28+'17mell'!O30</f>
        <v>27777</v>
      </c>
      <c r="O26" s="319">
        <f t="shared" si="0"/>
        <v>35878</v>
      </c>
    </row>
    <row r="27" spans="1:35" s="313" customFormat="1" ht="13.5" customHeight="1" thickBot="1">
      <c r="A27" s="290" t="s">
        <v>45</v>
      </c>
      <c r="B27" s="291" t="s">
        <v>329</v>
      </c>
      <c r="C27" s="320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9">
        <f t="shared" si="0"/>
        <v>0</v>
      </c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</row>
    <row r="28" spans="1:35" s="313" customFormat="1" ht="13.5" customHeight="1" thickBot="1">
      <c r="A28" s="304" t="s">
        <v>46</v>
      </c>
      <c r="B28" s="298" t="s">
        <v>330</v>
      </c>
      <c r="C28" s="322">
        <f>SUM(C17:C27)</f>
        <v>53759</v>
      </c>
      <c r="D28" s="322">
        <f aca="true" t="shared" si="2" ref="D28:N28">SUM(D17:D27)</f>
        <v>55759</v>
      </c>
      <c r="E28" s="322">
        <f t="shared" si="2"/>
        <v>56837</v>
      </c>
      <c r="F28" s="322">
        <f t="shared" si="2"/>
        <v>53043</v>
      </c>
      <c r="G28" s="322">
        <f t="shared" si="2"/>
        <v>53780</v>
      </c>
      <c r="H28" s="322">
        <f t="shared" si="2"/>
        <v>61881</v>
      </c>
      <c r="I28" s="322">
        <f t="shared" si="2"/>
        <v>54543</v>
      </c>
      <c r="J28" s="322">
        <f t="shared" si="2"/>
        <v>54543</v>
      </c>
      <c r="K28" s="322">
        <f t="shared" si="2"/>
        <v>54328</v>
      </c>
      <c r="L28" s="322">
        <f t="shared" si="2"/>
        <v>55341</v>
      </c>
      <c r="M28" s="322">
        <f t="shared" si="2"/>
        <v>53780</v>
      </c>
      <c r="N28" s="322">
        <f t="shared" si="2"/>
        <v>90137</v>
      </c>
      <c r="O28" s="324">
        <f>SUM(C28:N28)</f>
        <v>697731</v>
      </c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</row>
    <row r="29" spans="1:35" s="328" customFormat="1" ht="28.5" customHeight="1" thickBot="1">
      <c r="A29" s="304" t="s">
        <v>47</v>
      </c>
      <c r="B29" s="306" t="s">
        <v>335</v>
      </c>
      <c r="C29" s="325">
        <f>+C6+C15-C28</f>
        <v>83054</v>
      </c>
      <c r="D29" s="325">
        <f>+C29+D15-D28</f>
        <v>91151</v>
      </c>
      <c r="E29" s="325">
        <f aca="true" t="shared" si="3" ref="E29:N29">+D29+E15-E28</f>
        <v>88170</v>
      </c>
      <c r="F29" s="325">
        <f t="shared" si="3"/>
        <v>88983</v>
      </c>
      <c r="G29" s="325">
        <f t="shared" si="3"/>
        <v>89059</v>
      </c>
      <c r="H29" s="325">
        <f t="shared" si="3"/>
        <v>81034</v>
      </c>
      <c r="I29" s="325">
        <f t="shared" si="3"/>
        <v>80347</v>
      </c>
      <c r="J29" s="325">
        <f t="shared" si="3"/>
        <v>79660</v>
      </c>
      <c r="K29" s="325">
        <f t="shared" si="3"/>
        <v>93325</v>
      </c>
      <c r="L29" s="325">
        <f t="shared" si="3"/>
        <v>91840</v>
      </c>
      <c r="M29" s="325">
        <f t="shared" si="3"/>
        <v>114229</v>
      </c>
      <c r="N29" s="325">
        <f t="shared" si="3"/>
        <v>77957</v>
      </c>
      <c r="O29" s="326" t="s">
        <v>333</v>
      </c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</row>
    <row r="30" spans="2:35" s="328" customFormat="1" ht="28.5" customHeight="1">
      <c r="B30" s="313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</row>
    <row r="31" spans="1:15" ht="13.5" customHeight="1">
      <c r="A31" s="312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23"/>
    </row>
    <row r="32" spans="1:15" ht="13.5" customHeight="1">
      <c r="A32" s="312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23"/>
    </row>
    <row r="33" spans="1:15" ht="13.5" customHeight="1">
      <c r="A33" s="312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23"/>
    </row>
    <row r="34" spans="1:15" ht="13.5" customHeight="1">
      <c r="A34" s="312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23"/>
    </row>
    <row r="35" spans="1:15" ht="13.5" customHeight="1">
      <c r="A35" s="312"/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23"/>
    </row>
    <row r="36" spans="1:15" ht="13.5" customHeight="1">
      <c r="A36" s="312"/>
      <c r="B36" s="31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23"/>
    </row>
    <row r="37" spans="1:15" ht="13.5" customHeight="1">
      <c r="A37" s="312"/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23"/>
    </row>
    <row r="38" spans="1:15" ht="13.5" customHeight="1">
      <c r="A38" s="312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23"/>
    </row>
    <row r="39" spans="1:15" ht="13.5" customHeight="1">
      <c r="A39" s="312"/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23"/>
    </row>
    <row r="40" spans="1:15" ht="13.5" customHeight="1">
      <c r="A40" s="312"/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23"/>
    </row>
    <row r="41" spans="1:15" ht="13.5" customHeight="1">
      <c r="A41" s="312"/>
      <c r="B41" s="312"/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23"/>
    </row>
    <row r="42" spans="1:15" ht="13.5" customHeight="1">
      <c r="A42" s="312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23"/>
    </row>
    <row r="43" spans="1:15" ht="13.5" customHeight="1">
      <c r="A43" s="312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23"/>
    </row>
    <row r="44" spans="1:15" ht="13.5" customHeight="1">
      <c r="A44" s="312"/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23"/>
    </row>
    <row r="45" spans="1:15" ht="13.5" customHeight="1">
      <c r="A45" s="312"/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23"/>
    </row>
    <row r="46" spans="1:15" ht="13.5" customHeight="1">
      <c r="A46" s="312"/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23"/>
    </row>
    <row r="47" spans="1:15" ht="13.5" customHeight="1">
      <c r="A47" s="312"/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23"/>
    </row>
    <row r="48" spans="1:15" ht="13.5" customHeight="1">
      <c r="A48" s="312"/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23"/>
    </row>
    <row r="49" spans="1:15" ht="13.5" customHeight="1">
      <c r="A49" s="312"/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23"/>
    </row>
    <row r="50" spans="1:15" ht="13.5" customHeight="1">
      <c r="A50" s="312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23"/>
    </row>
    <row r="51" spans="1:15" ht="13.5" customHeight="1">
      <c r="A51" s="312"/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23"/>
    </row>
    <row r="52" spans="1:15" ht="13.5" customHeight="1">
      <c r="A52" s="312"/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23"/>
    </row>
    <row r="53" spans="1:15" ht="13.5" customHeight="1">
      <c r="A53" s="312"/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23"/>
    </row>
    <row r="54" spans="1:15" ht="13.5" customHeight="1">
      <c r="A54" s="312"/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23"/>
    </row>
    <row r="55" spans="1:15" ht="13.5" customHeight="1">
      <c r="A55" s="312"/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23"/>
    </row>
    <row r="56" spans="1:15" ht="13.5" customHeight="1">
      <c r="A56" s="312"/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23"/>
    </row>
    <row r="57" spans="1:15" ht="13.5" customHeight="1">
      <c r="A57" s="312"/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23"/>
    </row>
    <row r="58" spans="1:15" ht="13.5" customHeight="1">
      <c r="A58" s="312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23"/>
    </row>
    <row r="59" spans="1:15" ht="13.5" customHeight="1">
      <c r="A59" s="312"/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  <c r="O59" s="323"/>
    </row>
    <row r="60" spans="1:15" ht="13.5" customHeight="1">
      <c r="A60" s="312"/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23"/>
    </row>
    <row r="61" spans="1:15" ht="13.5" customHeight="1">
      <c r="A61" s="312"/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23"/>
    </row>
    <row r="62" spans="1:15" ht="13.5" customHeight="1">
      <c r="A62" s="312"/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23"/>
    </row>
    <row r="63" spans="1:15" ht="13.5" customHeight="1">
      <c r="A63" s="312"/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23"/>
    </row>
    <row r="64" spans="1:15" ht="13.5" customHeight="1">
      <c r="A64" s="312"/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23"/>
    </row>
    <row r="65" spans="1:15" ht="13.5" customHeight="1">
      <c r="A65" s="312"/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  <c r="O65" s="323"/>
    </row>
    <row r="66" spans="1:15" ht="13.5" customHeight="1">
      <c r="A66" s="312"/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23"/>
    </row>
    <row r="67" spans="1:15" ht="13.5" customHeight="1">
      <c r="A67" s="312"/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23"/>
    </row>
    <row r="68" spans="1:15" ht="13.5" customHeight="1">
      <c r="A68" s="312"/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23"/>
    </row>
    <row r="69" spans="1:15" ht="13.5" customHeight="1">
      <c r="A69" s="312"/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23"/>
    </row>
    <row r="70" spans="1:15" ht="13.5" customHeight="1">
      <c r="A70" s="312"/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23"/>
    </row>
    <row r="71" spans="1:15" ht="13.5" customHeight="1">
      <c r="A71" s="312"/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23"/>
    </row>
    <row r="72" spans="1:15" ht="13.5" customHeight="1">
      <c r="A72" s="312"/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23"/>
    </row>
    <row r="73" spans="1:15" ht="13.5" customHeight="1">
      <c r="A73" s="312"/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23"/>
    </row>
    <row r="74" spans="1:15" ht="13.5" customHeight="1">
      <c r="A74" s="312"/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23"/>
    </row>
    <row r="75" spans="1:15" ht="13.5" customHeight="1">
      <c r="A75" s="312"/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23"/>
    </row>
    <row r="76" spans="1:15" ht="13.5" customHeight="1">
      <c r="A76" s="312"/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23"/>
    </row>
    <row r="77" spans="1:15" ht="13.5" customHeight="1">
      <c r="A77" s="312"/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23"/>
    </row>
    <row r="78" spans="1:15" ht="13.5" customHeight="1">
      <c r="A78" s="312"/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23"/>
    </row>
    <row r="79" spans="1:15" ht="13.5" customHeight="1">
      <c r="A79" s="312"/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23"/>
    </row>
    <row r="80" spans="1:15" ht="13.5" customHeight="1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323"/>
    </row>
    <row r="81" spans="1:15" ht="13.5" customHeight="1">
      <c r="A81" s="312"/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323"/>
    </row>
    <row r="82" spans="1:15" ht="13.5" customHeight="1">
      <c r="A82" s="312"/>
      <c r="B82" s="312"/>
      <c r="C82" s="312"/>
      <c r="D82" s="312"/>
      <c r="E82" s="312"/>
      <c r="F82" s="312"/>
      <c r="G82" s="312"/>
      <c r="H82" s="312"/>
      <c r="I82" s="312"/>
      <c r="J82" s="312"/>
      <c r="K82" s="312"/>
      <c r="L82" s="312"/>
      <c r="M82" s="312"/>
      <c r="N82" s="312"/>
      <c r="O82" s="323"/>
    </row>
    <row r="83" spans="1:15" ht="13.5" customHeight="1">
      <c r="A83" s="312"/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323"/>
    </row>
    <row r="84" spans="1:15" ht="13.5" customHeight="1">
      <c r="A84" s="312"/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323"/>
    </row>
    <row r="85" spans="1:15" ht="13.5" customHeight="1">
      <c r="A85" s="312"/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323"/>
    </row>
    <row r="86" spans="1:15" ht="13.5" customHeight="1">
      <c r="A86" s="312"/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23"/>
    </row>
    <row r="87" spans="1:15" ht="13.5" customHeight="1">
      <c r="A87" s="312"/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23"/>
    </row>
    <row r="88" spans="1:15" ht="13.5" customHeight="1">
      <c r="A88" s="312"/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  <c r="M88" s="312"/>
      <c r="N88" s="312"/>
      <c r="O88" s="323"/>
    </row>
    <row r="89" spans="1:15" ht="13.5" customHeight="1">
      <c r="A89" s="312"/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23"/>
    </row>
    <row r="90" spans="1:15" ht="13.5" customHeight="1">
      <c r="A90" s="312"/>
      <c r="B90" s="312"/>
      <c r="C90" s="312"/>
      <c r="D90" s="312"/>
      <c r="E90" s="312"/>
      <c r="F90" s="312"/>
      <c r="G90" s="312"/>
      <c r="H90" s="312"/>
      <c r="I90" s="312"/>
      <c r="J90" s="312"/>
      <c r="K90" s="312"/>
      <c r="L90" s="312"/>
      <c r="M90" s="312"/>
      <c r="N90" s="312"/>
      <c r="O90" s="323"/>
    </row>
    <row r="91" spans="1:15" ht="13.5" customHeight="1">
      <c r="A91" s="312"/>
      <c r="B91" s="312"/>
      <c r="C91" s="312"/>
      <c r="D91" s="312"/>
      <c r="E91" s="312"/>
      <c r="F91" s="312"/>
      <c r="G91" s="312"/>
      <c r="H91" s="312"/>
      <c r="I91" s="312"/>
      <c r="J91" s="312"/>
      <c r="K91" s="312"/>
      <c r="L91" s="312"/>
      <c r="M91" s="312"/>
      <c r="N91" s="312"/>
      <c r="O91" s="323"/>
    </row>
    <row r="92" spans="1:15" ht="13.5" customHeight="1">
      <c r="A92" s="312"/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323"/>
    </row>
    <row r="93" spans="1:15" ht="13.5" customHeight="1">
      <c r="A93" s="312"/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23"/>
    </row>
    <row r="94" spans="1:15" ht="13.5" customHeight="1">
      <c r="A94" s="312"/>
      <c r="B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23"/>
    </row>
    <row r="95" spans="1:15" ht="13.5" customHeight="1">
      <c r="A95" s="312"/>
      <c r="B95" s="312"/>
      <c r="C95" s="312"/>
      <c r="D95" s="312"/>
      <c r="E95" s="312"/>
      <c r="F95" s="312"/>
      <c r="G95" s="312"/>
      <c r="H95" s="312"/>
      <c r="I95" s="312"/>
      <c r="J95" s="312"/>
      <c r="K95" s="312"/>
      <c r="L95" s="312"/>
      <c r="M95" s="312"/>
      <c r="N95" s="312"/>
      <c r="O95" s="323"/>
    </row>
    <row r="96" spans="1:15" ht="13.5" customHeight="1">
      <c r="A96" s="312"/>
      <c r="B96" s="312"/>
      <c r="C96" s="312"/>
      <c r="D96" s="312"/>
      <c r="E96" s="312"/>
      <c r="F96" s="312"/>
      <c r="G96" s="312"/>
      <c r="H96" s="312"/>
      <c r="I96" s="312"/>
      <c r="J96" s="312"/>
      <c r="K96" s="312"/>
      <c r="L96" s="312"/>
      <c r="M96" s="312"/>
      <c r="N96" s="312"/>
      <c r="O96" s="323"/>
    </row>
    <row r="97" spans="1:15" ht="13.5" customHeight="1">
      <c r="A97" s="312"/>
      <c r="B97" s="312"/>
      <c r="C97" s="312"/>
      <c r="D97" s="312"/>
      <c r="E97" s="312"/>
      <c r="F97" s="312"/>
      <c r="G97" s="312"/>
      <c r="H97" s="312"/>
      <c r="I97" s="312"/>
      <c r="J97" s="312"/>
      <c r="K97" s="312"/>
      <c r="L97" s="312"/>
      <c r="M97" s="312"/>
      <c r="N97" s="312"/>
      <c r="O97" s="323"/>
    </row>
    <row r="98" spans="1:15" ht="13.5" customHeight="1">
      <c r="A98" s="312"/>
      <c r="B98" s="312"/>
      <c r="C98" s="312"/>
      <c r="D98" s="312"/>
      <c r="E98" s="312"/>
      <c r="F98" s="312"/>
      <c r="G98" s="312"/>
      <c r="H98" s="312"/>
      <c r="I98" s="312"/>
      <c r="J98" s="312"/>
      <c r="K98" s="312"/>
      <c r="L98" s="312"/>
      <c r="M98" s="312"/>
      <c r="N98" s="312"/>
      <c r="O98" s="323"/>
    </row>
    <row r="99" spans="1:15" ht="13.5" customHeight="1">
      <c r="A99" s="312"/>
      <c r="B99" s="312"/>
      <c r="C99" s="312"/>
      <c r="D99" s="312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323"/>
    </row>
    <row r="100" spans="1:15" ht="13.5" customHeight="1">
      <c r="A100" s="312"/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  <c r="M100" s="312"/>
      <c r="N100" s="312"/>
      <c r="O100" s="323"/>
    </row>
    <row r="101" spans="1:15" ht="13.5" customHeight="1">
      <c r="A101" s="312"/>
      <c r="B101" s="312"/>
      <c r="C101" s="312"/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23"/>
    </row>
    <row r="102" spans="1:15" ht="13.5" customHeight="1">
      <c r="A102" s="312"/>
      <c r="B102" s="312"/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23"/>
    </row>
    <row r="103" spans="1:15" ht="13.5" customHeight="1">
      <c r="A103" s="312"/>
      <c r="B103" s="312"/>
      <c r="C103" s="312"/>
      <c r="D103" s="312"/>
      <c r="E103" s="312"/>
      <c r="F103" s="312"/>
      <c r="G103" s="312"/>
      <c r="H103" s="312"/>
      <c r="I103" s="312"/>
      <c r="J103" s="312"/>
      <c r="K103" s="312"/>
      <c r="L103" s="312"/>
      <c r="M103" s="312"/>
      <c r="N103" s="312"/>
      <c r="O103" s="323"/>
    </row>
    <row r="104" spans="1:15" ht="13.5" customHeight="1">
      <c r="A104" s="312"/>
      <c r="B104" s="312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  <c r="N104" s="312"/>
      <c r="O104" s="323"/>
    </row>
    <row r="105" spans="1:15" ht="13.5" customHeight="1">
      <c r="A105" s="312"/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23"/>
    </row>
    <row r="106" spans="1:15" ht="13.5" customHeight="1">
      <c r="A106" s="31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23"/>
    </row>
    <row r="107" spans="1:15" ht="13.5" customHeight="1">
      <c r="A107" s="312"/>
      <c r="B107" s="312"/>
      <c r="C107" s="312"/>
      <c r="D107" s="312"/>
      <c r="E107" s="312"/>
      <c r="F107" s="312"/>
      <c r="G107" s="312"/>
      <c r="H107" s="312"/>
      <c r="I107" s="312"/>
      <c r="J107" s="312"/>
      <c r="K107" s="312"/>
      <c r="L107" s="312"/>
      <c r="M107" s="312"/>
      <c r="N107" s="312"/>
      <c r="O107" s="323"/>
    </row>
    <row r="108" spans="1:15" ht="13.5" customHeight="1">
      <c r="A108" s="312"/>
      <c r="B108" s="312"/>
      <c r="C108" s="312"/>
      <c r="D108" s="312"/>
      <c r="E108" s="312"/>
      <c r="F108" s="312"/>
      <c r="G108" s="312"/>
      <c r="H108" s="312"/>
      <c r="I108" s="312"/>
      <c r="J108" s="312"/>
      <c r="K108" s="312"/>
      <c r="L108" s="312"/>
      <c r="M108" s="312"/>
      <c r="N108" s="312"/>
      <c r="O108" s="323"/>
    </row>
    <row r="109" spans="1:15" ht="13.5" customHeight="1">
      <c r="A109" s="312"/>
      <c r="B109" s="312"/>
      <c r="C109" s="312"/>
      <c r="D109" s="312"/>
      <c r="E109" s="312"/>
      <c r="F109" s="312"/>
      <c r="G109" s="312"/>
      <c r="H109" s="312"/>
      <c r="I109" s="312"/>
      <c r="J109" s="312"/>
      <c r="K109" s="312"/>
      <c r="L109" s="312"/>
      <c r="M109" s="312"/>
      <c r="N109" s="312"/>
      <c r="O109" s="323"/>
    </row>
    <row r="110" spans="1:15" ht="13.5" customHeight="1">
      <c r="A110" s="312"/>
      <c r="B110" s="312"/>
      <c r="C110" s="312"/>
      <c r="D110" s="312"/>
      <c r="E110" s="312"/>
      <c r="F110" s="312"/>
      <c r="G110" s="312"/>
      <c r="H110" s="312"/>
      <c r="I110" s="312"/>
      <c r="J110" s="312"/>
      <c r="K110" s="312"/>
      <c r="L110" s="312"/>
      <c r="M110" s="312"/>
      <c r="N110" s="312"/>
      <c r="O110" s="323"/>
    </row>
    <row r="111" spans="1:15" ht="13.5" customHeight="1">
      <c r="A111" s="312"/>
      <c r="B111" s="312"/>
      <c r="C111" s="312"/>
      <c r="D111" s="312"/>
      <c r="E111" s="312"/>
      <c r="F111" s="312"/>
      <c r="G111" s="312"/>
      <c r="H111" s="312"/>
      <c r="I111" s="312"/>
      <c r="J111" s="312"/>
      <c r="K111" s="312"/>
      <c r="L111" s="312"/>
      <c r="M111" s="312"/>
      <c r="N111" s="312"/>
      <c r="O111" s="323"/>
    </row>
    <row r="112" spans="1:15" ht="13.5" customHeight="1">
      <c r="A112" s="312"/>
      <c r="B112" s="312"/>
      <c r="C112" s="312"/>
      <c r="D112" s="312"/>
      <c r="E112" s="312"/>
      <c r="F112" s="312"/>
      <c r="G112" s="312"/>
      <c r="H112" s="312"/>
      <c r="I112" s="312"/>
      <c r="J112" s="312"/>
      <c r="K112" s="312"/>
      <c r="L112" s="312"/>
      <c r="M112" s="312"/>
      <c r="N112" s="312"/>
      <c r="O112" s="323"/>
    </row>
    <row r="113" spans="1:15" ht="13.5" customHeight="1">
      <c r="A113" s="312"/>
      <c r="B113" s="312"/>
      <c r="C113" s="312"/>
      <c r="D113" s="312"/>
      <c r="E113" s="312"/>
      <c r="F113" s="312"/>
      <c r="G113" s="312"/>
      <c r="H113" s="312"/>
      <c r="I113" s="312"/>
      <c r="J113" s="312"/>
      <c r="K113" s="312"/>
      <c r="L113" s="312"/>
      <c r="M113" s="312"/>
      <c r="N113" s="312"/>
      <c r="O113" s="323"/>
    </row>
    <row r="114" spans="1:15" ht="13.5" customHeight="1">
      <c r="A114" s="312"/>
      <c r="B114" s="312"/>
      <c r="C114" s="312"/>
      <c r="D114" s="312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23"/>
    </row>
    <row r="115" spans="1:15" ht="13.5" customHeight="1">
      <c r="A115" s="312"/>
      <c r="B115" s="312"/>
      <c r="C115" s="312"/>
      <c r="D115" s="312"/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23"/>
    </row>
    <row r="116" spans="1:15" ht="13.5" customHeight="1">
      <c r="A116" s="312"/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323"/>
    </row>
    <row r="117" spans="1:15" ht="13.5" customHeight="1">
      <c r="A117" s="312"/>
      <c r="B117" s="312"/>
      <c r="C117" s="312"/>
      <c r="D117" s="312"/>
      <c r="E117" s="312"/>
      <c r="F117" s="312"/>
      <c r="G117" s="312"/>
      <c r="H117" s="312"/>
      <c r="I117" s="312"/>
      <c r="J117" s="312"/>
      <c r="K117" s="312"/>
      <c r="L117" s="312"/>
      <c r="M117" s="312"/>
      <c r="N117" s="312"/>
      <c r="O117" s="323"/>
    </row>
    <row r="118" spans="1:15" ht="13.5" customHeight="1">
      <c r="A118" s="312"/>
      <c r="B118" s="312"/>
      <c r="C118" s="312"/>
      <c r="D118" s="312"/>
      <c r="E118" s="312"/>
      <c r="F118" s="312"/>
      <c r="G118" s="312"/>
      <c r="H118" s="312"/>
      <c r="I118" s="312"/>
      <c r="J118" s="312"/>
      <c r="K118" s="312"/>
      <c r="L118" s="312"/>
      <c r="M118" s="312"/>
      <c r="N118" s="312"/>
      <c r="O118" s="323"/>
    </row>
    <row r="119" spans="1:15" ht="13.5" customHeight="1">
      <c r="A119" s="312"/>
      <c r="B119" s="312"/>
      <c r="C119" s="312"/>
      <c r="D119" s="312"/>
      <c r="E119" s="312"/>
      <c r="F119" s="312"/>
      <c r="G119" s="312"/>
      <c r="H119" s="312"/>
      <c r="I119" s="312"/>
      <c r="J119" s="312"/>
      <c r="K119" s="312"/>
      <c r="L119" s="312"/>
      <c r="M119" s="312"/>
      <c r="N119" s="312"/>
      <c r="O119" s="323"/>
    </row>
    <row r="120" spans="1:15" ht="13.5" customHeight="1">
      <c r="A120" s="312"/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323"/>
    </row>
    <row r="121" spans="1:15" ht="13.5" customHeight="1">
      <c r="A121" s="312"/>
      <c r="B121" s="312"/>
      <c r="C121" s="312"/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323"/>
    </row>
    <row r="122" spans="1:15" ht="13.5" customHeight="1">
      <c r="A122" s="312"/>
      <c r="B122" s="312"/>
      <c r="C122" s="312"/>
      <c r="D122" s="312"/>
      <c r="E122" s="312"/>
      <c r="F122" s="312"/>
      <c r="G122" s="312"/>
      <c r="H122" s="312"/>
      <c r="I122" s="312"/>
      <c r="J122" s="312"/>
      <c r="K122" s="312"/>
      <c r="L122" s="312"/>
      <c r="M122" s="312"/>
      <c r="N122" s="312"/>
      <c r="O122" s="323"/>
    </row>
    <row r="123" spans="1:15" ht="13.5" customHeight="1">
      <c r="A123" s="312"/>
      <c r="B123" s="312"/>
      <c r="C123" s="312"/>
      <c r="D123" s="312"/>
      <c r="E123" s="312"/>
      <c r="F123" s="312"/>
      <c r="G123" s="312"/>
      <c r="H123" s="312"/>
      <c r="I123" s="312"/>
      <c r="J123" s="312"/>
      <c r="K123" s="312"/>
      <c r="L123" s="312"/>
      <c r="M123" s="312"/>
      <c r="N123" s="312"/>
      <c r="O123" s="323"/>
    </row>
    <row r="124" spans="1:15" ht="13.5" customHeight="1">
      <c r="A124" s="312"/>
      <c r="B124" s="312"/>
      <c r="C124" s="312"/>
      <c r="D124" s="312"/>
      <c r="E124" s="312"/>
      <c r="F124" s="312"/>
      <c r="G124" s="312"/>
      <c r="H124" s="312"/>
      <c r="I124" s="312"/>
      <c r="J124" s="312"/>
      <c r="K124" s="312"/>
      <c r="L124" s="312"/>
      <c r="M124" s="312"/>
      <c r="N124" s="312"/>
      <c r="O124" s="323"/>
    </row>
    <row r="125" spans="1:15" ht="13.5" customHeight="1">
      <c r="A125" s="312"/>
      <c r="B125" s="312"/>
      <c r="C125" s="312"/>
      <c r="D125" s="312"/>
      <c r="E125" s="312"/>
      <c r="F125" s="312"/>
      <c r="G125" s="312"/>
      <c r="H125" s="312"/>
      <c r="I125" s="312"/>
      <c r="J125" s="312"/>
      <c r="K125" s="312"/>
      <c r="L125" s="312"/>
      <c r="M125" s="312"/>
      <c r="N125" s="312"/>
      <c r="O125" s="323"/>
    </row>
    <row r="126" spans="1:15" ht="13.5" customHeight="1">
      <c r="A126" s="312"/>
      <c r="B126" s="312"/>
      <c r="C126" s="312"/>
      <c r="D126" s="312"/>
      <c r="E126" s="312"/>
      <c r="F126" s="312"/>
      <c r="G126" s="312"/>
      <c r="H126" s="312"/>
      <c r="I126" s="312"/>
      <c r="J126" s="312"/>
      <c r="K126" s="312"/>
      <c r="L126" s="312"/>
      <c r="M126" s="312"/>
      <c r="N126" s="312"/>
      <c r="O126" s="323"/>
    </row>
    <row r="127" spans="1:15" ht="13.5" customHeight="1">
      <c r="A127" s="312"/>
      <c r="B127" s="312"/>
      <c r="C127" s="312"/>
      <c r="D127" s="312"/>
      <c r="E127" s="312"/>
      <c r="F127" s="312"/>
      <c r="G127" s="312"/>
      <c r="H127" s="312"/>
      <c r="I127" s="312"/>
      <c r="J127" s="312"/>
      <c r="K127" s="312"/>
      <c r="L127" s="312"/>
      <c r="M127" s="312"/>
      <c r="N127" s="312"/>
      <c r="O127" s="323"/>
    </row>
    <row r="128" spans="1:15" ht="13.5" customHeight="1">
      <c r="A128" s="312"/>
      <c r="B128" s="312"/>
      <c r="C128" s="312"/>
      <c r="D128" s="312"/>
      <c r="E128" s="312"/>
      <c r="F128" s="312"/>
      <c r="G128" s="312"/>
      <c r="H128" s="312"/>
      <c r="I128" s="312"/>
      <c r="J128" s="312"/>
      <c r="K128" s="312"/>
      <c r="L128" s="312"/>
      <c r="M128" s="312"/>
      <c r="N128" s="312"/>
      <c r="O128" s="323"/>
    </row>
    <row r="129" spans="1:15" ht="13.5" customHeight="1">
      <c r="A129" s="312"/>
      <c r="B129" s="312"/>
      <c r="C129" s="312"/>
      <c r="D129" s="312"/>
      <c r="E129" s="312"/>
      <c r="F129" s="312"/>
      <c r="G129" s="312"/>
      <c r="H129" s="312"/>
      <c r="I129" s="312"/>
      <c r="J129" s="312"/>
      <c r="K129" s="312"/>
      <c r="L129" s="312"/>
      <c r="M129" s="312"/>
      <c r="N129" s="312"/>
      <c r="O129" s="323"/>
    </row>
    <row r="130" spans="1:15" ht="13.5" customHeight="1">
      <c r="A130" s="312"/>
      <c r="B130" s="312"/>
      <c r="C130" s="312"/>
      <c r="D130" s="312"/>
      <c r="E130" s="312"/>
      <c r="F130" s="312"/>
      <c r="G130" s="312"/>
      <c r="H130" s="312"/>
      <c r="I130" s="312"/>
      <c r="J130" s="312"/>
      <c r="K130" s="312"/>
      <c r="L130" s="312"/>
      <c r="M130" s="312"/>
      <c r="N130" s="312"/>
      <c r="O130" s="323"/>
    </row>
    <row r="131" spans="1:15" ht="13.5" customHeight="1">
      <c r="A131" s="312"/>
      <c r="B131" s="312"/>
      <c r="C131" s="312"/>
      <c r="D131" s="312"/>
      <c r="E131" s="312"/>
      <c r="F131" s="312"/>
      <c r="G131" s="312"/>
      <c r="H131" s="312"/>
      <c r="I131" s="312"/>
      <c r="J131" s="312"/>
      <c r="K131" s="312"/>
      <c r="L131" s="312"/>
      <c r="M131" s="312"/>
      <c r="N131" s="312"/>
      <c r="O131" s="323"/>
    </row>
    <row r="132" spans="1:15" ht="13.5" customHeight="1">
      <c r="A132" s="312"/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  <c r="O132" s="323"/>
    </row>
    <row r="133" spans="1:15" ht="13.5" customHeight="1">
      <c r="A133" s="312"/>
      <c r="B133" s="312"/>
      <c r="C133" s="312"/>
      <c r="D133" s="312"/>
      <c r="E133" s="312"/>
      <c r="F133" s="312"/>
      <c r="G133" s="312"/>
      <c r="H133" s="312"/>
      <c r="I133" s="312"/>
      <c r="J133" s="312"/>
      <c r="K133" s="312"/>
      <c r="L133" s="312"/>
      <c r="M133" s="312"/>
      <c r="N133" s="312"/>
      <c r="O133" s="323"/>
    </row>
    <row r="134" spans="1:15" ht="13.5" customHeight="1">
      <c r="A134" s="312"/>
      <c r="B134" s="312"/>
      <c r="C134" s="312"/>
      <c r="D134" s="312"/>
      <c r="E134" s="312"/>
      <c r="F134" s="312"/>
      <c r="G134" s="312"/>
      <c r="H134" s="312"/>
      <c r="I134" s="312"/>
      <c r="J134" s="312"/>
      <c r="K134" s="312"/>
      <c r="L134" s="312"/>
      <c r="M134" s="312"/>
      <c r="N134" s="312"/>
      <c r="O134" s="323"/>
    </row>
    <row r="135" spans="1:15" ht="13.5" customHeight="1">
      <c r="A135" s="312"/>
      <c r="B135" s="312"/>
      <c r="C135" s="312"/>
      <c r="D135" s="312"/>
      <c r="E135" s="312"/>
      <c r="F135" s="312"/>
      <c r="G135" s="312"/>
      <c r="H135" s="312"/>
      <c r="I135" s="312"/>
      <c r="J135" s="312"/>
      <c r="K135" s="312"/>
      <c r="L135" s="312"/>
      <c r="M135" s="312"/>
      <c r="N135" s="312"/>
      <c r="O135" s="323"/>
    </row>
    <row r="136" spans="1:15" ht="13.5" customHeight="1">
      <c r="A136" s="312"/>
      <c r="B136" s="312"/>
      <c r="C136" s="312"/>
      <c r="D136" s="312"/>
      <c r="E136" s="312"/>
      <c r="F136" s="312"/>
      <c r="G136" s="312"/>
      <c r="H136" s="312"/>
      <c r="I136" s="312"/>
      <c r="J136" s="312"/>
      <c r="K136" s="312"/>
      <c r="L136" s="312"/>
      <c r="M136" s="312"/>
      <c r="N136" s="312"/>
      <c r="O136" s="323"/>
    </row>
    <row r="137" spans="1:15" ht="13.5" customHeight="1">
      <c r="A137" s="312"/>
      <c r="B137" s="312"/>
      <c r="C137" s="312"/>
      <c r="D137" s="312"/>
      <c r="E137" s="312"/>
      <c r="F137" s="312"/>
      <c r="G137" s="312"/>
      <c r="H137" s="312"/>
      <c r="I137" s="312"/>
      <c r="J137" s="312"/>
      <c r="K137" s="312"/>
      <c r="L137" s="312"/>
      <c r="M137" s="312"/>
      <c r="N137" s="312"/>
      <c r="O137" s="323"/>
    </row>
    <row r="138" spans="1:15" ht="13.5" customHeight="1">
      <c r="A138" s="312"/>
      <c r="B138" s="312"/>
      <c r="C138" s="312"/>
      <c r="D138" s="312"/>
      <c r="E138" s="312"/>
      <c r="F138" s="312"/>
      <c r="G138" s="312"/>
      <c r="H138" s="312"/>
      <c r="I138" s="312"/>
      <c r="J138" s="312"/>
      <c r="K138" s="312"/>
      <c r="L138" s="312"/>
      <c r="M138" s="312"/>
      <c r="N138" s="312"/>
      <c r="O138" s="323"/>
    </row>
    <row r="139" spans="1:15" ht="13.5" customHeight="1">
      <c r="A139" s="312"/>
      <c r="B139" s="312"/>
      <c r="C139" s="312"/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23"/>
    </row>
    <row r="140" spans="1:15" ht="13.5" customHeight="1">
      <c r="A140" s="312"/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23"/>
    </row>
    <row r="141" spans="1:15" ht="13.5" customHeight="1">
      <c r="A141" s="312"/>
      <c r="B141" s="312"/>
      <c r="C141" s="312"/>
      <c r="D141" s="312"/>
      <c r="E141" s="312"/>
      <c r="F141" s="312"/>
      <c r="G141" s="312"/>
      <c r="H141" s="312"/>
      <c r="I141" s="312"/>
      <c r="J141" s="312"/>
      <c r="K141" s="312"/>
      <c r="L141" s="312"/>
      <c r="M141" s="312"/>
      <c r="N141" s="312"/>
      <c r="O141" s="323"/>
    </row>
    <row r="142" spans="1:15" ht="13.5" customHeight="1">
      <c r="A142" s="312"/>
      <c r="B142" s="312"/>
      <c r="C142" s="312"/>
      <c r="D142" s="312"/>
      <c r="E142" s="312"/>
      <c r="F142" s="312"/>
      <c r="G142" s="312"/>
      <c r="H142" s="312"/>
      <c r="I142" s="312"/>
      <c r="J142" s="312"/>
      <c r="K142" s="312"/>
      <c r="L142" s="312"/>
      <c r="M142" s="312"/>
      <c r="N142" s="312"/>
      <c r="O142" s="323"/>
    </row>
    <row r="143" spans="1:15" ht="13.5" customHeight="1">
      <c r="A143" s="312"/>
      <c r="B143" s="312"/>
      <c r="C143" s="312"/>
      <c r="D143" s="312"/>
      <c r="E143" s="312"/>
      <c r="F143" s="312"/>
      <c r="G143" s="312"/>
      <c r="H143" s="312"/>
      <c r="I143" s="312"/>
      <c r="J143" s="312"/>
      <c r="K143" s="312"/>
      <c r="L143" s="312"/>
      <c r="M143" s="312"/>
      <c r="N143" s="312"/>
      <c r="O143" s="323"/>
    </row>
    <row r="144" spans="1:15" ht="13.5" customHeight="1">
      <c r="A144" s="312"/>
      <c r="B144" s="312"/>
      <c r="C144" s="312"/>
      <c r="D144" s="312"/>
      <c r="E144" s="312"/>
      <c r="F144" s="312"/>
      <c r="G144" s="312"/>
      <c r="H144" s="312"/>
      <c r="I144" s="312"/>
      <c r="J144" s="312"/>
      <c r="K144" s="312"/>
      <c r="L144" s="312"/>
      <c r="M144" s="312"/>
      <c r="N144" s="312"/>
      <c r="O144" s="323"/>
    </row>
    <row r="145" spans="1:15" ht="13.5" customHeight="1">
      <c r="A145" s="312"/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  <c r="L145" s="312"/>
      <c r="M145" s="312"/>
      <c r="N145" s="312"/>
      <c r="O145" s="323"/>
    </row>
    <row r="146" spans="1:15" ht="13.5" customHeight="1">
      <c r="A146" s="312"/>
      <c r="B146" s="312"/>
      <c r="C146" s="312"/>
      <c r="D146" s="312"/>
      <c r="E146" s="312"/>
      <c r="F146" s="312"/>
      <c r="G146" s="312"/>
      <c r="H146" s="312"/>
      <c r="I146" s="312"/>
      <c r="J146" s="312"/>
      <c r="K146" s="312"/>
      <c r="L146" s="312"/>
      <c r="M146" s="312"/>
      <c r="N146" s="312"/>
      <c r="O146" s="323"/>
    </row>
    <row r="147" spans="1:15" ht="13.5" customHeight="1">
      <c r="A147" s="312"/>
      <c r="B147" s="312"/>
      <c r="C147" s="312"/>
      <c r="D147" s="312"/>
      <c r="E147" s="312"/>
      <c r="F147" s="312"/>
      <c r="G147" s="312"/>
      <c r="H147" s="312"/>
      <c r="I147" s="312"/>
      <c r="J147" s="312"/>
      <c r="K147" s="312"/>
      <c r="L147" s="312"/>
      <c r="M147" s="312"/>
      <c r="N147" s="312"/>
      <c r="O147" s="323"/>
    </row>
    <row r="148" spans="1:15" ht="13.5" customHeight="1">
      <c r="A148" s="312"/>
      <c r="B148" s="312"/>
      <c r="C148" s="312"/>
      <c r="D148" s="312"/>
      <c r="E148" s="312"/>
      <c r="F148" s="312"/>
      <c r="G148" s="312"/>
      <c r="H148" s="312"/>
      <c r="I148" s="312"/>
      <c r="J148" s="312"/>
      <c r="K148" s="312"/>
      <c r="L148" s="312"/>
      <c r="M148" s="312"/>
      <c r="N148" s="312"/>
      <c r="O148" s="323"/>
    </row>
    <row r="149" spans="1:15" ht="13.5" customHeight="1">
      <c r="A149" s="312"/>
      <c r="B149" s="312"/>
      <c r="C149" s="312"/>
      <c r="D149" s="312"/>
      <c r="E149" s="312"/>
      <c r="F149" s="312"/>
      <c r="G149" s="312"/>
      <c r="H149" s="312"/>
      <c r="I149" s="312"/>
      <c r="J149" s="312"/>
      <c r="K149" s="312"/>
      <c r="L149" s="312"/>
      <c r="M149" s="312"/>
      <c r="N149" s="312"/>
      <c r="O149" s="323"/>
    </row>
    <row r="150" spans="1:15" ht="13.5" customHeight="1">
      <c r="A150" s="312"/>
      <c r="B150" s="312"/>
      <c r="C150" s="312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323"/>
    </row>
    <row r="151" spans="1:15" ht="13.5" customHeight="1">
      <c r="A151" s="312"/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323"/>
    </row>
    <row r="152" spans="1:15" ht="13.5" customHeight="1">
      <c r="A152" s="312"/>
      <c r="B152" s="312"/>
      <c r="C152" s="312"/>
      <c r="D152" s="312"/>
      <c r="E152" s="312"/>
      <c r="F152" s="312"/>
      <c r="G152" s="312"/>
      <c r="H152" s="312"/>
      <c r="I152" s="312"/>
      <c r="J152" s="312"/>
      <c r="K152" s="312"/>
      <c r="L152" s="312"/>
      <c r="M152" s="312"/>
      <c r="N152" s="312"/>
      <c r="O152" s="323"/>
    </row>
    <row r="153" spans="1:15" ht="13.5" customHeight="1">
      <c r="A153" s="312"/>
      <c r="B153" s="312"/>
      <c r="C153" s="312"/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  <c r="O153" s="323"/>
    </row>
    <row r="154" spans="1:15" ht="13.5" customHeight="1">
      <c r="A154" s="312"/>
      <c r="B154" s="312"/>
      <c r="C154" s="312"/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323"/>
    </row>
    <row r="155" spans="1:15" ht="13.5" customHeight="1">
      <c r="A155" s="312"/>
      <c r="B155" s="312"/>
      <c r="C155" s="312"/>
      <c r="D155" s="312"/>
      <c r="E155" s="312"/>
      <c r="F155" s="312"/>
      <c r="G155" s="312"/>
      <c r="H155" s="312"/>
      <c r="I155" s="312"/>
      <c r="J155" s="312"/>
      <c r="K155" s="312"/>
      <c r="L155" s="312"/>
      <c r="M155" s="312"/>
      <c r="N155" s="312"/>
      <c r="O155" s="323"/>
    </row>
    <row r="156" spans="1:15" ht="13.5" customHeight="1">
      <c r="A156" s="312"/>
      <c r="B156" s="312"/>
      <c r="C156" s="312"/>
      <c r="D156" s="312"/>
      <c r="E156" s="312"/>
      <c r="F156" s="312"/>
      <c r="G156" s="312"/>
      <c r="H156" s="312"/>
      <c r="I156" s="312"/>
      <c r="J156" s="312"/>
      <c r="K156" s="312"/>
      <c r="L156" s="312"/>
      <c r="M156" s="312"/>
      <c r="N156" s="312"/>
      <c r="O156" s="323"/>
    </row>
    <row r="157" spans="1:15" ht="13.5" customHeight="1">
      <c r="A157" s="312"/>
      <c r="B157" s="312"/>
      <c r="C157" s="312"/>
      <c r="D157" s="312"/>
      <c r="E157" s="312"/>
      <c r="F157" s="312"/>
      <c r="G157" s="312"/>
      <c r="H157" s="312"/>
      <c r="I157" s="312"/>
      <c r="J157" s="312"/>
      <c r="K157" s="312"/>
      <c r="L157" s="312"/>
      <c r="M157" s="312"/>
      <c r="N157" s="312"/>
      <c r="O157" s="323"/>
    </row>
    <row r="158" spans="1:15" ht="13.5" customHeight="1">
      <c r="A158" s="312"/>
      <c r="B158" s="312"/>
      <c r="C158" s="312"/>
      <c r="D158" s="312"/>
      <c r="E158" s="312"/>
      <c r="F158" s="312"/>
      <c r="G158" s="312"/>
      <c r="H158" s="312"/>
      <c r="I158" s="312"/>
      <c r="J158" s="312"/>
      <c r="K158" s="312"/>
      <c r="L158" s="312"/>
      <c r="M158" s="312"/>
      <c r="N158" s="312"/>
      <c r="O158" s="323"/>
    </row>
    <row r="159" spans="1:15" ht="13.5" customHeight="1">
      <c r="A159" s="312"/>
      <c r="B159" s="312"/>
      <c r="C159" s="312"/>
      <c r="D159" s="312"/>
      <c r="E159" s="312"/>
      <c r="F159" s="312"/>
      <c r="G159" s="312"/>
      <c r="H159" s="312"/>
      <c r="I159" s="312"/>
      <c r="J159" s="312"/>
      <c r="K159" s="312"/>
      <c r="L159" s="312"/>
      <c r="M159" s="312"/>
      <c r="N159" s="312"/>
      <c r="O159" s="323"/>
    </row>
    <row r="160" spans="1:15" ht="13.5" customHeight="1">
      <c r="A160" s="312"/>
      <c r="B160" s="312"/>
      <c r="C160" s="312"/>
      <c r="D160" s="312"/>
      <c r="E160" s="312"/>
      <c r="F160" s="312"/>
      <c r="G160" s="312"/>
      <c r="H160" s="312"/>
      <c r="I160" s="312"/>
      <c r="J160" s="312"/>
      <c r="K160" s="312"/>
      <c r="L160" s="312"/>
      <c r="M160" s="312"/>
      <c r="N160" s="312"/>
      <c r="O160" s="323"/>
    </row>
    <row r="161" spans="1:15" ht="13.5" customHeight="1">
      <c r="A161" s="312"/>
      <c r="B161" s="312"/>
      <c r="C161" s="312"/>
      <c r="D161" s="312"/>
      <c r="E161" s="312"/>
      <c r="F161" s="312"/>
      <c r="G161" s="312"/>
      <c r="H161" s="312"/>
      <c r="I161" s="312"/>
      <c r="J161" s="312"/>
      <c r="K161" s="312"/>
      <c r="L161" s="312"/>
      <c r="M161" s="312"/>
      <c r="N161" s="312"/>
      <c r="O161" s="323"/>
    </row>
    <row r="162" spans="1:15" ht="13.5" customHeight="1">
      <c r="A162" s="312"/>
      <c r="B162" s="312"/>
      <c r="C162" s="312"/>
      <c r="D162" s="312"/>
      <c r="E162" s="312"/>
      <c r="F162" s="312"/>
      <c r="G162" s="312"/>
      <c r="H162" s="312"/>
      <c r="I162" s="312"/>
      <c r="J162" s="312"/>
      <c r="K162" s="312"/>
      <c r="L162" s="312"/>
      <c r="M162" s="312"/>
      <c r="N162" s="312"/>
      <c r="O162" s="323"/>
    </row>
    <row r="163" spans="1:15" ht="13.5" customHeight="1">
      <c r="A163" s="312"/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  <c r="N163" s="312"/>
      <c r="O163" s="323"/>
    </row>
    <row r="164" spans="1:15" ht="13.5" customHeight="1">
      <c r="A164" s="312"/>
      <c r="B164" s="312"/>
      <c r="C164" s="312"/>
      <c r="D164" s="312"/>
      <c r="E164" s="312"/>
      <c r="F164" s="312"/>
      <c r="G164" s="312"/>
      <c r="H164" s="312"/>
      <c r="I164" s="312"/>
      <c r="J164" s="312"/>
      <c r="K164" s="312"/>
      <c r="L164" s="312"/>
      <c r="M164" s="312"/>
      <c r="N164" s="312"/>
      <c r="O164" s="323"/>
    </row>
    <row r="165" spans="1:15" ht="13.5" customHeight="1">
      <c r="A165" s="312"/>
      <c r="B165" s="312"/>
      <c r="C165" s="312"/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323"/>
    </row>
    <row r="166" spans="1:15" ht="13.5" customHeight="1">
      <c r="A166" s="312"/>
      <c r="B166" s="312"/>
      <c r="C166" s="312"/>
      <c r="D166" s="312"/>
      <c r="E166" s="312"/>
      <c r="F166" s="312"/>
      <c r="G166" s="312"/>
      <c r="H166" s="312"/>
      <c r="I166" s="312"/>
      <c r="J166" s="312"/>
      <c r="K166" s="312"/>
      <c r="L166" s="312"/>
      <c r="M166" s="312"/>
      <c r="N166" s="312"/>
      <c r="O166" s="323"/>
    </row>
    <row r="167" spans="1:15" ht="13.5" customHeight="1">
      <c r="A167" s="312"/>
      <c r="B167" s="312"/>
      <c r="C167" s="312"/>
      <c r="D167" s="312"/>
      <c r="E167" s="312"/>
      <c r="F167" s="312"/>
      <c r="G167" s="312"/>
      <c r="H167" s="312"/>
      <c r="I167" s="312"/>
      <c r="J167" s="312"/>
      <c r="K167" s="312"/>
      <c r="L167" s="312"/>
      <c r="M167" s="312"/>
      <c r="N167" s="312"/>
      <c r="O167" s="323"/>
    </row>
    <row r="168" spans="1:15" ht="13.5" customHeight="1">
      <c r="A168" s="312"/>
      <c r="B168" s="312"/>
      <c r="C168" s="312"/>
      <c r="D168" s="312"/>
      <c r="E168" s="312"/>
      <c r="F168" s="312"/>
      <c r="G168" s="312"/>
      <c r="H168" s="312"/>
      <c r="I168" s="312"/>
      <c r="J168" s="312"/>
      <c r="K168" s="312"/>
      <c r="L168" s="312"/>
      <c r="M168" s="312"/>
      <c r="N168" s="312"/>
      <c r="O168" s="323"/>
    </row>
    <row r="169" spans="1:15" ht="13.5" customHeight="1">
      <c r="A169" s="312"/>
      <c r="B169" s="312"/>
      <c r="C169" s="312"/>
      <c r="D169" s="312"/>
      <c r="E169" s="312"/>
      <c r="F169" s="312"/>
      <c r="G169" s="312"/>
      <c r="H169" s="312"/>
      <c r="I169" s="312"/>
      <c r="J169" s="312"/>
      <c r="K169" s="312"/>
      <c r="L169" s="312"/>
      <c r="M169" s="312"/>
      <c r="N169" s="312"/>
      <c r="O169" s="323"/>
    </row>
    <row r="170" spans="1:15" ht="13.5" customHeight="1">
      <c r="A170" s="312"/>
      <c r="B170" s="312"/>
      <c r="C170" s="312"/>
      <c r="D170" s="312"/>
      <c r="E170" s="312"/>
      <c r="F170" s="312"/>
      <c r="G170" s="312"/>
      <c r="H170" s="312"/>
      <c r="I170" s="312"/>
      <c r="J170" s="312"/>
      <c r="K170" s="312"/>
      <c r="L170" s="312"/>
      <c r="M170" s="312"/>
      <c r="N170" s="312"/>
      <c r="O170" s="323"/>
    </row>
    <row r="171" spans="1:15" ht="13.5" customHeight="1">
      <c r="A171" s="312"/>
      <c r="B171" s="312"/>
      <c r="C171" s="312"/>
      <c r="D171" s="312"/>
      <c r="E171" s="312"/>
      <c r="F171" s="312"/>
      <c r="G171" s="312"/>
      <c r="H171" s="312"/>
      <c r="I171" s="312"/>
      <c r="J171" s="312"/>
      <c r="K171" s="312"/>
      <c r="L171" s="312"/>
      <c r="M171" s="312"/>
      <c r="N171" s="312"/>
      <c r="O171" s="323"/>
    </row>
    <row r="172" spans="1:15" ht="13.5" customHeight="1">
      <c r="A172" s="312"/>
      <c r="B172" s="312"/>
      <c r="C172" s="312"/>
      <c r="D172" s="312"/>
      <c r="E172" s="312"/>
      <c r="F172" s="312"/>
      <c r="G172" s="312"/>
      <c r="H172" s="312"/>
      <c r="I172" s="312"/>
      <c r="J172" s="312"/>
      <c r="K172" s="312"/>
      <c r="L172" s="312"/>
      <c r="M172" s="312"/>
      <c r="N172" s="312"/>
      <c r="O172" s="323"/>
    </row>
    <row r="173" spans="1:15" ht="13.5" customHeight="1">
      <c r="A173" s="312"/>
      <c r="B173" s="312"/>
      <c r="C173" s="312"/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23"/>
    </row>
    <row r="174" spans="1:15" ht="13.5" customHeight="1">
      <c r="A174" s="312"/>
      <c r="B174" s="312"/>
      <c r="C174" s="312"/>
      <c r="D174" s="312"/>
      <c r="E174" s="312"/>
      <c r="F174" s="312"/>
      <c r="G174" s="312"/>
      <c r="H174" s="312"/>
      <c r="I174" s="312"/>
      <c r="J174" s="312"/>
      <c r="K174" s="312"/>
      <c r="L174" s="312"/>
      <c r="M174" s="312"/>
      <c r="N174" s="312"/>
      <c r="O174" s="323"/>
    </row>
    <row r="175" spans="1:15" ht="13.5" customHeight="1">
      <c r="A175" s="312"/>
      <c r="B175" s="312"/>
      <c r="C175" s="312"/>
      <c r="D175" s="312"/>
      <c r="E175" s="312"/>
      <c r="F175" s="312"/>
      <c r="G175" s="312"/>
      <c r="H175" s="312"/>
      <c r="I175" s="312"/>
      <c r="J175" s="312"/>
      <c r="K175" s="312"/>
      <c r="L175" s="312"/>
      <c r="M175" s="312"/>
      <c r="N175" s="312"/>
      <c r="O175" s="323"/>
    </row>
    <row r="176" spans="1:15" ht="13.5" customHeight="1">
      <c r="A176" s="312"/>
      <c r="B176" s="312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323"/>
    </row>
    <row r="177" spans="1:15" ht="13.5" customHeight="1">
      <c r="A177" s="312"/>
      <c r="B177" s="312"/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2"/>
      <c r="N177" s="312"/>
      <c r="O177" s="323"/>
    </row>
    <row r="178" spans="1:15" ht="13.5" customHeight="1">
      <c r="A178" s="312"/>
      <c r="B178" s="312"/>
      <c r="C178" s="312"/>
      <c r="D178" s="312"/>
      <c r="E178" s="312"/>
      <c r="F178" s="312"/>
      <c r="G178" s="312"/>
      <c r="H178" s="312"/>
      <c r="I178" s="312"/>
      <c r="J178" s="312"/>
      <c r="K178" s="312"/>
      <c r="L178" s="312"/>
      <c r="M178" s="312"/>
      <c r="N178" s="312"/>
      <c r="O178" s="323"/>
    </row>
    <row r="179" spans="1:15" ht="13.5" customHeight="1">
      <c r="A179" s="312"/>
      <c r="B179" s="312"/>
      <c r="C179" s="312"/>
      <c r="D179" s="312"/>
      <c r="E179" s="312"/>
      <c r="F179" s="312"/>
      <c r="G179" s="312"/>
      <c r="H179" s="312"/>
      <c r="I179" s="312"/>
      <c r="J179" s="312"/>
      <c r="K179" s="312"/>
      <c r="L179" s="312"/>
      <c r="M179" s="312"/>
      <c r="N179" s="312"/>
      <c r="O179" s="323"/>
    </row>
    <row r="180" spans="1:15" ht="13.5" customHeight="1">
      <c r="A180" s="312"/>
      <c r="B180" s="312"/>
      <c r="C180" s="312"/>
      <c r="D180" s="312"/>
      <c r="E180" s="312"/>
      <c r="F180" s="312"/>
      <c r="G180" s="312"/>
      <c r="H180" s="312"/>
      <c r="I180" s="312"/>
      <c r="J180" s="312"/>
      <c r="K180" s="312"/>
      <c r="L180" s="312"/>
      <c r="M180" s="312"/>
      <c r="N180" s="312"/>
      <c r="O180" s="323"/>
    </row>
    <row r="181" spans="1:15" ht="13.5" customHeight="1">
      <c r="A181" s="312"/>
      <c r="B181" s="312"/>
      <c r="C181" s="312"/>
      <c r="D181" s="312"/>
      <c r="E181" s="312"/>
      <c r="F181" s="312"/>
      <c r="G181" s="312"/>
      <c r="H181" s="312"/>
      <c r="I181" s="312"/>
      <c r="J181" s="312"/>
      <c r="K181" s="312"/>
      <c r="L181" s="312"/>
      <c r="M181" s="312"/>
      <c r="N181" s="312"/>
      <c r="O181" s="323"/>
    </row>
    <row r="182" spans="1:15" ht="13.5" customHeight="1">
      <c r="A182" s="312"/>
      <c r="B182" s="312"/>
      <c r="C182" s="312"/>
      <c r="D182" s="312"/>
      <c r="E182" s="312"/>
      <c r="F182" s="312"/>
      <c r="G182" s="312"/>
      <c r="H182" s="312"/>
      <c r="I182" s="312"/>
      <c r="J182" s="312"/>
      <c r="K182" s="312"/>
      <c r="L182" s="312"/>
      <c r="M182" s="312"/>
      <c r="N182" s="312"/>
      <c r="O182" s="323"/>
    </row>
    <row r="183" spans="1:15" ht="13.5" customHeight="1">
      <c r="A183" s="312"/>
      <c r="B183" s="312"/>
      <c r="C183" s="312"/>
      <c r="D183" s="312"/>
      <c r="E183" s="312"/>
      <c r="F183" s="312"/>
      <c r="G183" s="312"/>
      <c r="H183" s="312"/>
      <c r="I183" s="312"/>
      <c r="J183" s="312"/>
      <c r="K183" s="312"/>
      <c r="L183" s="312"/>
      <c r="M183" s="312"/>
      <c r="N183" s="312"/>
      <c r="O183" s="323"/>
    </row>
    <row r="184" spans="1:15" ht="13.5" customHeight="1">
      <c r="A184" s="312"/>
      <c r="B184" s="312"/>
      <c r="C184" s="312"/>
      <c r="D184" s="312"/>
      <c r="E184" s="312"/>
      <c r="F184" s="312"/>
      <c r="G184" s="312"/>
      <c r="H184" s="312"/>
      <c r="I184" s="312"/>
      <c r="J184" s="312"/>
      <c r="K184" s="312"/>
      <c r="L184" s="312"/>
      <c r="M184" s="312"/>
      <c r="N184" s="312"/>
      <c r="O184" s="323"/>
    </row>
    <row r="185" spans="1:15" ht="13.5" customHeight="1">
      <c r="A185" s="312"/>
      <c r="B185" s="312"/>
      <c r="C185" s="312"/>
      <c r="D185" s="312"/>
      <c r="E185" s="312"/>
      <c r="F185" s="312"/>
      <c r="G185" s="312"/>
      <c r="H185" s="312"/>
      <c r="I185" s="312"/>
      <c r="J185" s="312"/>
      <c r="K185" s="312"/>
      <c r="L185" s="312"/>
      <c r="M185" s="312"/>
      <c r="N185" s="312"/>
      <c r="O185" s="323"/>
    </row>
    <row r="186" spans="1:15" ht="13.5" customHeight="1">
      <c r="A186" s="312"/>
      <c r="B186" s="312"/>
      <c r="C186" s="312"/>
      <c r="D186" s="312"/>
      <c r="E186" s="312"/>
      <c r="F186" s="312"/>
      <c r="G186" s="312"/>
      <c r="H186" s="312"/>
      <c r="I186" s="312"/>
      <c r="J186" s="312"/>
      <c r="K186" s="312"/>
      <c r="L186" s="312"/>
      <c r="M186" s="312"/>
      <c r="N186" s="312"/>
      <c r="O186" s="323"/>
    </row>
    <row r="187" spans="1:15" ht="13.5" customHeight="1">
      <c r="A187" s="312"/>
      <c r="B187" s="312"/>
      <c r="C187" s="312"/>
      <c r="D187" s="312"/>
      <c r="E187" s="312"/>
      <c r="F187" s="312"/>
      <c r="G187" s="312"/>
      <c r="H187" s="312"/>
      <c r="I187" s="312"/>
      <c r="J187" s="312"/>
      <c r="K187" s="312"/>
      <c r="L187" s="312"/>
      <c r="M187" s="312"/>
      <c r="N187" s="312"/>
      <c r="O187" s="323"/>
    </row>
    <row r="188" spans="1:15" ht="13.5" customHeight="1">
      <c r="A188" s="312"/>
      <c r="B188" s="312"/>
      <c r="C188" s="312"/>
      <c r="D188" s="312"/>
      <c r="E188" s="312"/>
      <c r="F188" s="312"/>
      <c r="G188" s="312"/>
      <c r="H188" s="312"/>
      <c r="I188" s="312"/>
      <c r="J188" s="312"/>
      <c r="K188" s="312"/>
      <c r="L188" s="312"/>
      <c r="M188" s="312"/>
      <c r="N188" s="312"/>
      <c r="O188" s="323"/>
    </row>
    <row r="189" spans="1:15" ht="13.5" customHeight="1">
      <c r="A189" s="312"/>
      <c r="B189" s="312"/>
      <c r="C189" s="312"/>
      <c r="D189" s="312"/>
      <c r="E189" s="312"/>
      <c r="F189" s="312"/>
      <c r="G189" s="312"/>
      <c r="H189" s="312"/>
      <c r="I189" s="312"/>
      <c r="J189" s="312"/>
      <c r="K189" s="312"/>
      <c r="L189" s="312"/>
      <c r="M189" s="312"/>
      <c r="N189" s="312"/>
      <c r="O189" s="323"/>
    </row>
    <row r="190" spans="1:15" ht="13.5" customHeight="1">
      <c r="A190" s="312"/>
      <c r="B190" s="312"/>
      <c r="C190" s="312"/>
      <c r="D190" s="312"/>
      <c r="E190" s="312"/>
      <c r="F190" s="312"/>
      <c r="G190" s="312"/>
      <c r="H190" s="312"/>
      <c r="I190" s="312"/>
      <c r="J190" s="312"/>
      <c r="K190" s="312"/>
      <c r="L190" s="312"/>
      <c r="M190" s="312"/>
      <c r="N190" s="312"/>
      <c r="O190" s="323"/>
    </row>
    <row r="191" spans="1:15" ht="13.5" customHeight="1">
      <c r="A191" s="312"/>
      <c r="B191" s="312"/>
      <c r="C191" s="312"/>
      <c r="D191" s="312"/>
      <c r="E191" s="312"/>
      <c r="F191" s="312"/>
      <c r="G191" s="312"/>
      <c r="H191" s="312"/>
      <c r="I191" s="312"/>
      <c r="J191" s="312"/>
      <c r="K191" s="312"/>
      <c r="L191" s="312"/>
      <c r="M191" s="312"/>
      <c r="N191" s="312"/>
      <c r="O191" s="323"/>
    </row>
    <row r="192" spans="1:15" ht="13.5" customHeight="1">
      <c r="A192" s="312"/>
      <c r="B192" s="312"/>
      <c r="C192" s="312"/>
      <c r="D192" s="312"/>
      <c r="E192" s="312"/>
      <c r="F192" s="312"/>
      <c r="G192" s="312"/>
      <c r="H192" s="312"/>
      <c r="I192" s="312"/>
      <c r="J192" s="312"/>
      <c r="K192" s="312"/>
      <c r="L192" s="312"/>
      <c r="M192" s="312"/>
      <c r="N192" s="312"/>
      <c r="O192" s="323"/>
    </row>
    <row r="193" spans="1:15" ht="13.5" customHeight="1">
      <c r="A193" s="312"/>
      <c r="B193" s="312"/>
      <c r="C193" s="312"/>
      <c r="D193" s="312"/>
      <c r="E193" s="312"/>
      <c r="F193" s="312"/>
      <c r="G193" s="312"/>
      <c r="H193" s="312"/>
      <c r="I193" s="312"/>
      <c r="J193" s="312"/>
      <c r="K193" s="312"/>
      <c r="L193" s="312"/>
      <c r="M193" s="312"/>
      <c r="N193" s="312"/>
      <c r="O193" s="323"/>
    </row>
    <row r="194" spans="1:15" ht="13.5" customHeight="1">
      <c r="A194" s="312"/>
      <c r="B194" s="312"/>
      <c r="C194" s="312"/>
      <c r="D194" s="312"/>
      <c r="E194" s="312"/>
      <c r="F194" s="312"/>
      <c r="G194" s="312"/>
      <c r="H194" s="312"/>
      <c r="I194" s="312"/>
      <c r="J194" s="312"/>
      <c r="K194" s="312"/>
      <c r="L194" s="312"/>
      <c r="M194" s="312"/>
      <c r="N194" s="312"/>
      <c r="O194" s="323"/>
    </row>
    <row r="195" spans="1:15" ht="13.5" customHeight="1">
      <c r="A195" s="312"/>
      <c r="B195" s="312"/>
      <c r="C195" s="312"/>
      <c r="D195" s="312"/>
      <c r="E195" s="312"/>
      <c r="F195" s="312"/>
      <c r="G195" s="312"/>
      <c r="H195" s="312"/>
      <c r="I195" s="312"/>
      <c r="J195" s="312"/>
      <c r="K195" s="312"/>
      <c r="L195" s="312"/>
      <c r="M195" s="312"/>
      <c r="N195" s="312"/>
      <c r="O195" s="323"/>
    </row>
    <row r="196" spans="1:15" ht="13.5" customHeight="1">
      <c r="A196" s="312"/>
      <c r="B196" s="312"/>
      <c r="C196" s="312"/>
      <c r="D196" s="312"/>
      <c r="E196" s="312"/>
      <c r="F196" s="312"/>
      <c r="G196" s="312"/>
      <c r="H196" s="312"/>
      <c r="I196" s="312"/>
      <c r="J196" s="312"/>
      <c r="K196" s="312"/>
      <c r="L196" s="312"/>
      <c r="M196" s="312"/>
      <c r="N196" s="312"/>
      <c r="O196" s="323"/>
    </row>
    <row r="197" spans="1:15" ht="13.5" customHeight="1">
      <c r="A197" s="312"/>
      <c r="B197" s="312"/>
      <c r="C197" s="312"/>
      <c r="D197" s="312"/>
      <c r="E197" s="312"/>
      <c r="F197" s="312"/>
      <c r="G197" s="312"/>
      <c r="H197" s="312"/>
      <c r="I197" s="312"/>
      <c r="J197" s="312"/>
      <c r="K197" s="312"/>
      <c r="L197" s="312"/>
      <c r="M197" s="312"/>
      <c r="N197" s="312"/>
      <c r="O197" s="323"/>
    </row>
    <row r="198" spans="1:15" ht="13.5" customHeight="1">
      <c r="A198" s="312"/>
      <c r="B198" s="312"/>
      <c r="C198" s="312"/>
      <c r="D198" s="312"/>
      <c r="E198" s="312"/>
      <c r="F198" s="312"/>
      <c r="G198" s="312"/>
      <c r="H198" s="312"/>
      <c r="I198" s="312"/>
      <c r="J198" s="312"/>
      <c r="K198" s="312"/>
      <c r="L198" s="312"/>
      <c r="M198" s="312"/>
      <c r="N198" s="312"/>
      <c r="O198" s="323"/>
    </row>
    <row r="199" spans="1:15" ht="13.5" customHeight="1">
      <c r="A199" s="312"/>
      <c r="B199" s="312"/>
      <c r="C199" s="312"/>
      <c r="D199" s="312"/>
      <c r="E199" s="312"/>
      <c r="F199" s="312"/>
      <c r="G199" s="312"/>
      <c r="H199" s="312"/>
      <c r="I199" s="312"/>
      <c r="J199" s="312"/>
      <c r="K199" s="312"/>
      <c r="L199" s="312"/>
      <c r="M199" s="312"/>
      <c r="N199" s="312"/>
      <c r="O199" s="323"/>
    </row>
    <row r="200" spans="1:15" ht="13.5" customHeight="1">
      <c r="A200" s="312"/>
      <c r="B200" s="312"/>
      <c r="C200" s="312"/>
      <c r="D200" s="312"/>
      <c r="E200" s="312"/>
      <c r="F200" s="312"/>
      <c r="G200" s="312"/>
      <c r="H200" s="312"/>
      <c r="I200" s="312"/>
      <c r="J200" s="312"/>
      <c r="K200" s="312"/>
      <c r="L200" s="312"/>
      <c r="M200" s="312"/>
      <c r="N200" s="312"/>
      <c r="O200" s="323"/>
    </row>
    <row r="201" spans="1:15" ht="13.5" customHeight="1">
      <c r="A201" s="312"/>
      <c r="B201" s="312"/>
      <c r="C201" s="312"/>
      <c r="D201" s="312"/>
      <c r="E201" s="312"/>
      <c r="F201" s="312"/>
      <c r="G201" s="312"/>
      <c r="H201" s="312"/>
      <c r="I201" s="312"/>
      <c r="J201" s="312"/>
      <c r="K201" s="312"/>
      <c r="L201" s="312"/>
      <c r="M201" s="312"/>
      <c r="N201" s="312"/>
      <c r="O201" s="323"/>
    </row>
    <row r="202" spans="1:15" ht="13.5" customHeight="1">
      <c r="A202" s="312"/>
      <c r="B202" s="312"/>
      <c r="C202" s="312"/>
      <c r="D202" s="312"/>
      <c r="E202" s="312"/>
      <c r="F202" s="312"/>
      <c r="G202" s="312"/>
      <c r="H202" s="312"/>
      <c r="I202" s="312"/>
      <c r="J202" s="312"/>
      <c r="K202" s="312"/>
      <c r="L202" s="312"/>
      <c r="M202" s="312"/>
      <c r="N202" s="312"/>
      <c r="O202" s="323"/>
    </row>
    <row r="203" spans="1:15" ht="13.5" customHeight="1">
      <c r="A203" s="312"/>
      <c r="B203" s="312"/>
      <c r="C203" s="312"/>
      <c r="D203" s="312"/>
      <c r="E203" s="312"/>
      <c r="F203" s="312"/>
      <c r="G203" s="312"/>
      <c r="H203" s="312"/>
      <c r="I203" s="312"/>
      <c r="J203" s="312"/>
      <c r="K203" s="312"/>
      <c r="L203" s="312"/>
      <c r="M203" s="312"/>
      <c r="N203" s="312"/>
      <c r="O203" s="323"/>
    </row>
    <row r="204" spans="1:15" ht="13.5" customHeight="1">
      <c r="A204" s="312"/>
      <c r="B204" s="312"/>
      <c r="C204" s="312"/>
      <c r="D204" s="312"/>
      <c r="E204" s="312"/>
      <c r="F204" s="312"/>
      <c r="G204" s="312"/>
      <c r="H204" s="312"/>
      <c r="I204" s="312"/>
      <c r="J204" s="312"/>
      <c r="K204" s="312"/>
      <c r="L204" s="312"/>
      <c r="M204" s="312"/>
      <c r="N204" s="312"/>
      <c r="O204" s="323"/>
    </row>
    <row r="205" spans="1:15" ht="13.5" customHeight="1">
      <c r="A205" s="312"/>
      <c r="B205" s="312"/>
      <c r="C205" s="312"/>
      <c r="D205" s="312"/>
      <c r="E205" s="312"/>
      <c r="F205" s="312"/>
      <c r="G205" s="312"/>
      <c r="H205" s="312"/>
      <c r="I205" s="312"/>
      <c r="J205" s="312"/>
      <c r="K205" s="312"/>
      <c r="L205" s="312"/>
      <c r="M205" s="312"/>
      <c r="N205" s="312"/>
      <c r="O205" s="323"/>
    </row>
    <row r="206" spans="1:15" ht="13.5" customHeight="1">
      <c r="A206" s="312"/>
      <c r="B206" s="312"/>
      <c r="C206" s="312"/>
      <c r="D206" s="312"/>
      <c r="E206" s="312"/>
      <c r="F206" s="312"/>
      <c r="G206" s="312"/>
      <c r="H206" s="312"/>
      <c r="I206" s="312"/>
      <c r="J206" s="312"/>
      <c r="K206" s="312"/>
      <c r="L206" s="312"/>
      <c r="M206" s="312"/>
      <c r="N206" s="312"/>
      <c r="O206" s="323"/>
    </row>
    <row r="207" spans="1:15" ht="13.5" customHeight="1">
      <c r="A207" s="312"/>
      <c r="B207" s="312"/>
      <c r="C207" s="312"/>
      <c r="D207" s="312"/>
      <c r="E207" s="312"/>
      <c r="F207" s="312"/>
      <c r="G207" s="312"/>
      <c r="H207" s="312"/>
      <c r="I207" s="312"/>
      <c r="J207" s="312"/>
      <c r="K207" s="312"/>
      <c r="L207" s="312"/>
      <c r="M207" s="312"/>
      <c r="N207" s="312"/>
      <c r="O207" s="323"/>
    </row>
    <row r="208" spans="1:15" ht="13.5" customHeight="1">
      <c r="A208" s="312"/>
      <c r="B208" s="312"/>
      <c r="C208" s="312"/>
      <c r="D208" s="312"/>
      <c r="E208" s="312"/>
      <c r="F208" s="312"/>
      <c r="G208" s="312"/>
      <c r="H208" s="312"/>
      <c r="I208" s="312"/>
      <c r="J208" s="312"/>
      <c r="K208" s="312"/>
      <c r="L208" s="312"/>
      <c r="M208" s="312"/>
      <c r="N208" s="312"/>
      <c r="O208" s="323"/>
    </row>
    <row r="209" spans="1:15" ht="13.5" customHeight="1">
      <c r="A209" s="312"/>
      <c r="B209" s="312"/>
      <c r="C209" s="312"/>
      <c r="D209" s="312"/>
      <c r="E209" s="312"/>
      <c r="F209" s="312"/>
      <c r="G209" s="312"/>
      <c r="H209" s="312"/>
      <c r="I209" s="312"/>
      <c r="J209" s="312"/>
      <c r="K209" s="312"/>
      <c r="L209" s="312"/>
      <c r="M209" s="312"/>
      <c r="N209" s="312"/>
      <c r="O209" s="323"/>
    </row>
    <row r="210" spans="1:15" ht="13.5" customHeight="1">
      <c r="A210" s="312"/>
      <c r="B210" s="312"/>
      <c r="C210" s="312"/>
      <c r="D210" s="312"/>
      <c r="E210" s="312"/>
      <c r="F210" s="312"/>
      <c r="G210" s="312"/>
      <c r="H210" s="312"/>
      <c r="I210" s="312"/>
      <c r="J210" s="312"/>
      <c r="K210" s="312"/>
      <c r="L210" s="312"/>
      <c r="M210" s="312"/>
      <c r="N210" s="312"/>
      <c r="O210" s="323"/>
    </row>
    <row r="211" spans="1:15" ht="13.5" customHeight="1">
      <c r="A211" s="312"/>
      <c r="B211" s="312"/>
      <c r="C211" s="312"/>
      <c r="D211" s="312"/>
      <c r="E211" s="312"/>
      <c r="F211" s="312"/>
      <c r="G211" s="312"/>
      <c r="H211" s="312"/>
      <c r="I211" s="312"/>
      <c r="J211" s="312"/>
      <c r="K211" s="312"/>
      <c r="L211" s="312"/>
      <c r="M211" s="312"/>
      <c r="N211" s="312"/>
      <c r="O211" s="323"/>
    </row>
    <row r="212" spans="1:15" ht="13.5" customHeight="1">
      <c r="A212" s="312"/>
      <c r="B212" s="312"/>
      <c r="C212" s="312"/>
      <c r="D212" s="312"/>
      <c r="E212" s="312"/>
      <c r="F212" s="312"/>
      <c r="G212" s="312"/>
      <c r="H212" s="312"/>
      <c r="I212" s="312"/>
      <c r="J212" s="312"/>
      <c r="K212" s="312"/>
      <c r="L212" s="312"/>
      <c r="M212" s="312"/>
      <c r="N212" s="312"/>
      <c r="O212" s="323"/>
    </row>
    <row r="213" spans="1:15" ht="13.5" customHeight="1">
      <c r="A213" s="312"/>
      <c r="B213" s="312"/>
      <c r="C213" s="312"/>
      <c r="D213" s="312"/>
      <c r="E213" s="312"/>
      <c r="F213" s="312"/>
      <c r="G213" s="312"/>
      <c r="H213" s="312"/>
      <c r="I213" s="312"/>
      <c r="J213" s="312"/>
      <c r="K213" s="312"/>
      <c r="L213" s="312"/>
      <c r="M213" s="312"/>
      <c r="N213" s="312"/>
      <c r="O213" s="323"/>
    </row>
    <row r="214" spans="1:15" ht="13.5" customHeight="1">
      <c r="A214" s="312"/>
      <c r="B214" s="312"/>
      <c r="C214" s="312"/>
      <c r="D214" s="312"/>
      <c r="E214" s="312"/>
      <c r="F214" s="312"/>
      <c r="G214" s="312"/>
      <c r="H214" s="312"/>
      <c r="I214" s="312"/>
      <c r="J214" s="312"/>
      <c r="K214" s="312"/>
      <c r="L214" s="312"/>
      <c r="M214" s="312"/>
      <c r="N214" s="312"/>
      <c r="O214" s="323"/>
    </row>
    <row r="215" spans="1:15" ht="13.5" customHeight="1">
      <c r="A215" s="312"/>
      <c r="B215" s="312"/>
      <c r="C215" s="312"/>
      <c r="D215" s="312"/>
      <c r="E215" s="312"/>
      <c r="F215" s="312"/>
      <c r="G215" s="312"/>
      <c r="H215" s="312"/>
      <c r="I215" s="312"/>
      <c r="J215" s="312"/>
      <c r="K215" s="312"/>
      <c r="L215" s="312"/>
      <c r="M215" s="312"/>
      <c r="N215" s="312"/>
      <c r="O215" s="323"/>
    </row>
    <row r="216" spans="1:15" ht="13.5" customHeight="1">
      <c r="A216" s="312"/>
      <c r="B216" s="312"/>
      <c r="C216" s="312"/>
      <c r="D216" s="312"/>
      <c r="E216" s="312"/>
      <c r="F216" s="312"/>
      <c r="G216" s="312"/>
      <c r="H216" s="312"/>
      <c r="I216" s="312"/>
      <c r="J216" s="312"/>
      <c r="K216" s="312"/>
      <c r="L216" s="312"/>
      <c r="M216" s="312"/>
      <c r="N216" s="312"/>
      <c r="O216" s="323"/>
    </row>
    <row r="217" spans="1:15" ht="13.5" customHeight="1">
      <c r="A217" s="312"/>
      <c r="B217" s="312"/>
      <c r="C217" s="312"/>
      <c r="D217" s="312"/>
      <c r="E217" s="312"/>
      <c r="F217" s="312"/>
      <c r="G217" s="312"/>
      <c r="H217" s="312"/>
      <c r="I217" s="312"/>
      <c r="J217" s="312"/>
      <c r="K217" s="312"/>
      <c r="L217" s="312"/>
      <c r="M217" s="312"/>
      <c r="N217" s="312"/>
      <c r="O217" s="323"/>
    </row>
    <row r="218" spans="1:15" ht="13.5" customHeight="1">
      <c r="A218" s="312"/>
      <c r="B218" s="312"/>
      <c r="C218" s="312"/>
      <c r="D218" s="312"/>
      <c r="E218" s="312"/>
      <c r="F218" s="312"/>
      <c r="G218" s="312"/>
      <c r="H218" s="312"/>
      <c r="I218" s="312"/>
      <c r="J218" s="312"/>
      <c r="K218" s="312"/>
      <c r="L218" s="312"/>
      <c r="M218" s="312"/>
      <c r="N218" s="312"/>
      <c r="O218" s="323"/>
    </row>
    <row r="219" spans="1:15" ht="13.5" customHeight="1">
      <c r="A219" s="312"/>
      <c r="B219" s="312"/>
      <c r="C219" s="312"/>
      <c r="D219" s="312"/>
      <c r="E219" s="312"/>
      <c r="F219" s="312"/>
      <c r="G219" s="312"/>
      <c r="H219" s="312"/>
      <c r="I219" s="312"/>
      <c r="J219" s="312"/>
      <c r="K219" s="312"/>
      <c r="L219" s="312"/>
      <c r="M219" s="312"/>
      <c r="N219" s="312"/>
      <c r="O219" s="323"/>
    </row>
    <row r="220" spans="1:15" ht="13.5" customHeight="1">
      <c r="A220" s="312"/>
      <c r="B220" s="312"/>
      <c r="C220" s="312"/>
      <c r="D220" s="312"/>
      <c r="E220" s="312"/>
      <c r="F220" s="312"/>
      <c r="G220" s="312"/>
      <c r="H220" s="312"/>
      <c r="I220" s="312"/>
      <c r="J220" s="312"/>
      <c r="K220" s="312"/>
      <c r="L220" s="312"/>
      <c r="M220" s="312"/>
      <c r="N220" s="312"/>
      <c r="O220" s="323"/>
    </row>
    <row r="221" spans="1:15" ht="13.5" customHeight="1">
      <c r="A221" s="312"/>
      <c r="B221" s="312"/>
      <c r="C221" s="312"/>
      <c r="D221" s="312"/>
      <c r="E221" s="312"/>
      <c r="F221" s="312"/>
      <c r="G221" s="312"/>
      <c r="H221" s="312"/>
      <c r="I221" s="312"/>
      <c r="J221" s="312"/>
      <c r="K221" s="312"/>
      <c r="L221" s="312"/>
      <c r="M221" s="312"/>
      <c r="N221" s="312"/>
      <c r="O221" s="323"/>
    </row>
    <row r="222" spans="1:15" ht="13.5" customHeight="1">
      <c r="A222" s="312"/>
      <c r="B222" s="312"/>
      <c r="C222" s="312"/>
      <c r="D222" s="312"/>
      <c r="E222" s="312"/>
      <c r="F222" s="312"/>
      <c r="G222" s="312"/>
      <c r="H222" s="312"/>
      <c r="I222" s="312"/>
      <c r="J222" s="312"/>
      <c r="K222" s="312"/>
      <c r="L222" s="312"/>
      <c r="M222" s="312"/>
      <c r="N222" s="312"/>
      <c r="O222" s="323"/>
    </row>
    <row r="223" spans="1:15" ht="13.5" customHeight="1">
      <c r="A223" s="312"/>
      <c r="B223" s="312"/>
      <c r="C223" s="312"/>
      <c r="D223" s="312"/>
      <c r="E223" s="312"/>
      <c r="F223" s="312"/>
      <c r="G223" s="312"/>
      <c r="H223" s="312"/>
      <c r="I223" s="312"/>
      <c r="J223" s="312"/>
      <c r="K223" s="312"/>
      <c r="L223" s="312"/>
      <c r="M223" s="312"/>
      <c r="N223" s="312"/>
      <c r="O223" s="323"/>
    </row>
    <row r="224" spans="1:15" ht="13.5" customHeight="1">
      <c r="A224" s="312"/>
      <c r="B224" s="312"/>
      <c r="C224" s="312"/>
      <c r="D224" s="312"/>
      <c r="E224" s="312"/>
      <c r="F224" s="312"/>
      <c r="G224" s="312"/>
      <c r="H224" s="312"/>
      <c r="I224" s="312"/>
      <c r="J224" s="312"/>
      <c r="K224" s="312"/>
      <c r="L224" s="312"/>
      <c r="M224" s="312"/>
      <c r="N224" s="312"/>
      <c r="O224" s="323"/>
    </row>
    <row r="225" spans="1:15" ht="13.5" customHeight="1">
      <c r="A225" s="312"/>
      <c r="B225" s="312"/>
      <c r="C225" s="312"/>
      <c r="D225" s="312"/>
      <c r="E225" s="312"/>
      <c r="F225" s="312"/>
      <c r="G225" s="312"/>
      <c r="H225" s="312"/>
      <c r="I225" s="312"/>
      <c r="J225" s="312"/>
      <c r="K225" s="312"/>
      <c r="L225" s="312"/>
      <c r="M225" s="312"/>
      <c r="N225" s="312"/>
      <c r="O225" s="323"/>
    </row>
    <row r="226" spans="1:15" ht="13.5" customHeight="1">
      <c r="A226" s="312"/>
      <c r="B226" s="312"/>
      <c r="C226" s="312"/>
      <c r="D226" s="312"/>
      <c r="E226" s="312"/>
      <c r="F226" s="312"/>
      <c r="G226" s="312"/>
      <c r="H226" s="312"/>
      <c r="I226" s="312"/>
      <c r="J226" s="312"/>
      <c r="K226" s="312"/>
      <c r="L226" s="312"/>
      <c r="M226" s="312"/>
      <c r="N226" s="312"/>
      <c r="O226" s="323"/>
    </row>
    <row r="227" spans="1:15" ht="13.5" customHeight="1">
      <c r="A227" s="312"/>
      <c r="B227" s="312"/>
      <c r="C227" s="312"/>
      <c r="D227" s="312"/>
      <c r="E227" s="312"/>
      <c r="F227" s="312"/>
      <c r="G227" s="312"/>
      <c r="H227" s="312"/>
      <c r="I227" s="312"/>
      <c r="J227" s="312"/>
      <c r="K227" s="312"/>
      <c r="L227" s="312"/>
      <c r="M227" s="312"/>
      <c r="N227" s="312"/>
      <c r="O227" s="323"/>
    </row>
    <row r="228" spans="1:15" ht="13.5" customHeight="1">
      <c r="A228" s="312"/>
      <c r="B228" s="312"/>
      <c r="C228" s="312"/>
      <c r="D228" s="312"/>
      <c r="E228" s="312"/>
      <c r="F228" s="312"/>
      <c r="G228" s="312"/>
      <c r="H228" s="312"/>
      <c r="I228" s="312"/>
      <c r="J228" s="312"/>
      <c r="K228" s="312"/>
      <c r="L228" s="312"/>
      <c r="M228" s="312"/>
      <c r="N228" s="312"/>
      <c r="O228" s="323"/>
    </row>
    <row r="229" spans="1:15" ht="13.5" customHeight="1">
      <c r="A229" s="312"/>
      <c r="B229" s="312"/>
      <c r="C229" s="312"/>
      <c r="D229" s="312"/>
      <c r="E229" s="312"/>
      <c r="F229" s="312"/>
      <c r="G229" s="312"/>
      <c r="H229" s="312"/>
      <c r="I229" s="312"/>
      <c r="J229" s="312"/>
      <c r="K229" s="312"/>
      <c r="L229" s="312"/>
      <c r="M229" s="312"/>
      <c r="N229" s="312"/>
      <c r="O229" s="323"/>
    </row>
    <row r="230" spans="1:15" ht="13.5" customHeight="1">
      <c r="A230" s="312"/>
      <c r="B230" s="312"/>
      <c r="C230" s="312"/>
      <c r="D230" s="312"/>
      <c r="E230" s="312"/>
      <c r="F230" s="312"/>
      <c r="G230" s="312"/>
      <c r="H230" s="312"/>
      <c r="I230" s="312"/>
      <c r="J230" s="312"/>
      <c r="K230" s="312"/>
      <c r="L230" s="312"/>
      <c r="M230" s="312"/>
      <c r="N230" s="312"/>
      <c r="O230" s="323"/>
    </row>
    <row r="231" spans="1:15" ht="13.5" customHeight="1">
      <c r="A231" s="312"/>
      <c r="B231" s="312"/>
      <c r="C231" s="312"/>
      <c r="D231" s="312"/>
      <c r="E231" s="312"/>
      <c r="F231" s="312"/>
      <c r="G231" s="312"/>
      <c r="H231" s="312"/>
      <c r="I231" s="312"/>
      <c r="J231" s="312"/>
      <c r="K231" s="312"/>
      <c r="L231" s="312"/>
      <c r="M231" s="312"/>
      <c r="N231" s="312"/>
      <c r="O231" s="323"/>
    </row>
    <row r="232" spans="1:15" ht="13.5" customHeight="1">
      <c r="A232" s="312"/>
      <c r="B232" s="312"/>
      <c r="C232" s="312"/>
      <c r="D232" s="312"/>
      <c r="E232" s="312"/>
      <c r="F232" s="312"/>
      <c r="G232" s="312"/>
      <c r="H232" s="312"/>
      <c r="I232" s="312"/>
      <c r="J232" s="312"/>
      <c r="K232" s="312"/>
      <c r="L232" s="312"/>
      <c r="M232" s="312"/>
      <c r="N232" s="312"/>
      <c r="O232" s="323"/>
    </row>
    <row r="233" spans="1:15" ht="13.5" customHeight="1">
      <c r="A233" s="312"/>
      <c r="B233" s="312"/>
      <c r="C233" s="312"/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23"/>
    </row>
    <row r="234" spans="1:15" ht="13.5" customHeight="1">
      <c r="A234" s="312"/>
      <c r="B234" s="312"/>
      <c r="C234" s="312"/>
      <c r="D234" s="312"/>
      <c r="E234" s="312"/>
      <c r="F234" s="312"/>
      <c r="G234" s="312"/>
      <c r="H234" s="312"/>
      <c r="I234" s="312"/>
      <c r="J234" s="312"/>
      <c r="K234" s="312"/>
      <c r="L234" s="312"/>
      <c r="M234" s="312"/>
      <c r="N234" s="312"/>
      <c r="O234" s="323"/>
    </row>
    <row r="235" spans="1:15" ht="13.5" customHeight="1">
      <c r="A235" s="312"/>
      <c r="B235" s="312"/>
      <c r="C235" s="312"/>
      <c r="D235" s="312"/>
      <c r="E235" s="312"/>
      <c r="F235" s="312"/>
      <c r="G235" s="312"/>
      <c r="H235" s="312"/>
      <c r="I235" s="312"/>
      <c r="J235" s="312"/>
      <c r="K235" s="312"/>
      <c r="L235" s="312"/>
      <c r="M235" s="312"/>
      <c r="N235" s="312"/>
      <c r="O235" s="323"/>
    </row>
    <row r="236" spans="1:15" ht="13.5" customHeight="1">
      <c r="A236" s="312"/>
      <c r="B236" s="312"/>
      <c r="C236" s="312"/>
      <c r="D236" s="312"/>
      <c r="E236" s="312"/>
      <c r="F236" s="312"/>
      <c r="G236" s="312"/>
      <c r="H236" s="312"/>
      <c r="I236" s="312"/>
      <c r="J236" s="312"/>
      <c r="K236" s="312"/>
      <c r="L236" s="312"/>
      <c r="M236" s="312"/>
      <c r="N236" s="312"/>
      <c r="O236" s="323"/>
    </row>
    <row r="237" spans="1:15" ht="13.5" customHeight="1">
      <c r="A237" s="312"/>
      <c r="B237" s="312"/>
      <c r="C237" s="312"/>
      <c r="D237" s="312"/>
      <c r="E237" s="312"/>
      <c r="F237" s="312"/>
      <c r="G237" s="312"/>
      <c r="H237" s="312"/>
      <c r="I237" s="312"/>
      <c r="J237" s="312"/>
      <c r="K237" s="312"/>
      <c r="L237" s="312"/>
      <c r="M237" s="312"/>
      <c r="N237" s="312"/>
      <c r="O237" s="323"/>
    </row>
    <row r="238" spans="1:15" ht="13.5" customHeight="1">
      <c r="A238" s="312"/>
      <c r="B238" s="312"/>
      <c r="C238" s="312"/>
      <c r="D238" s="312"/>
      <c r="E238" s="312"/>
      <c r="F238" s="312"/>
      <c r="G238" s="312"/>
      <c r="H238" s="312"/>
      <c r="I238" s="312"/>
      <c r="J238" s="312"/>
      <c r="K238" s="312"/>
      <c r="L238" s="312"/>
      <c r="M238" s="312"/>
      <c r="N238" s="312"/>
      <c r="O238" s="323"/>
    </row>
    <row r="239" spans="1:15" ht="13.5" customHeight="1">
      <c r="A239" s="312"/>
      <c r="B239" s="312"/>
      <c r="C239" s="312"/>
      <c r="D239" s="312"/>
      <c r="E239" s="312"/>
      <c r="F239" s="312"/>
      <c r="G239" s="312"/>
      <c r="H239" s="312"/>
      <c r="I239" s="312"/>
      <c r="J239" s="312"/>
      <c r="K239" s="312"/>
      <c r="L239" s="312"/>
      <c r="M239" s="312"/>
      <c r="N239" s="312"/>
      <c r="O239" s="323"/>
    </row>
    <row r="240" spans="1:15" ht="13.5" customHeight="1">
      <c r="A240" s="312"/>
      <c r="B240" s="312"/>
      <c r="C240" s="312"/>
      <c r="D240" s="312"/>
      <c r="E240" s="312"/>
      <c r="F240" s="312"/>
      <c r="G240" s="312"/>
      <c r="H240" s="312"/>
      <c r="I240" s="312"/>
      <c r="J240" s="312"/>
      <c r="K240" s="312"/>
      <c r="L240" s="312"/>
      <c r="M240" s="312"/>
      <c r="N240" s="312"/>
      <c r="O240" s="323"/>
    </row>
    <row r="241" spans="1:15" ht="13.5" customHeight="1">
      <c r="A241" s="312"/>
      <c r="B241" s="312"/>
      <c r="C241" s="312"/>
      <c r="D241" s="312"/>
      <c r="E241" s="312"/>
      <c r="F241" s="312"/>
      <c r="G241" s="312"/>
      <c r="H241" s="312"/>
      <c r="I241" s="312"/>
      <c r="J241" s="312"/>
      <c r="K241" s="312"/>
      <c r="L241" s="312"/>
      <c r="M241" s="312"/>
      <c r="N241" s="312"/>
      <c r="O241" s="323"/>
    </row>
    <row r="242" spans="1:15" ht="13.5" customHeight="1">
      <c r="A242" s="312"/>
      <c r="B242" s="312"/>
      <c r="C242" s="312"/>
      <c r="D242" s="312"/>
      <c r="E242" s="312"/>
      <c r="F242" s="312"/>
      <c r="G242" s="312"/>
      <c r="H242" s="312"/>
      <c r="I242" s="312"/>
      <c r="J242" s="312"/>
      <c r="K242" s="312"/>
      <c r="L242" s="312"/>
      <c r="M242" s="312"/>
      <c r="N242" s="312"/>
      <c r="O242" s="323"/>
    </row>
    <row r="243" spans="1:15" ht="13.5" customHeight="1">
      <c r="A243" s="312"/>
      <c r="B243" s="312"/>
      <c r="C243" s="312"/>
      <c r="D243" s="312"/>
      <c r="E243" s="312"/>
      <c r="F243" s="312"/>
      <c r="G243" s="312"/>
      <c r="H243" s="312"/>
      <c r="I243" s="312"/>
      <c r="J243" s="312"/>
      <c r="K243" s="312"/>
      <c r="L243" s="312"/>
      <c r="M243" s="312"/>
      <c r="N243" s="312"/>
      <c r="O243" s="323"/>
    </row>
    <row r="244" spans="1:15" ht="13.5" customHeight="1">
      <c r="A244" s="312"/>
      <c r="B244" s="312"/>
      <c r="C244" s="312"/>
      <c r="D244" s="312"/>
      <c r="E244" s="312"/>
      <c r="F244" s="312"/>
      <c r="G244" s="312"/>
      <c r="H244" s="312"/>
      <c r="I244" s="312"/>
      <c r="J244" s="312"/>
      <c r="K244" s="312"/>
      <c r="L244" s="312"/>
      <c r="M244" s="312"/>
      <c r="N244" s="312"/>
      <c r="O244" s="323"/>
    </row>
    <row r="245" spans="1:15" ht="13.5" customHeight="1">
      <c r="A245" s="312"/>
      <c r="B245" s="312"/>
      <c r="C245" s="312"/>
      <c r="D245" s="312"/>
      <c r="E245" s="312"/>
      <c r="F245" s="312"/>
      <c r="G245" s="312"/>
      <c r="H245" s="312"/>
      <c r="I245" s="312"/>
      <c r="J245" s="312"/>
      <c r="K245" s="312"/>
      <c r="L245" s="312"/>
      <c r="M245" s="312"/>
      <c r="N245" s="312"/>
      <c r="O245" s="323"/>
    </row>
    <row r="246" spans="1:15" ht="13.5" customHeight="1">
      <c r="A246" s="312"/>
      <c r="B246" s="312"/>
      <c r="C246" s="312"/>
      <c r="D246" s="312"/>
      <c r="E246" s="312"/>
      <c r="F246" s="312"/>
      <c r="G246" s="312"/>
      <c r="H246" s="312"/>
      <c r="I246" s="312"/>
      <c r="J246" s="312"/>
      <c r="K246" s="312"/>
      <c r="L246" s="312"/>
      <c r="M246" s="312"/>
      <c r="N246" s="312"/>
      <c r="O246" s="323"/>
    </row>
    <row r="247" spans="1:15" ht="13.5" customHeight="1">
      <c r="A247" s="312"/>
      <c r="B247" s="312"/>
      <c r="C247" s="312"/>
      <c r="D247" s="312"/>
      <c r="E247" s="312"/>
      <c r="F247" s="312"/>
      <c r="G247" s="312"/>
      <c r="H247" s="312"/>
      <c r="I247" s="312"/>
      <c r="J247" s="312"/>
      <c r="K247" s="312"/>
      <c r="L247" s="312"/>
      <c r="M247" s="312"/>
      <c r="N247" s="312"/>
      <c r="O247" s="323"/>
    </row>
    <row r="248" spans="1:15" ht="13.5" customHeight="1">
      <c r="A248" s="312"/>
      <c r="B248" s="312"/>
      <c r="C248" s="312"/>
      <c r="D248" s="312"/>
      <c r="E248" s="312"/>
      <c r="F248" s="312"/>
      <c r="G248" s="312"/>
      <c r="H248" s="312"/>
      <c r="I248" s="312"/>
      <c r="J248" s="312"/>
      <c r="K248" s="312"/>
      <c r="L248" s="312"/>
      <c r="M248" s="312"/>
      <c r="N248" s="312"/>
      <c r="O248" s="323"/>
    </row>
    <row r="249" spans="1:15" ht="13.5" customHeight="1">
      <c r="A249" s="312"/>
      <c r="B249" s="312"/>
      <c r="C249" s="312"/>
      <c r="D249" s="312"/>
      <c r="E249" s="312"/>
      <c r="F249" s="312"/>
      <c r="G249" s="312"/>
      <c r="H249" s="312"/>
      <c r="I249" s="312"/>
      <c r="J249" s="312"/>
      <c r="K249" s="312"/>
      <c r="L249" s="312"/>
      <c r="M249" s="312"/>
      <c r="N249" s="312"/>
      <c r="O249" s="323"/>
    </row>
    <row r="250" spans="1:15" ht="13.5" customHeight="1">
      <c r="A250" s="312"/>
      <c r="B250" s="312"/>
      <c r="C250" s="312"/>
      <c r="D250" s="312"/>
      <c r="E250" s="312"/>
      <c r="F250" s="312"/>
      <c r="G250" s="312"/>
      <c r="H250" s="312"/>
      <c r="I250" s="312"/>
      <c r="J250" s="312"/>
      <c r="K250" s="312"/>
      <c r="L250" s="312"/>
      <c r="M250" s="312"/>
      <c r="N250" s="312"/>
      <c r="O250" s="323"/>
    </row>
    <row r="251" spans="1:15" ht="13.5" customHeight="1">
      <c r="A251" s="312"/>
      <c r="B251" s="312"/>
      <c r="C251" s="312"/>
      <c r="D251" s="312"/>
      <c r="E251" s="312"/>
      <c r="F251" s="312"/>
      <c r="G251" s="312"/>
      <c r="H251" s="312"/>
      <c r="I251" s="312"/>
      <c r="J251" s="312"/>
      <c r="K251" s="312"/>
      <c r="L251" s="312"/>
      <c r="M251" s="312"/>
      <c r="N251" s="312"/>
      <c r="O251" s="323"/>
    </row>
    <row r="252" spans="1:15" ht="13.5" customHeight="1">
      <c r="A252" s="312"/>
      <c r="B252" s="312"/>
      <c r="C252" s="312"/>
      <c r="D252" s="312"/>
      <c r="E252" s="312"/>
      <c r="F252" s="312"/>
      <c r="G252" s="312"/>
      <c r="H252" s="312"/>
      <c r="I252" s="312"/>
      <c r="J252" s="312"/>
      <c r="K252" s="312"/>
      <c r="L252" s="312"/>
      <c r="M252" s="312"/>
      <c r="N252" s="312"/>
      <c r="O252" s="323"/>
    </row>
    <row r="253" spans="1:15" ht="13.5" customHeight="1">
      <c r="A253" s="312"/>
      <c r="B253" s="312"/>
      <c r="C253" s="312"/>
      <c r="D253" s="312"/>
      <c r="E253" s="312"/>
      <c r="F253" s="312"/>
      <c r="G253" s="312"/>
      <c r="H253" s="312"/>
      <c r="I253" s="312"/>
      <c r="J253" s="312"/>
      <c r="K253" s="312"/>
      <c r="L253" s="312"/>
      <c r="M253" s="312"/>
      <c r="N253" s="312"/>
      <c r="O253" s="323"/>
    </row>
    <row r="254" spans="1:15" ht="13.5" customHeight="1">
      <c r="A254" s="312"/>
      <c r="B254" s="312"/>
      <c r="C254" s="312"/>
      <c r="D254" s="312"/>
      <c r="E254" s="312"/>
      <c r="F254" s="312"/>
      <c r="G254" s="312"/>
      <c r="H254" s="312"/>
      <c r="I254" s="312"/>
      <c r="J254" s="312"/>
      <c r="K254" s="312"/>
      <c r="L254" s="312"/>
      <c r="M254" s="312"/>
      <c r="N254" s="312"/>
      <c r="O254" s="323"/>
    </row>
    <row r="255" spans="1:15" ht="13.5" customHeight="1">
      <c r="A255" s="312"/>
      <c r="B255" s="312"/>
      <c r="C255" s="312"/>
      <c r="D255" s="312"/>
      <c r="E255" s="312"/>
      <c r="F255" s="312"/>
      <c r="G255" s="312"/>
      <c r="H255" s="312"/>
      <c r="I255" s="312"/>
      <c r="J255" s="312"/>
      <c r="K255" s="312"/>
      <c r="L255" s="312"/>
      <c r="M255" s="312"/>
      <c r="N255" s="312"/>
      <c r="O255" s="323"/>
    </row>
    <row r="256" spans="1:15" ht="13.5" customHeight="1">
      <c r="A256" s="312"/>
      <c r="B256" s="312"/>
      <c r="C256" s="312"/>
      <c r="D256" s="312"/>
      <c r="E256" s="312"/>
      <c r="F256" s="312"/>
      <c r="G256" s="312"/>
      <c r="H256" s="312"/>
      <c r="I256" s="312"/>
      <c r="J256" s="312"/>
      <c r="K256" s="312"/>
      <c r="L256" s="312"/>
      <c r="M256" s="312"/>
      <c r="N256" s="312"/>
      <c r="O256" s="323"/>
    </row>
    <row r="257" spans="1:15" ht="13.5" customHeight="1">
      <c r="A257" s="312"/>
      <c r="B257" s="312"/>
      <c r="C257" s="312"/>
      <c r="D257" s="312"/>
      <c r="E257" s="312"/>
      <c r="F257" s="312"/>
      <c r="G257" s="312"/>
      <c r="H257" s="312"/>
      <c r="I257" s="312"/>
      <c r="J257" s="312"/>
      <c r="K257" s="312"/>
      <c r="L257" s="312"/>
      <c r="M257" s="312"/>
      <c r="N257" s="312"/>
      <c r="O257" s="323"/>
    </row>
    <row r="258" spans="1:15" ht="13.5" customHeight="1">
      <c r="A258" s="312"/>
      <c r="B258" s="312"/>
      <c r="C258" s="312"/>
      <c r="D258" s="312"/>
      <c r="E258" s="312"/>
      <c r="F258" s="312"/>
      <c r="G258" s="312"/>
      <c r="H258" s="312"/>
      <c r="I258" s="312"/>
      <c r="J258" s="312"/>
      <c r="K258" s="312"/>
      <c r="L258" s="312"/>
      <c r="M258" s="312"/>
      <c r="N258" s="312"/>
      <c r="O258" s="323"/>
    </row>
    <row r="259" spans="1:15" ht="13.5" customHeight="1">
      <c r="A259" s="312"/>
      <c r="B259" s="312"/>
      <c r="C259" s="312"/>
      <c r="D259" s="312"/>
      <c r="E259" s="312"/>
      <c r="F259" s="312"/>
      <c r="G259" s="312"/>
      <c r="H259" s="312"/>
      <c r="I259" s="312"/>
      <c r="J259" s="312"/>
      <c r="K259" s="312"/>
      <c r="L259" s="312"/>
      <c r="M259" s="312"/>
      <c r="N259" s="312"/>
      <c r="O259" s="323"/>
    </row>
    <row r="260" spans="1:15" ht="13.5" customHeight="1">
      <c r="A260" s="312"/>
      <c r="B260" s="312"/>
      <c r="C260" s="312"/>
      <c r="D260" s="312"/>
      <c r="E260" s="312"/>
      <c r="F260" s="312"/>
      <c r="G260" s="312"/>
      <c r="H260" s="312"/>
      <c r="I260" s="312"/>
      <c r="J260" s="312"/>
      <c r="K260" s="312"/>
      <c r="L260" s="312"/>
      <c r="M260" s="312"/>
      <c r="N260" s="312"/>
      <c r="O260" s="323"/>
    </row>
    <row r="261" spans="1:15" ht="13.5" customHeight="1">
      <c r="A261" s="312"/>
      <c r="B261" s="312"/>
      <c r="C261" s="312"/>
      <c r="D261" s="312"/>
      <c r="E261" s="312"/>
      <c r="F261" s="312"/>
      <c r="G261" s="312"/>
      <c r="H261" s="312"/>
      <c r="I261" s="312"/>
      <c r="J261" s="312"/>
      <c r="K261" s="312"/>
      <c r="L261" s="312"/>
      <c r="M261" s="312"/>
      <c r="N261" s="312"/>
      <c r="O261" s="323"/>
    </row>
    <row r="262" spans="1:15" ht="13.5" customHeight="1">
      <c r="A262" s="312"/>
      <c r="B262" s="312"/>
      <c r="C262" s="312"/>
      <c r="D262" s="312"/>
      <c r="E262" s="312"/>
      <c r="F262" s="312"/>
      <c r="G262" s="312"/>
      <c r="H262" s="312"/>
      <c r="I262" s="312"/>
      <c r="J262" s="312"/>
      <c r="K262" s="312"/>
      <c r="L262" s="312"/>
      <c r="M262" s="312"/>
      <c r="N262" s="312"/>
      <c r="O262" s="323"/>
    </row>
    <row r="263" spans="1:15" ht="13.5" customHeight="1">
      <c r="A263" s="312"/>
      <c r="B263" s="312"/>
      <c r="C263" s="312"/>
      <c r="D263" s="312"/>
      <c r="E263" s="312"/>
      <c r="F263" s="312"/>
      <c r="G263" s="312"/>
      <c r="H263" s="312"/>
      <c r="I263" s="312"/>
      <c r="J263" s="312"/>
      <c r="K263" s="312"/>
      <c r="L263" s="312"/>
      <c r="M263" s="312"/>
      <c r="N263" s="312"/>
      <c r="O263" s="323"/>
    </row>
    <row r="264" spans="1:15" ht="13.5" customHeight="1">
      <c r="A264" s="312"/>
      <c r="B264" s="312"/>
      <c r="C264" s="312"/>
      <c r="D264" s="312"/>
      <c r="E264" s="312"/>
      <c r="F264" s="312"/>
      <c r="G264" s="312"/>
      <c r="H264" s="312"/>
      <c r="I264" s="312"/>
      <c r="J264" s="312"/>
      <c r="K264" s="312"/>
      <c r="L264" s="312"/>
      <c r="M264" s="312"/>
      <c r="N264" s="312"/>
      <c r="O264" s="323"/>
    </row>
    <row r="265" spans="1:15" ht="13.5" customHeight="1">
      <c r="A265" s="312"/>
      <c r="B265" s="312"/>
      <c r="C265" s="312"/>
      <c r="D265" s="312"/>
      <c r="E265" s="312"/>
      <c r="F265" s="312"/>
      <c r="G265" s="312"/>
      <c r="H265" s="312"/>
      <c r="I265" s="312"/>
      <c r="J265" s="312"/>
      <c r="K265" s="312"/>
      <c r="L265" s="312"/>
      <c r="M265" s="312"/>
      <c r="N265" s="312"/>
      <c r="O265" s="323"/>
    </row>
    <row r="266" spans="1:15" ht="13.5" customHeight="1">
      <c r="A266" s="312"/>
      <c r="B266" s="312"/>
      <c r="C266" s="312"/>
      <c r="D266" s="312"/>
      <c r="E266" s="312"/>
      <c r="F266" s="312"/>
      <c r="G266" s="312"/>
      <c r="H266" s="312"/>
      <c r="I266" s="312"/>
      <c r="J266" s="312"/>
      <c r="K266" s="312"/>
      <c r="L266" s="312"/>
      <c r="M266" s="312"/>
      <c r="N266" s="312"/>
      <c r="O266" s="323"/>
    </row>
    <row r="267" spans="1:15" ht="13.5" customHeight="1">
      <c r="A267" s="312"/>
      <c r="B267" s="312"/>
      <c r="C267" s="312"/>
      <c r="D267" s="312"/>
      <c r="E267" s="312"/>
      <c r="F267" s="312"/>
      <c r="G267" s="312"/>
      <c r="H267" s="312"/>
      <c r="I267" s="312"/>
      <c r="J267" s="312"/>
      <c r="K267" s="312"/>
      <c r="L267" s="312"/>
      <c r="M267" s="312"/>
      <c r="N267" s="312"/>
      <c r="O267" s="323"/>
    </row>
    <row r="268" spans="1:15" ht="13.5" customHeight="1">
      <c r="A268" s="312"/>
      <c r="B268" s="312"/>
      <c r="C268" s="312"/>
      <c r="D268" s="312"/>
      <c r="E268" s="312"/>
      <c r="F268" s="312"/>
      <c r="G268" s="312"/>
      <c r="H268" s="312"/>
      <c r="I268" s="312"/>
      <c r="J268" s="312"/>
      <c r="K268" s="312"/>
      <c r="L268" s="312"/>
      <c r="M268" s="312"/>
      <c r="N268" s="312"/>
      <c r="O268" s="323"/>
    </row>
  </sheetData>
  <sheetProtection/>
  <mergeCells count="1">
    <mergeCell ref="A3:O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4" r:id="rId1"/>
  <headerFooter alignWithMargins="0">
    <oddHeader>&amp;L16. melléklet a 2014. évi 2/2014.(I.24.) Önkormányzati költségvetési rendelethez</oddHeader>
  </headerFooter>
  <rowBreaks count="1" manualBreakCount="1">
    <brk id="2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5">
      <selection activeCell="K36" sqref="K36"/>
    </sheetView>
  </sheetViews>
  <sheetFormatPr defaultColWidth="9.140625" defaultRowHeight="12.75"/>
  <cols>
    <col min="1" max="1" width="3.7109375" style="0" customWidth="1"/>
    <col min="2" max="2" width="4.8515625" style="0" bestFit="1" customWidth="1"/>
    <col min="3" max="3" width="44.57421875" style="0" customWidth="1"/>
  </cols>
  <sheetData>
    <row r="1" spans="15:16" ht="12.75">
      <c r="O1" s="716"/>
      <c r="P1" s="716"/>
    </row>
    <row r="2" spans="2:16" ht="15.75">
      <c r="B2" s="717" t="s">
        <v>296</v>
      </c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</row>
    <row r="3" spans="2:16" ht="15.75">
      <c r="B3" s="717" t="s">
        <v>437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</row>
    <row r="4" spans="2:16" ht="15.75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</row>
    <row r="5" spans="2:16" ht="15.75">
      <c r="B5" s="719" t="s">
        <v>337</v>
      </c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</row>
    <row r="6" spans="2:16" ht="15.75">
      <c r="B6" s="422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279" t="s">
        <v>297</v>
      </c>
    </row>
    <row r="7" spans="1:16" s="181" customFormat="1" ht="16.5" thickBot="1">
      <c r="A7" s="181" t="s">
        <v>11</v>
      </c>
      <c r="B7" s="437" t="s">
        <v>362</v>
      </c>
      <c r="C7" s="438" t="s">
        <v>13</v>
      </c>
      <c r="D7" s="438" t="s">
        <v>14</v>
      </c>
      <c r="E7" s="438" t="s">
        <v>15</v>
      </c>
      <c r="F7" s="438" t="s">
        <v>16</v>
      </c>
      <c r="G7" s="438" t="s">
        <v>17</v>
      </c>
      <c r="H7" s="438" t="s">
        <v>18</v>
      </c>
      <c r="I7" s="438" t="s">
        <v>59</v>
      </c>
      <c r="J7" s="438" t="s">
        <v>369</v>
      </c>
      <c r="K7" s="438" t="s">
        <v>363</v>
      </c>
      <c r="L7" s="438" t="s">
        <v>364</v>
      </c>
      <c r="M7" s="438" t="s">
        <v>366</v>
      </c>
      <c r="N7" s="438" t="s">
        <v>370</v>
      </c>
      <c r="O7" s="438" t="s">
        <v>371</v>
      </c>
      <c r="P7" s="438" t="s">
        <v>372</v>
      </c>
    </row>
    <row r="8" spans="1:16" ht="24.75" thickBot="1">
      <c r="A8" t="s">
        <v>20</v>
      </c>
      <c r="B8" s="280" t="s">
        <v>298</v>
      </c>
      <c r="C8" s="281" t="s">
        <v>63</v>
      </c>
      <c r="D8" s="281" t="s">
        <v>299</v>
      </c>
      <c r="E8" s="281" t="s">
        <v>300</v>
      </c>
      <c r="F8" s="281" t="s">
        <v>301</v>
      </c>
      <c r="G8" s="281" t="s">
        <v>302</v>
      </c>
      <c r="H8" s="281" t="s">
        <v>303</v>
      </c>
      <c r="I8" s="281" t="s">
        <v>304</v>
      </c>
      <c r="J8" s="281" t="s">
        <v>305</v>
      </c>
      <c r="K8" s="281" t="s">
        <v>306</v>
      </c>
      <c r="L8" s="281" t="s">
        <v>307</v>
      </c>
      <c r="M8" s="281" t="s">
        <v>308</v>
      </c>
      <c r="N8" s="281" t="s">
        <v>309</v>
      </c>
      <c r="O8" s="281" t="s">
        <v>310</v>
      </c>
      <c r="P8" s="282" t="s">
        <v>311</v>
      </c>
    </row>
    <row r="9" spans="1:16" ht="13.5" thickBot="1">
      <c r="A9" t="s">
        <v>21</v>
      </c>
      <c r="B9" s="283" t="s">
        <v>20</v>
      </c>
      <c r="C9" s="712" t="s">
        <v>93</v>
      </c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4"/>
    </row>
    <row r="10" spans="1:16" ht="12.75">
      <c r="A10" t="s">
        <v>22</v>
      </c>
      <c r="B10" s="286" t="s">
        <v>21</v>
      </c>
      <c r="C10" s="287" t="s">
        <v>312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9">
        <f>SUM(D10:O10)</f>
        <v>0</v>
      </c>
    </row>
    <row r="11" spans="1:16" ht="12.75">
      <c r="A11" t="s">
        <v>23</v>
      </c>
      <c r="B11" s="290" t="s">
        <v>22</v>
      </c>
      <c r="C11" s="291" t="s">
        <v>313</v>
      </c>
      <c r="D11" s="292">
        <v>175</v>
      </c>
      <c r="E11" s="292">
        <f>+D11</f>
        <v>175</v>
      </c>
      <c r="F11" s="292">
        <f aca="true" t="shared" si="0" ref="F11:O11">+E11</f>
        <v>175</v>
      </c>
      <c r="G11" s="292">
        <f t="shared" si="0"/>
        <v>175</v>
      </c>
      <c r="H11" s="292">
        <f t="shared" si="0"/>
        <v>175</v>
      </c>
      <c r="I11" s="292">
        <f t="shared" si="0"/>
        <v>175</v>
      </c>
      <c r="J11" s="292">
        <f t="shared" si="0"/>
        <v>175</v>
      </c>
      <c r="K11" s="292">
        <f t="shared" si="0"/>
        <v>175</v>
      </c>
      <c r="L11" s="292">
        <f t="shared" si="0"/>
        <v>175</v>
      </c>
      <c r="M11" s="292">
        <f t="shared" si="0"/>
        <v>175</v>
      </c>
      <c r="N11" s="292">
        <f t="shared" si="0"/>
        <v>175</v>
      </c>
      <c r="O11" s="292">
        <f t="shared" si="0"/>
        <v>175</v>
      </c>
      <c r="P11" s="293">
        <f aca="true" t="shared" si="1" ref="P11:P17">SUM(D11:O11)</f>
        <v>2100</v>
      </c>
    </row>
    <row r="12" spans="1:16" ht="12.75">
      <c r="A12" t="s">
        <v>24</v>
      </c>
      <c r="B12" s="290" t="s">
        <v>23</v>
      </c>
      <c r="C12" s="294" t="s">
        <v>314</v>
      </c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3">
        <f t="shared" si="1"/>
        <v>0</v>
      </c>
    </row>
    <row r="13" spans="1:16" ht="12.75">
      <c r="A13" t="s">
        <v>25</v>
      </c>
      <c r="B13" s="290" t="s">
        <v>24</v>
      </c>
      <c r="C13" s="291" t="s">
        <v>315</v>
      </c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3">
        <f>SUM(D13:O13)</f>
        <v>0</v>
      </c>
    </row>
    <row r="14" spans="1:16" ht="12.75">
      <c r="A14" t="s">
        <v>26</v>
      </c>
      <c r="B14" s="290" t="s">
        <v>25</v>
      </c>
      <c r="C14" s="291" t="s">
        <v>316</v>
      </c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3">
        <f t="shared" si="1"/>
        <v>0</v>
      </c>
    </row>
    <row r="15" spans="1:16" ht="12.75">
      <c r="A15" t="s">
        <v>27</v>
      </c>
      <c r="B15" s="290" t="s">
        <v>26</v>
      </c>
      <c r="C15" s="291" t="s">
        <v>317</v>
      </c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3">
        <f t="shared" si="1"/>
        <v>0</v>
      </c>
    </row>
    <row r="16" spans="1:16" ht="12.75">
      <c r="A16" t="s">
        <v>28</v>
      </c>
      <c r="B16" s="290" t="s">
        <v>27</v>
      </c>
      <c r="C16" s="291" t="s">
        <v>318</v>
      </c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3">
        <f t="shared" si="1"/>
        <v>0</v>
      </c>
    </row>
    <row r="17" spans="1:16" ht="12.75">
      <c r="A17" t="s">
        <v>29</v>
      </c>
      <c r="B17" s="290" t="s">
        <v>28</v>
      </c>
      <c r="C17" s="296" t="s">
        <v>319</v>
      </c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3">
        <f t="shared" si="1"/>
        <v>0</v>
      </c>
    </row>
    <row r="18" spans="1:16" ht="13.5" thickBot="1">
      <c r="A18" t="s">
        <v>30</v>
      </c>
      <c r="B18" s="290" t="s">
        <v>29</v>
      </c>
      <c r="C18" s="291" t="s">
        <v>220</v>
      </c>
      <c r="D18" s="292">
        <f>+D32-D10-D11-D12-D13-D14-D15-D16-D17</f>
        <v>22879</v>
      </c>
      <c r="E18" s="292">
        <f aca="true" t="shared" si="2" ref="E18:O18">+E32-E10-E11-E12-E13-E14-E15-E16-E17</f>
        <v>23879</v>
      </c>
      <c r="F18" s="292">
        <f t="shared" si="2"/>
        <v>23957</v>
      </c>
      <c r="G18" s="292">
        <f t="shared" si="2"/>
        <v>22163</v>
      </c>
      <c r="H18" s="292">
        <f t="shared" si="2"/>
        <v>22900</v>
      </c>
      <c r="I18" s="292">
        <f t="shared" si="2"/>
        <v>22900</v>
      </c>
      <c r="J18" s="292">
        <f t="shared" si="2"/>
        <v>23663</v>
      </c>
      <c r="K18" s="292">
        <f t="shared" si="2"/>
        <v>23663</v>
      </c>
      <c r="L18" s="292">
        <f t="shared" si="2"/>
        <v>22748</v>
      </c>
      <c r="M18" s="292">
        <f t="shared" si="2"/>
        <v>24461</v>
      </c>
      <c r="N18" s="292">
        <f t="shared" si="2"/>
        <v>22900</v>
      </c>
      <c r="O18" s="292">
        <f t="shared" si="2"/>
        <v>22719</v>
      </c>
      <c r="P18" s="297">
        <f>SUM(D18:O18)</f>
        <v>278832</v>
      </c>
    </row>
    <row r="19" spans="1:16" ht="13.5" thickBot="1">
      <c r="A19" t="s">
        <v>31</v>
      </c>
      <c r="B19" s="283" t="s">
        <v>30</v>
      </c>
      <c r="C19" s="298" t="s">
        <v>320</v>
      </c>
      <c r="D19" s="299">
        <f>SUM(D10:D18)</f>
        <v>23054</v>
      </c>
      <c r="E19" s="299">
        <f aca="true" t="shared" si="3" ref="E19:O19">SUM(E10:E18)</f>
        <v>24054</v>
      </c>
      <c r="F19" s="299">
        <f t="shared" si="3"/>
        <v>24132</v>
      </c>
      <c r="G19" s="299">
        <f t="shared" si="3"/>
        <v>22338</v>
      </c>
      <c r="H19" s="299">
        <f t="shared" si="3"/>
        <v>23075</v>
      </c>
      <c r="I19" s="299">
        <f t="shared" si="3"/>
        <v>23075</v>
      </c>
      <c r="J19" s="299">
        <f t="shared" si="3"/>
        <v>23838</v>
      </c>
      <c r="K19" s="299">
        <f t="shared" si="3"/>
        <v>23838</v>
      </c>
      <c r="L19" s="299">
        <f t="shared" si="3"/>
        <v>22923</v>
      </c>
      <c r="M19" s="299">
        <f t="shared" si="3"/>
        <v>24636</v>
      </c>
      <c r="N19" s="299">
        <f t="shared" si="3"/>
        <v>23075</v>
      </c>
      <c r="O19" s="299">
        <f t="shared" si="3"/>
        <v>22894</v>
      </c>
      <c r="P19" s="299">
        <f>SUM(P10:P18)</f>
        <v>280932</v>
      </c>
    </row>
    <row r="20" spans="1:16" ht="13.5" thickBot="1">
      <c r="A20" t="s">
        <v>32</v>
      </c>
      <c r="B20" s="283" t="s">
        <v>31</v>
      </c>
      <c r="C20" s="712"/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5"/>
    </row>
    <row r="21" spans="1:16" ht="12.75">
      <c r="A21" t="s">
        <v>33</v>
      </c>
      <c r="B21" s="301" t="s">
        <v>32</v>
      </c>
      <c r="C21" s="302" t="s">
        <v>213</v>
      </c>
      <c r="D21" s="295">
        <v>8423</v>
      </c>
      <c r="E21" s="295">
        <f>+D21+350+130+420</f>
        <v>9323</v>
      </c>
      <c r="F21" s="295">
        <f>7879+1051+130+420</f>
        <v>9480</v>
      </c>
      <c r="G21" s="295">
        <f>7136+130+420</f>
        <v>7686</v>
      </c>
      <c r="H21" s="295">
        <v>8423</v>
      </c>
      <c r="I21" s="295">
        <f>+H21</f>
        <v>8423</v>
      </c>
      <c r="J21" s="295">
        <f>+G21+1500</f>
        <v>9186</v>
      </c>
      <c r="K21" s="295">
        <f>+J21</f>
        <v>9186</v>
      </c>
      <c r="L21" s="295">
        <f>+G21+585</f>
        <v>8271</v>
      </c>
      <c r="M21" s="295">
        <f>+G21+4971-3464</f>
        <v>9193</v>
      </c>
      <c r="N21" s="295">
        <f>+H21</f>
        <v>8423</v>
      </c>
      <c r="O21" s="295">
        <f>+N21</f>
        <v>8423</v>
      </c>
      <c r="P21" s="303">
        <f>SUM(D21:O21)</f>
        <v>104440</v>
      </c>
    </row>
    <row r="22" spans="1:16" ht="12.75">
      <c r="A22" t="s">
        <v>34</v>
      </c>
      <c r="B22" s="290" t="s">
        <v>33</v>
      </c>
      <c r="C22" s="296" t="s">
        <v>321</v>
      </c>
      <c r="D22" s="292">
        <v>2251</v>
      </c>
      <c r="E22" s="292">
        <f>+D22+100</f>
        <v>2351</v>
      </c>
      <c r="F22" s="292">
        <f>2140+32+100</f>
        <v>2272</v>
      </c>
      <c r="G22" s="292">
        <f>+F22</f>
        <v>2272</v>
      </c>
      <c r="H22" s="292">
        <f>+G22</f>
        <v>2272</v>
      </c>
      <c r="I22" s="292">
        <f>+H22</f>
        <v>2272</v>
      </c>
      <c r="J22" s="292">
        <f>+I22</f>
        <v>2272</v>
      </c>
      <c r="K22" s="292">
        <f>+J22</f>
        <v>2272</v>
      </c>
      <c r="L22" s="292">
        <f>+K22</f>
        <v>2272</v>
      </c>
      <c r="M22" s="292">
        <f>+L22+791</f>
        <v>3063</v>
      </c>
      <c r="N22" s="292">
        <f>+K22</f>
        <v>2272</v>
      </c>
      <c r="O22" s="292">
        <f>+N22+2-192</f>
        <v>2082</v>
      </c>
      <c r="P22" s="303">
        <f aca="true" t="shared" si="4" ref="P22:P30">SUM(D22:O22)</f>
        <v>27923</v>
      </c>
    </row>
    <row r="23" spans="1:16" ht="12.75">
      <c r="A23" t="s">
        <v>35</v>
      </c>
      <c r="B23" s="290" t="s">
        <v>34</v>
      </c>
      <c r="C23" s="291" t="s">
        <v>249</v>
      </c>
      <c r="D23" s="292">
        <v>2945</v>
      </c>
      <c r="E23" s="292">
        <f>+D23</f>
        <v>2945</v>
      </c>
      <c r="F23" s="292">
        <f aca="true" t="shared" si="5" ref="F23:N23">+E23</f>
        <v>2945</v>
      </c>
      <c r="G23" s="292">
        <f t="shared" si="5"/>
        <v>2945</v>
      </c>
      <c r="H23" s="292">
        <f t="shared" si="5"/>
        <v>2945</v>
      </c>
      <c r="I23" s="292">
        <f t="shared" si="5"/>
        <v>2945</v>
      </c>
      <c r="J23" s="292">
        <f t="shared" si="5"/>
        <v>2945</v>
      </c>
      <c r="K23" s="292">
        <f t="shared" si="5"/>
        <v>2945</v>
      </c>
      <c r="L23" s="292">
        <f t="shared" si="5"/>
        <v>2945</v>
      </c>
      <c r="M23" s="292">
        <f t="shared" si="5"/>
        <v>2945</v>
      </c>
      <c r="N23" s="292">
        <f t="shared" si="5"/>
        <v>2945</v>
      </c>
      <c r="O23" s="292">
        <f>+N23+4</f>
        <v>2949</v>
      </c>
      <c r="P23" s="303">
        <f t="shared" si="4"/>
        <v>35344</v>
      </c>
    </row>
    <row r="24" spans="1:16" ht="12.75">
      <c r="A24" t="s">
        <v>36</v>
      </c>
      <c r="B24" s="290" t="s">
        <v>35</v>
      </c>
      <c r="C24" s="291" t="s">
        <v>322</v>
      </c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303">
        <f t="shared" si="4"/>
        <v>0</v>
      </c>
    </row>
    <row r="25" spans="1:16" ht="12.75">
      <c r="A25" t="s">
        <v>37</v>
      </c>
      <c r="B25" s="290" t="s">
        <v>36</v>
      </c>
      <c r="C25" s="291" t="s">
        <v>323</v>
      </c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303">
        <f t="shared" si="4"/>
        <v>0</v>
      </c>
    </row>
    <row r="26" spans="1:16" ht="12.75">
      <c r="A26" t="s">
        <v>40</v>
      </c>
      <c r="B26" s="290" t="s">
        <v>37</v>
      </c>
      <c r="C26" s="291" t="s">
        <v>324</v>
      </c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303">
        <f t="shared" si="4"/>
        <v>0</v>
      </c>
    </row>
    <row r="27" spans="1:16" ht="12.75">
      <c r="A27" t="s">
        <v>42</v>
      </c>
      <c r="B27" s="290" t="s">
        <v>40</v>
      </c>
      <c r="C27" s="296" t="s">
        <v>325</v>
      </c>
      <c r="D27" s="292">
        <v>9435</v>
      </c>
      <c r="E27" s="292">
        <f>+D27</f>
        <v>9435</v>
      </c>
      <c r="F27" s="292">
        <f aca="true" t="shared" si="6" ref="F27:N27">+E27</f>
        <v>9435</v>
      </c>
      <c r="G27" s="292">
        <f t="shared" si="6"/>
        <v>9435</v>
      </c>
      <c r="H27" s="292">
        <f t="shared" si="6"/>
        <v>9435</v>
      </c>
      <c r="I27" s="292">
        <f t="shared" si="6"/>
        <v>9435</v>
      </c>
      <c r="J27" s="292">
        <f t="shared" si="6"/>
        <v>9435</v>
      </c>
      <c r="K27" s="292">
        <f t="shared" si="6"/>
        <v>9435</v>
      </c>
      <c r="L27" s="292">
        <f t="shared" si="6"/>
        <v>9435</v>
      </c>
      <c r="M27" s="292">
        <f t="shared" si="6"/>
        <v>9435</v>
      </c>
      <c r="N27" s="292">
        <f t="shared" si="6"/>
        <v>9435</v>
      </c>
      <c r="O27" s="292">
        <f>+N27-4+9</f>
        <v>9440</v>
      </c>
      <c r="P27" s="303">
        <f>SUM(D27:O27)</f>
        <v>113225</v>
      </c>
    </row>
    <row r="28" spans="1:16" ht="12.75">
      <c r="A28" t="s">
        <v>43</v>
      </c>
      <c r="B28" s="290" t="s">
        <v>42</v>
      </c>
      <c r="C28" s="291" t="s">
        <v>326</v>
      </c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303">
        <f t="shared" si="4"/>
        <v>0</v>
      </c>
    </row>
    <row r="29" spans="1:16" ht="12.75">
      <c r="A29" t="s">
        <v>44</v>
      </c>
      <c r="B29" s="290" t="s">
        <v>43</v>
      </c>
      <c r="C29" s="291" t="s">
        <v>327</v>
      </c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303">
        <f t="shared" si="4"/>
        <v>0</v>
      </c>
    </row>
    <row r="30" spans="1:16" ht="12.75">
      <c r="A30" t="s">
        <v>45</v>
      </c>
      <c r="B30" s="290" t="s">
        <v>44</v>
      </c>
      <c r="C30" s="291" t="s">
        <v>328</v>
      </c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303">
        <f t="shared" si="4"/>
        <v>0</v>
      </c>
    </row>
    <row r="31" spans="1:16" ht="13.5" thickBot="1">
      <c r="A31" t="s">
        <v>46</v>
      </c>
      <c r="B31" s="290" t="s">
        <v>45</v>
      </c>
      <c r="C31" s="291" t="s">
        <v>329</v>
      </c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303">
        <f>SUM(D31:O31)</f>
        <v>0</v>
      </c>
    </row>
    <row r="32" spans="1:16" ht="13.5" thickBot="1">
      <c r="A32" t="s">
        <v>47</v>
      </c>
      <c r="B32" s="304" t="s">
        <v>46</v>
      </c>
      <c r="C32" s="298" t="s">
        <v>330</v>
      </c>
      <c r="D32" s="299">
        <f>SUM(D21:D31)</f>
        <v>23054</v>
      </c>
      <c r="E32" s="299">
        <f aca="true" t="shared" si="7" ref="E32:O32">SUM(E21:E31)</f>
        <v>24054</v>
      </c>
      <c r="F32" s="299">
        <f t="shared" si="7"/>
        <v>24132</v>
      </c>
      <c r="G32" s="299">
        <f t="shared" si="7"/>
        <v>22338</v>
      </c>
      <c r="H32" s="299">
        <f t="shared" si="7"/>
        <v>23075</v>
      </c>
      <c r="I32" s="299">
        <f t="shared" si="7"/>
        <v>23075</v>
      </c>
      <c r="J32" s="299">
        <f t="shared" si="7"/>
        <v>23838</v>
      </c>
      <c r="K32" s="299">
        <f t="shared" si="7"/>
        <v>23838</v>
      </c>
      <c r="L32" s="299">
        <f t="shared" si="7"/>
        <v>22923</v>
      </c>
      <c r="M32" s="299">
        <f t="shared" si="7"/>
        <v>24636</v>
      </c>
      <c r="N32" s="299">
        <f t="shared" si="7"/>
        <v>23075</v>
      </c>
      <c r="O32" s="299">
        <f t="shared" si="7"/>
        <v>22894</v>
      </c>
      <c r="P32" s="299">
        <f>SUM(P21:P31)</f>
        <v>280932</v>
      </c>
    </row>
    <row r="33" spans="1:16" ht="13.5" thickBot="1">
      <c r="A33" t="s">
        <v>48</v>
      </c>
      <c r="B33" s="304" t="s">
        <v>47</v>
      </c>
      <c r="C33" s="306" t="s">
        <v>331</v>
      </c>
      <c r="D33" s="307">
        <f>+D19-D32</f>
        <v>0</v>
      </c>
      <c r="E33" s="307">
        <f aca="true" t="shared" si="8" ref="E33:P33">+E19-E32</f>
        <v>0</v>
      </c>
      <c r="F33" s="307">
        <f t="shared" si="8"/>
        <v>0</v>
      </c>
      <c r="G33" s="307">
        <f t="shared" si="8"/>
        <v>0</v>
      </c>
      <c r="H33" s="307">
        <f t="shared" si="8"/>
        <v>0</v>
      </c>
      <c r="I33" s="307">
        <f t="shared" si="8"/>
        <v>0</v>
      </c>
      <c r="J33" s="307">
        <f t="shared" si="8"/>
        <v>0</v>
      </c>
      <c r="K33" s="307">
        <f t="shared" si="8"/>
        <v>0</v>
      </c>
      <c r="L33" s="307">
        <f t="shared" si="8"/>
        <v>0</v>
      </c>
      <c r="M33" s="307">
        <f t="shared" si="8"/>
        <v>0</v>
      </c>
      <c r="N33" s="307">
        <f t="shared" si="8"/>
        <v>0</v>
      </c>
      <c r="O33" s="307">
        <f t="shared" si="8"/>
        <v>0</v>
      </c>
      <c r="P33" s="307">
        <f t="shared" si="8"/>
        <v>0</v>
      </c>
    </row>
    <row r="34" spans="2:16" ht="15.75">
      <c r="B34" s="30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421"/>
    </row>
    <row r="35" spans="2:16" ht="15.75">
      <c r="B35" s="277"/>
      <c r="C35" s="309"/>
      <c r="D35" s="310"/>
      <c r="E35" s="310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7"/>
    </row>
  </sheetData>
  <sheetProtection/>
  <mergeCells count="6">
    <mergeCell ref="C9:P9"/>
    <mergeCell ref="C20:P20"/>
    <mergeCell ref="O1:P1"/>
    <mergeCell ref="B2:P2"/>
    <mergeCell ref="B3:P3"/>
    <mergeCell ref="B5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&amp;L17. melléklet a 2014. évi 2/2014.(I.24.) Önkormányzati költségvetési rendelethez</oddHeader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6">
      <selection activeCell="H36" sqref="H36:I36"/>
    </sheetView>
  </sheetViews>
  <sheetFormatPr defaultColWidth="9.140625" defaultRowHeight="12.75"/>
  <cols>
    <col min="1" max="1" width="3.421875" style="0" customWidth="1"/>
    <col min="2" max="2" width="4.8515625" style="0" bestFit="1" customWidth="1"/>
    <col min="3" max="3" width="35.57421875" style="0" customWidth="1"/>
  </cols>
  <sheetData>
    <row r="1" spans="15:16" ht="12.75">
      <c r="O1" s="716"/>
      <c r="P1" s="716"/>
    </row>
    <row r="2" spans="2:16" ht="15.75">
      <c r="B2" s="717" t="s">
        <v>358</v>
      </c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</row>
    <row r="3" spans="2:16" ht="15.75">
      <c r="B3" s="717" t="s">
        <v>437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</row>
    <row r="4" spans="2:16" ht="15.75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9" t="s">
        <v>297</v>
      </c>
    </row>
    <row r="5" spans="1:16" ht="16.5" thickBot="1">
      <c r="A5" t="s">
        <v>11</v>
      </c>
      <c r="B5" s="435" t="s">
        <v>12</v>
      </c>
      <c r="C5" s="436" t="s">
        <v>13</v>
      </c>
      <c r="D5" s="436" t="s">
        <v>14</v>
      </c>
      <c r="E5" s="436" t="s">
        <v>15</v>
      </c>
      <c r="F5" s="436" t="s">
        <v>16</v>
      </c>
      <c r="G5" s="436" t="s">
        <v>17</v>
      </c>
      <c r="H5" s="436" t="s">
        <v>18</v>
      </c>
      <c r="I5" s="436" t="s">
        <v>59</v>
      </c>
      <c r="J5" s="436" t="s">
        <v>369</v>
      </c>
      <c r="K5" s="436" t="s">
        <v>363</v>
      </c>
      <c r="L5" s="436" t="s">
        <v>364</v>
      </c>
      <c r="M5" s="436" t="s">
        <v>366</v>
      </c>
      <c r="N5" s="436" t="s">
        <v>370</v>
      </c>
      <c r="O5" s="436" t="s">
        <v>371</v>
      </c>
      <c r="P5" s="436" t="s">
        <v>372</v>
      </c>
    </row>
    <row r="6" spans="1:16" ht="24.75" thickBot="1">
      <c r="A6" t="s">
        <v>20</v>
      </c>
      <c r="B6" s="280" t="s">
        <v>298</v>
      </c>
      <c r="C6" s="281" t="s">
        <v>63</v>
      </c>
      <c r="D6" s="281" t="s">
        <v>299</v>
      </c>
      <c r="E6" s="281" t="s">
        <v>300</v>
      </c>
      <c r="F6" s="281" t="s">
        <v>301</v>
      </c>
      <c r="G6" s="281" t="s">
        <v>302</v>
      </c>
      <c r="H6" s="281" t="s">
        <v>303</v>
      </c>
      <c r="I6" s="281" t="s">
        <v>304</v>
      </c>
      <c r="J6" s="281" t="s">
        <v>305</v>
      </c>
      <c r="K6" s="281" t="s">
        <v>306</v>
      </c>
      <c r="L6" s="281" t="s">
        <v>307</v>
      </c>
      <c r="M6" s="281" t="s">
        <v>308</v>
      </c>
      <c r="N6" s="281" t="s">
        <v>309</v>
      </c>
      <c r="O6" s="281" t="s">
        <v>310</v>
      </c>
      <c r="P6" s="282" t="s">
        <v>311</v>
      </c>
    </row>
    <row r="7" spans="1:16" ht="13.5" thickBot="1">
      <c r="A7" t="s">
        <v>21</v>
      </c>
      <c r="B7" s="283" t="s">
        <v>20</v>
      </c>
      <c r="C7" s="712" t="s">
        <v>93</v>
      </c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  <c r="P7" s="714"/>
    </row>
    <row r="8" spans="1:16" ht="12.75">
      <c r="A8" t="s">
        <v>22</v>
      </c>
      <c r="B8" s="286" t="s">
        <v>21</v>
      </c>
      <c r="C8" s="287" t="s">
        <v>312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9">
        <f>SUM(D8:O8)</f>
        <v>0</v>
      </c>
    </row>
    <row r="9" spans="1:16" ht="12.75">
      <c r="A9" t="s">
        <v>23</v>
      </c>
      <c r="B9" s="290" t="s">
        <v>22</v>
      </c>
      <c r="C9" s="291" t="s">
        <v>313</v>
      </c>
      <c r="D9" s="292">
        <v>742</v>
      </c>
      <c r="E9" s="292">
        <f>+D9</f>
        <v>742</v>
      </c>
      <c r="F9" s="292">
        <f aca="true" t="shared" si="0" ref="F9:N9">+E9</f>
        <v>742</v>
      </c>
      <c r="G9" s="292">
        <f t="shared" si="0"/>
        <v>742</v>
      </c>
      <c r="H9" s="292">
        <f t="shared" si="0"/>
        <v>742</v>
      </c>
      <c r="I9" s="292">
        <f t="shared" si="0"/>
        <v>742</v>
      </c>
      <c r="J9" s="292">
        <f t="shared" si="0"/>
        <v>742</v>
      </c>
      <c r="K9" s="292">
        <f t="shared" si="0"/>
        <v>742</v>
      </c>
      <c r="L9" s="292">
        <f t="shared" si="0"/>
        <v>742</v>
      </c>
      <c r="M9" s="292">
        <f t="shared" si="0"/>
        <v>742</v>
      </c>
      <c r="N9" s="292">
        <f t="shared" si="0"/>
        <v>742</v>
      </c>
      <c r="O9" s="292">
        <f>+N9-1</f>
        <v>741</v>
      </c>
      <c r="P9" s="293">
        <f aca="true" t="shared" si="1" ref="P9:P15">SUM(D9:O9)</f>
        <v>8903</v>
      </c>
    </row>
    <row r="10" spans="1:16" ht="12.75">
      <c r="A10" t="s">
        <v>24</v>
      </c>
      <c r="B10" s="290" t="s">
        <v>23</v>
      </c>
      <c r="C10" s="294" t="s">
        <v>314</v>
      </c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3">
        <f t="shared" si="1"/>
        <v>0</v>
      </c>
    </row>
    <row r="11" spans="1:16" ht="12.75">
      <c r="A11" t="s">
        <v>25</v>
      </c>
      <c r="B11" s="290" t="s">
        <v>24</v>
      </c>
      <c r="C11" s="291" t="s">
        <v>315</v>
      </c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3">
        <f t="shared" si="1"/>
        <v>0</v>
      </c>
    </row>
    <row r="12" spans="1:16" ht="12.75">
      <c r="A12" t="s">
        <v>26</v>
      </c>
      <c r="B12" s="290" t="s">
        <v>25</v>
      </c>
      <c r="C12" s="291" t="s">
        <v>316</v>
      </c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3">
        <f t="shared" si="1"/>
        <v>0</v>
      </c>
    </row>
    <row r="13" spans="1:16" ht="12.75">
      <c r="A13" t="s">
        <v>27</v>
      </c>
      <c r="B13" s="290" t="s">
        <v>26</v>
      </c>
      <c r="C13" s="291" t="s">
        <v>317</v>
      </c>
      <c r="D13" s="292">
        <v>2708</v>
      </c>
      <c r="E13" s="292">
        <f>+D13</f>
        <v>2708</v>
      </c>
      <c r="F13" s="292">
        <f aca="true" t="shared" si="2" ref="F13:N13">+E13</f>
        <v>2708</v>
      </c>
      <c r="G13" s="292">
        <f t="shared" si="2"/>
        <v>2708</v>
      </c>
      <c r="H13" s="292">
        <f t="shared" si="2"/>
        <v>2708</v>
      </c>
      <c r="I13" s="292">
        <f t="shared" si="2"/>
        <v>2708</v>
      </c>
      <c r="J13" s="292">
        <f t="shared" si="2"/>
        <v>2708</v>
      </c>
      <c r="K13" s="292">
        <f t="shared" si="2"/>
        <v>2708</v>
      </c>
      <c r="L13" s="292">
        <f t="shared" si="2"/>
        <v>2708</v>
      </c>
      <c r="M13" s="292">
        <f t="shared" si="2"/>
        <v>2708</v>
      </c>
      <c r="N13" s="292">
        <f t="shared" si="2"/>
        <v>2708</v>
      </c>
      <c r="O13" s="292">
        <f>+N13+4</f>
        <v>2712</v>
      </c>
      <c r="P13" s="293">
        <f t="shared" si="1"/>
        <v>32500</v>
      </c>
    </row>
    <row r="14" spans="1:16" ht="12.75">
      <c r="A14" t="s">
        <v>28</v>
      </c>
      <c r="B14" s="290" t="s">
        <v>27</v>
      </c>
      <c r="C14" s="291" t="s">
        <v>318</v>
      </c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3">
        <f t="shared" si="1"/>
        <v>0</v>
      </c>
    </row>
    <row r="15" spans="1:16" ht="22.5">
      <c r="A15" t="s">
        <v>29</v>
      </c>
      <c r="B15" s="290" t="s">
        <v>28</v>
      </c>
      <c r="C15" s="296" t="s">
        <v>319</v>
      </c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3">
        <f t="shared" si="1"/>
        <v>0</v>
      </c>
    </row>
    <row r="16" spans="1:16" ht="13.5" thickBot="1">
      <c r="A16" t="s">
        <v>30</v>
      </c>
      <c r="B16" s="290" t="s">
        <v>29</v>
      </c>
      <c r="C16" s="291" t="s">
        <v>220</v>
      </c>
      <c r="D16" s="292">
        <f>+D30-D8-D9-D10-D11-D12-D13-D14-D15</f>
        <v>7072</v>
      </c>
      <c r="E16" s="292">
        <f aca="true" t="shared" si="3" ref="E16:O16">+E30-E8-E9-E10-E11-E12-E13-E14-E15</f>
        <v>7072</v>
      </c>
      <c r="F16" s="292">
        <f t="shared" si="3"/>
        <v>7072</v>
      </c>
      <c r="G16" s="292">
        <f t="shared" si="3"/>
        <v>7072</v>
      </c>
      <c r="H16" s="292">
        <f t="shared" si="3"/>
        <v>7072</v>
      </c>
      <c r="I16" s="292">
        <f t="shared" si="3"/>
        <v>7072</v>
      </c>
      <c r="J16" s="292">
        <f t="shared" si="3"/>
        <v>7072</v>
      </c>
      <c r="K16" s="292">
        <f t="shared" si="3"/>
        <v>7072</v>
      </c>
      <c r="L16" s="292">
        <f t="shared" si="3"/>
        <v>7072</v>
      </c>
      <c r="M16" s="292">
        <f t="shared" si="3"/>
        <v>7072</v>
      </c>
      <c r="N16" s="292">
        <f t="shared" si="3"/>
        <v>7072</v>
      </c>
      <c r="O16" s="292">
        <f t="shared" si="3"/>
        <v>7073</v>
      </c>
      <c r="P16" s="297">
        <f>SUM(D16:O16)</f>
        <v>84865</v>
      </c>
    </row>
    <row r="17" spans="1:16" ht="13.5" thickBot="1">
      <c r="A17" t="s">
        <v>31</v>
      </c>
      <c r="B17" s="283" t="s">
        <v>30</v>
      </c>
      <c r="C17" s="298" t="s">
        <v>320</v>
      </c>
      <c r="D17" s="299">
        <f>SUM(D8:D16)</f>
        <v>10522</v>
      </c>
      <c r="E17" s="299">
        <f aca="true" t="shared" si="4" ref="E17:P17">SUM(E8:E16)</f>
        <v>10522</v>
      </c>
      <c r="F17" s="299">
        <f t="shared" si="4"/>
        <v>10522</v>
      </c>
      <c r="G17" s="299">
        <f t="shared" si="4"/>
        <v>10522</v>
      </c>
      <c r="H17" s="299">
        <f t="shared" si="4"/>
        <v>10522</v>
      </c>
      <c r="I17" s="299">
        <f t="shared" si="4"/>
        <v>10522</v>
      </c>
      <c r="J17" s="299">
        <f t="shared" si="4"/>
        <v>10522</v>
      </c>
      <c r="K17" s="299">
        <f t="shared" si="4"/>
        <v>10522</v>
      </c>
      <c r="L17" s="299">
        <f t="shared" si="4"/>
        <v>10522</v>
      </c>
      <c r="M17" s="299">
        <f t="shared" si="4"/>
        <v>10522</v>
      </c>
      <c r="N17" s="299">
        <f t="shared" si="4"/>
        <v>10522</v>
      </c>
      <c r="O17" s="299">
        <f t="shared" si="4"/>
        <v>10526</v>
      </c>
      <c r="P17" s="299">
        <f t="shared" si="4"/>
        <v>126268</v>
      </c>
    </row>
    <row r="18" spans="1:16" ht="13.5" thickBot="1">
      <c r="A18" t="s">
        <v>32</v>
      </c>
      <c r="B18" s="283" t="s">
        <v>31</v>
      </c>
      <c r="C18" s="712" t="s">
        <v>122</v>
      </c>
      <c r="D18" s="713"/>
      <c r="E18" s="713"/>
      <c r="F18" s="713"/>
      <c r="G18" s="713"/>
      <c r="H18" s="713"/>
      <c r="I18" s="713"/>
      <c r="J18" s="713"/>
      <c r="K18" s="713"/>
      <c r="L18" s="713"/>
      <c r="M18" s="713"/>
      <c r="N18" s="713"/>
      <c r="O18" s="713"/>
      <c r="P18" s="715"/>
    </row>
    <row r="19" spans="1:16" ht="12.75">
      <c r="A19" t="s">
        <v>33</v>
      </c>
      <c r="B19" s="301" t="s">
        <v>32</v>
      </c>
      <c r="C19" s="302" t="s">
        <v>213</v>
      </c>
      <c r="D19" s="295">
        <v>5542</v>
      </c>
      <c r="E19" s="295">
        <f>+D19</f>
        <v>5542</v>
      </c>
      <c r="F19" s="295">
        <f aca="true" t="shared" si="5" ref="F19:N19">+E19</f>
        <v>5542</v>
      </c>
      <c r="G19" s="295">
        <f t="shared" si="5"/>
        <v>5542</v>
      </c>
      <c r="H19" s="295">
        <f t="shared" si="5"/>
        <v>5542</v>
      </c>
      <c r="I19" s="295">
        <f t="shared" si="5"/>
        <v>5542</v>
      </c>
      <c r="J19" s="295">
        <f t="shared" si="5"/>
        <v>5542</v>
      </c>
      <c r="K19" s="295">
        <f t="shared" si="5"/>
        <v>5542</v>
      </c>
      <c r="L19" s="295">
        <f t="shared" si="5"/>
        <v>5542</v>
      </c>
      <c r="M19" s="295">
        <f t="shared" si="5"/>
        <v>5542</v>
      </c>
      <c r="N19" s="295">
        <f t="shared" si="5"/>
        <v>5542</v>
      </c>
      <c r="O19" s="295">
        <f>+N19-2</f>
        <v>5540</v>
      </c>
      <c r="P19" s="303">
        <f>SUM(D19:O19)</f>
        <v>66502</v>
      </c>
    </row>
    <row r="20" spans="1:16" ht="24.75" customHeight="1">
      <c r="A20" t="s">
        <v>34</v>
      </c>
      <c r="B20" s="290" t="s">
        <v>33</v>
      </c>
      <c r="C20" s="296" t="s">
        <v>321</v>
      </c>
      <c r="D20" s="292">
        <v>1482</v>
      </c>
      <c r="E20" s="292">
        <f>+D20</f>
        <v>1482</v>
      </c>
      <c r="F20" s="292">
        <f aca="true" t="shared" si="6" ref="F20:N20">+E20</f>
        <v>1482</v>
      </c>
      <c r="G20" s="292">
        <f t="shared" si="6"/>
        <v>1482</v>
      </c>
      <c r="H20" s="292">
        <f t="shared" si="6"/>
        <v>1482</v>
      </c>
      <c r="I20" s="292">
        <f t="shared" si="6"/>
        <v>1482</v>
      </c>
      <c r="J20" s="292">
        <f t="shared" si="6"/>
        <v>1482</v>
      </c>
      <c r="K20" s="292">
        <f t="shared" si="6"/>
        <v>1482</v>
      </c>
      <c r="L20" s="292">
        <f t="shared" si="6"/>
        <v>1482</v>
      </c>
      <c r="M20" s="292">
        <f t="shared" si="6"/>
        <v>1482</v>
      </c>
      <c r="N20" s="292">
        <f t="shared" si="6"/>
        <v>1482</v>
      </c>
      <c r="O20" s="292">
        <f>+N20+10</f>
        <v>1492</v>
      </c>
      <c r="P20" s="303">
        <f aca="true" t="shared" si="7" ref="P20:P28">SUM(D20:O20)</f>
        <v>17794</v>
      </c>
    </row>
    <row r="21" spans="1:16" ht="12.75">
      <c r="A21" t="s">
        <v>35</v>
      </c>
      <c r="B21" s="290" t="s">
        <v>34</v>
      </c>
      <c r="C21" s="291" t="s">
        <v>249</v>
      </c>
      <c r="D21" s="292">
        <v>3498</v>
      </c>
      <c r="E21" s="292">
        <f>+D21</f>
        <v>3498</v>
      </c>
      <c r="F21" s="292">
        <f aca="true" t="shared" si="8" ref="F21:N21">+E21</f>
        <v>3498</v>
      </c>
      <c r="G21" s="292">
        <f t="shared" si="8"/>
        <v>3498</v>
      </c>
      <c r="H21" s="292">
        <f t="shared" si="8"/>
        <v>3498</v>
      </c>
      <c r="I21" s="292">
        <f t="shared" si="8"/>
        <v>3498</v>
      </c>
      <c r="J21" s="292">
        <f t="shared" si="8"/>
        <v>3498</v>
      </c>
      <c r="K21" s="292">
        <f t="shared" si="8"/>
        <v>3498</v>
      </c>
      <c r="L21" s="292">
        <f t="shared" si="8"/>
        <v>3498</v>
      </c>
      <c r="M21" s="292">
        <f t="shared" si="8"/>
        <v>3498</v>
      </c>
      <c r="N21" s="292">
        <f t="shared" si="8"/>
        <v>3498</v>
      </c>
      <c r="O21" s="292">
        <f>+N21-4</f>
        <v>3494</v>
      </c>
      <c r="P21" s="303">
        <f t="shared" si="7"/>
        <v>41972</v>
      </c>
    </row>
    <row r="22" spans="1:16" ht="12.75">
      <c r="A22" t="s">
        <v>36</v>
      </c>
      <c r="B22" s="290" t="s">
        <v>35</v>
      </c>
      <c r="C22" s="291" t="s">
        <v>322</v>
      </c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303">
        <f t="shared" si="7"/>
        <v>0</v>
      </c>
    </row>
    <row r="23" spans="1:16" ht="12.75">
      <c r="A23" t="s">
        <v>37</v>
      </c>
      <c r="B23" s="290" t="s">
        <v>36</v>
      </c>
      <c r="C23" s="291" t="s">
        <v>323</v>
      </c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303">
        <f t="shared" si="7"/>
        <v>0</v>
      </c>
    </row>
    <row r="24" spans="1:16" ht="12.75">
      <c r="A24" t="s">
        <v>40</v>
      </c>
      <c r="B24" s="290" t="s">
        <v>37</v>
      </c>
      <c r="C24" s="291" t="s">
        <v>324</v>
      </c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303">
        <f t="shared" si="7"/>
        <v>0</v>
      </c>
    </row>
    <row r="25" spans="1:16" ht="21" customHeight="1">
      <c r="A25" t="s">
        <v>42</v>
      </c>
      <c r="B25" s="290" t="s">
        <v>40</v>
      </c>
      <c r="C25" s="296" t="s">
        <v>325</v>
      </c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303">
        <f t="shared" si="7"/>
        <v>0</v>
      </c>
    </row>
    <row r="26" spans="1:16" ht="12.75">
      <c r="A26" t="s">
        <v>43</v>
      </c>
      <c r="B26" s="290" t="s">
        <v>42</v>
      </c>
      <c r="C26" s="291" t="s">
        <v>326</v>
      </c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303">
        <f t="shared" si="7"/>
        <v>0</v>
      </c>
    </row>
    <row r="27" spans="1:16" ht="12.75">
      <c r="A27" t="s">
        <v>44</v>
      </c>
      <c r="B27" s="290" t="s">
        <v>43</v>
      </c>
      <c r="C27" s="291" t="s">
        <v>327</v>
      </c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303">
        <f t="shared" si="7"/>
        <v>0</v>
      </c>
    </row>
    <row r="28" spans="1:16" ht="12.75">
      <c r="A28" t="s">
        <v>45</v>
      </c>
      <c r="B28" s="290" t="s">
        <v>44</v>
      </c>
      <c r="C28" s="291" t="s">
        <v>328</v>
      </c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303">
        <f t="shared" si="7"/>
        <v>0</v>
      </c>
    </row>
    <row r="29" spans="1:16" ht="13.5" thickBot="1">
      <c r="A29" t="s">
        <v>46</v>
      </c>
      <c r="B29" s="290" t="s">
        <v>45</v>
      </c>
      <c r="C29" s="291" t="s">
        <v>329</v>
      </c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303">
        <f>SUM(D29:O29)</f>
        <v>0</v>
      </c>
    </row>
    <row r="30" spans="1:16" ht="13.5" thickBot="1">
      <c r="A30" t="s">
        <v>47</v>
      </c>
      <c r="B30" s="304" t="s">
        <v>46</v>
      </c>
      <c r="C30" s="298" t="s">
        <v>330</v>
      </c>
      <c r="D30" s="299">
        <f>SUM(D19:D29)</f>
        <v>10522</v>
      </c>
      <c r="E30" s="299">
        <f aca="true" t="shared" si="9" ref="E30:O30">SUM(E19:E29)</f>
        <v>10522</v>
      </c>
      <c r="F30" s="299">
        <f t="shared" si="9"/>
        <v>10522</v>
      </c>
      <c r="G30" s="299">
        <f t="shared" si="9"/>
        <v>10522</v>
      </c>
      <c r="H30" s="299">
        <f t="shared" si="9"/>
        <v>10522</v>
      </c>
      <c r="I30" s="299">
        <f t="shared" si="9"/>
        <v>10522</v>
      </c>
      <c r="J30" s="299">
        <f t="shared" si="9"/>
        <v>10522</v>
      </c>
      <c r="K30" s="299">
        <f t="shared" si="9"/>
        <v>10522</v>
      </c>
      <c r="L30" s="299">
        <f t="shared" si="9"/>
        <v>10522</v>
      </c>
      <c r="M30" s="299">
        <f t="shared" si="9"/>
        <v>10522</v>
      </c>
      <c r="N30" s="299">
        <f t="shared" si="9"/>
        <v>10522</v>
      </c>
      <c r="O30" s="299">
        <f t="shared" si="9"/>
        <v>10526</v>
      </c>
      <c r="P30" s="305">
        <f>SUM(P19:P29)</f>
        <v>126268</v>
      </c>
    </row>
    <row r="31" spans="1:16" ht="13.5" thickBot="1">
      <c r="A31" t="s">
        <v>48</v>
      </c>
      <c r="B31" s="304" t="s">
        <v>47</v>
      </c>
      <c r="C31" s="306" t="s">
        <v>331</v>
      </c>
      <c r="D31" s="307">
        <f>+D30-D17</f>
        <v>0</v>
      </c>
      <c r="E31" s="307">
        <f aca="true" t="shared" si="10" ref="E31:P31">+E30-E17</f>
        <v>0</v>
      </c>
      <c r="F31" s="307">
        <f t="shared" si="10"/>
        <v>0</v>
      </c>
      <c r="G31" s="307">
        <f t="shared" si="10"/>
        <v>0</v>
      </c>
      <c r="H31" s="307">
        <f t="shared" si="10"/>
        <v>0</v>
      </c>
      <c r="I31" s="307">
        <f t="shared" si="10"/>
        <v>0</v>
      </c>
      <c r="J31" s="307">
        <f t="shared" si="10"/>
        <v>0</v>
      </c>
      <c r="K31" s="307">
        <f t="shared" si="10"/>
        <v>0</v>
      </c>
      <c r="L31" s="307">
        <f t="shared" si="10"/>
        <v>0</v>
      </c>
      <c r="M31" s="307">
        <f t="shared" si="10"/>
        <v>0</v>
      </c>
      <c r="N31" s="307">
        <f t="shared" si="10"/>
        <v>0</v>
      </c>
      <c r="O31" s="307">
        <f t="shared" si="10"/>
        <v>0</v>
      </c>
      <c r="P31" s="307">
        <f t="shared" si="10"/>
        <v>0</v>
      </c>
    </row>
    <row r="32" spans="2:16" ht="15.75">
      <c r="B32" s="30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7"/>
    </row>
    <row r="33" spans="2:16" ht="15.75">
      <c r="B33" s="277"/>
      <c r="C33" s="309"/>
      <c r="D33" s="311"/>
      <c r="E33" s="310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7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&amp;L18. melléklet a 2014. évi 2/2014.(I.24.) Önkormányzati költségvetési rendelethez&amp;R&amp;D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1">
      <selection activeCell="F1" sqref="F1:AE16384"/>
    </sheetView>
  </sheetViews>
  <sheetFormatPr defaultColWidth="9.140625" defaultRowHeight="12.75"/>
  <cols>
    <col min="1" max="1" width="5.28125" style="107" customWidth="1"/>
    <col min="2" max="2" width="5.00390625" style="38" customWidth="1"/>
    <col min="3" max="3" width="50.421875" style="38" customWidth="1"/>
    <col min="4" max="4" width="10.8515625" style="38" bestFit="1" customWidth="1"/>
    <col min="5" max="5" width="14.57421875" style="38" customWidth="1"/>
    <col min="6" max="16384" width="9.140625" style="38" customWidth="1"/>
  </cols>
  <sheetData>
    <row r="1" spans="2:5" ht="15.75">
      <c r="B1" s="42"/>
      <c r="C1" s="42"/>
      <c r="D1" s="445" t="s">
        <v>434</v>
      </c>
      <c r="E1" s="40" t="s">
        <v>390</v>
      </c>
    </row>
    <row r="2" spans="2:5" ht="15.75">
      <c r="B2" s="39"/>
      <c r="C2" s="39" t="s">
        <v>122</v>
      </c>
      <c r="D2" s="445" t="s">
        <v>64</v>
      </c>
      <c r="E2" s="40" t="s">
        <v>64</v>
      </c>
    </row>
    <row r="3" spans="1:5" s="1" customFormat="1" ht="15.75">
      <c r="A3" s="107" t="s">
        <v>11</v>
      </c>
      <c r="B3" s="39" t="s">
        <v>12</v>
      </c>
      <c r="C3" s="42" t="s">
        <v>13</v>
      </c>
      <c r="D3" s="8" t="s">
        <v>14</v>
      </c>
      <c r="E3" s="8" t="s">
        <v>392</v>
      </c>
    </row>
    <row r="4" spans="2:4" ht="15.75">
      <c r="B4" s="39"/>
      <c r="C4" s="37"/>
      <c r="D4" s="37"/>
    </row>
    <row r="5" spans="1:5" ht="15.75">
      <c r="A5" s="107" t="s">
        <v>20</v>
      </c>
      <c r="B5" s="39"/>
      <c r="C5" s="39" t="s">
        <v>267</v>
      </c>
      <c r="D5" s="108">
        <f>SUM(D7:D12)</f>
        <v>535990</v>
      </c>
      <c r="E5" s="108">
        <f>SUM(E7:E12)</f>
        <v>514345</v>
      </c>
    </row>
    <row r="6" spans="2:4" ht="15.75">
      <c r="B6" s="39"/>
      <c r="C6" s="37"/>
      <c r="D6" s="37"/>
    </row>
    <row r="7" spans="1:5" ht="18" customHeight="1">
      <c r="A7" s="107" t="s">
        <v>21</v>
      </c>
      <c r="B7" s="39" t="s">
        <v>123</v>
      </c>
      <c r="C7" s="37" t="s">
        <v>41</v>
      </c>
      <c r="D7" s="37">
        <v>70809</v>
      </c>
      <c r="E7" s="11">
        <f>+4mell!G18</f>
        <v>18936</v>
      </c>
    </row>
    <row r="8" spans="1:5" ht="18" customHeight="1">
      <c r="A8" s="107" t="s">
        <v>22</v>
      </c>
      <c r="B8" s="39" t="s">
        <v>130</v>
      </c>
      <c r="C8" s="37" t="s">
        <v>337</v>
      </c>
      <c r="D8" s="37">
        <v>145321</v>
      </c>
      <c r="E8" s="11">
        <f>+4mell!G25</f>
        <v>167707</v>
      </c>
    </row>
    <row r="9" spans="1:5" ht="15.75">
      <c r="A9" s="107" t="s">
        <v>23</v>
      </c>
      <c r="B9" s="39" t="s">
        <v>128</v>
      </c>
      <c r="C9" s="109" t="s">
        <v>131</v>
      </c>
      <c r="D9" s="109">
        <v>119002</v>
      </c>
      <c r="E9" s="11">
        <f>+4mell!G10</f>
        <v>126268</v>
      </c>
    </row>
    <row r="10" spans="1:5" ht="18" customHeight="1">
      <c r="A10" s="107" t="s">
        <v>24</v>
      </c>
      <c r="B10" s="39" t="s">
        <v>129</v>
      </c>
      <c r="C10" s="37" t="str">
        <f>'[1]2mell_2'!A110</f>
        <v>Városellátó Szervezet</v>
      </c>
      <c r="D10" s="37">
        <v>182110</v>
      </c>
      <c r="E10" s="11">
        <f>+4mell!G6</f>
        <v>179916</v>
      </c>
    </row>
    <row r="11" spans="1:5" ht="15.75">
      <c r="A11" s="107" t="s">
        <v>25</v>
      </c>
      <c r="B11" s="39" t="s">
        <v>132</v>
      </c>
      <c r="C11" s="109" t="str">
        <f>+'[2]kiadás'!B24</f>
        <v>Városi Művelődési Központ és Könyvtár</v>
      </c>
      <c r="D11" s="109">
        <v>18748</v>
      </c>
      <c r="E11" s="11">
        <f>+4mell!G14</f>
        <v>21518</v>
      </c>
    </row>
    <row r="13" spans="1:5" ht="15.75">
      <c r="A13" s="107" t="s">
        <v>26</v>
      </c>
      <c r="B13" s="39" t="s">
        <v>133</v>
      </c>
      <c r="C13" s="39" t="s">
        <v>137</v>
      </c>
      <c r="D13" s="108">
        <f>SUM(D14:D15)</f>
        <v>184300</v>
      </c>
      <c r="E13" s="108">
        <f>SUM(E14:E15)</f>
        <v>118339</v>
      </c>
    </row>
    <row r="14" spans="1:5" ht="15.75">
      <c r="A14" s="107" t="s">
        <v>27</v>
      </c>
      <c r="B14" s="39"/>
      <c r="C14" s="37" t="s">
        <v>138</v>
      </c>
      <c r="D14" s="37">
        <v>37474</v>
      </c>
      <c r="E14" s="45">
        <f>+6mell!F31</f>
        <v>23786.5</v>
      </c>
    </row>
    <row r="15" spans="1:5" ht="15.75">
      <c r="A15" s="107" t="s">
        <v>28</v>
      </c>
      <c r="B15" s="39"/>
      <c r="C15" s="37" t="s">
        <v>139</v>
      </c>
      <c r="D15" s="37">
        <v>146826</v>
      </c>
      <c r="E15" s="45">
        <f>+6mell!G31</f>
        <v>94552.5</v>
      </c>
    </row>
    <row r="16" spans="2:4" ht="15.75">
      <c r="B16" s="39"/>
      <c r="C16" s="37"/>
      <c r="D16" s="37"/>
    </row>
    <row r="17" spans="1:5" ht="15.75">
      <c r="A17" s="107" t="s">
        <v>29</v>
      </c>
      <c r="B17" s="39" t="s">
        <v>134</v>
      </c>
      <c r="C17" s="39" t="s">
        <v>140</v>
      </c>
      <c r="D17" s="39">
        <v>18550</v>
      </c>
      <c r="E17" s="15">
        <f>+5mell!C17</f>
        <v>26169</v>
      </c>
    </row>
    <row r="18" spans="2:4" ht="15.75">
      <c r="B18" s="39"/>
      <c r="C18" s="39"/>
      <c r="D18" s="39"/>
    </row>
    <row r="19" spans="1:5" ht="15.75">
      <c r="A19" s="107" t="s">
        <v>30</v>
      </c>
      <c r="B19" s="39" t="s">
        <v>135</v>
      </c>
      <c r="C19" s="39" t="s">
        <v>141</v>
      </c>
      <c r="D19" s="39">
        <v>3000</v>
      </c>
      <c r="E19" s="15">
        <f>+5mell!C21</f>
        <v>3000</v>
      </c>
    </row>
    <row r="20" spans="2:4" ht="15.75">
      <c r="B20" s="39"/>
      <c r="C20" s="37"/>
      <c r="D20" s="37"/>
    </row>
    <row r="21" spans="1:5" ht="15.75">
      <c r="A21" s="107" t="s">
        <v>31</v>
      </c>
      <c r="B21" s="39" t="s">
        <v>136</v>
      </c>
      <c r="C21" s="39" t="s">
        <v>142</v>
      </c>
      <c r="D21" s="108">
        <f>SUM(D22:D23)</f>
        <v>0</v>
      </c>
      <c r="E21" s="108">
        <f>SUM(E22:E23)</f>
        <v>35878</v>
      </c>
    </row>
    <row r="22" spans="1:5" ht="15.75">
      <c r="A22" s="107" t="s">
        <v>32</v>
      </c>
      <c r="B22" s="39"/>
      <c r="C22" s="37" t="s">
        <v>143</v>
      </c>
      <c r="D22" s="37">
        <v>0</v>
      </c>
      <c r="E22" s="43">
        <f>+7mell!C13</f>
        <v>22241</v>
      </c>
    </row>
    <row r="23" spans="1:5" ht="15.75">
      <c r="A23" s="107" t="s">
        <v>33</v>
      </c>
      <c r="B23" s="39"/>
      <c r="C23" s="37" t="s">
        <v>144</v>
      </c>
      <c r="D23" s="37">
        <v>0</v>
      </c>
      <c r="E23" s="38">
        <f>+7mell!C19</f>
        <v>13637</v>
      </c>
    </row>
    <row r="24" spans="2:4" ht="15.75">
      <c r="B24" s="39"/>
      <c r="C24" s="37"/>
      <c r="D24" s="37"/>
    </row>
    <row r="25" spans="1:5" ht="15.75">
      <c r="A25" s="107" t="s">
        <v>34</v>
      </c>
      <c r="B25" s="39" t="s">
        <v>429</v>
      </c>
      <c r="C25" s="39" t="s">
        <v>430</v>
      </c>
      <c r="D25" s="39">
        <f>SUM(D26:D28)</f>
        <v>25458</v>
      </c>
      <c r="E25" s="39">
        <f>SUM(E26:E28)</f>
        <v>0</v>
      </c>
    </row>
    <row r="26" spans="2:4" ht="15.75">
      <c r="B26" s="39"/>
      <c r="C26" s="37" t="s">
        <v>431</v>
      </c>
      <c r="D26" s="37">
        <v>1050</v>
      </c>
    </row>
    <row r="27" spans="2:4" ht="15.75">
      <c r="B27" s="39"/>
      <c r="C27" s="37" t="s">
        <v>432</v>
      </c>
      <c r="D27" s="37">
        <v>16272</v>
      </c>
    </row>
    <row r="28" spans="2:4" ht="15.75">
      <c r="B28" s="39"/>
      <c r="C28" s="37" t="s">
        <v>433</v>
      </c>
      <c r="D28" s="37">
        <v>8136</v>
      </c>
    </row>
    <row r="29" spans="2:4" ht="15.75">
      <c r="B29" s="39"/>
      <c r="C29" s="37"/>
      <c r="D29" s="37"/>
    </row>
    <row r="30" spans="2:4" ht="15.75">
      <c r="B30" s="39"/>
      <c r="C30" s="37"/>
      <c r="D30" s="37"/>
    </row>
    <row r="31" spans="1:5" s="1" customFormat="1" ht="15.75">
      <c r="A31" s="107" t="s">
        <v>34</v>
      </c>
      <c r="C31" s="39" t="s">
        <v>146</v>
      </c>
      <c r="D31" s="12">
        <f>+D21+D19+D17+D13+D5+D25</f>
        <v>767298</v>
      </c>
      <c r="E31" s="12">
        <f>+E21+E19+E17+E13+E5+E25</f>
        <v>697731</v>
      </c>
    </row>
    <row r="32" ht="13.5" customHeight="1"/>
    <row r="33" spans="1:5" ht="15.75">
      <c r="A33" s="107" t="s">
        <v>42</v>
      </c>
      <c r="B33" s="39"/>
      <c r="C33" s="39" t="s">
        <v>38</v>
      </c>
      <c r="D33" s="45"/>
      <c r="E33" s="45">
        <f>+E31</f>
        <v>697731</v>
      </c>
    </row>
    <row r="34" spans="1:5" ht="15.75">
      <c r="A34" s="107" t="s">
        <v>43</v>
      </c>
      <c r="B34" s="39"/>
      <c r="C34" s="37" t="s">
        <v>147</v>
      </c>
      <c r="D34" s="37"/>
      <c r="E34" s="43">
        <f>+1mell!E44</f>
        <v>697731</v>
      </c>
    </row>
    <row r="36" ht="15">
      <c r="E36" s="266">
        <f>+E34-E33</f>
        <v>0</v>
      </c>
    </row>
    <row r="38" ht="15">
      <c r="E38" s="266" t="s">
        <v>455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&amp;L2. melléklet a 2014. évi 2/2014.(I.24.) Önkormányzati költségvetési rendelethez&amp;R&amp;D</oddHeader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I39" sqref="I39"/>
    </sheetView>
  </sheetViews>
  <sheetFormatPr defaultColWidth="9.140625" defaultRowHeight="12.75"/>
  <cols>
    <col min="1" max="1" width="5.57421875" style="0" customWidth="1"/>
    <col min="2" max="2" width="4.8515625" style="0" bestFit="1" customWidth="1"/>
    <col min="3" max="3" width="35.57421875" style="0" customWidth="1"/>
  </cols>
  <sheetData>
    <row r="1" spans="15:16" ht="12.75">
      <c r="O1" s="716"/>
      <c r="P1" s="716"/>
    </row>
    <row r="2" spans="2:16" ht="15.75">
      <c r="B2" s="717" t="s">
        <v>359</v>
      </c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</row>
    <row r="3" spans="2:16" ht="15.75">
      <c r="B3" s="717" t="s">
        <v>437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</row>
    <row r="4" spans="2:16" ht="15.75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9" t="s">
        <v>297</v>
      </c>
    </row>
    <row r="5" spans="1:16" ht="16.5" thickBot="1">
      <c r="A5" t="s">
        <v>11</v>
      </c>
      <c r="B5" s="435" t="s">
        <v>12</v>
      </c>
      <c r="C5" s="436" t="s">
        <v>13</v>
      </c>
      <c r="D5" s="436" t="s">
        <v>14</v>
      </c>
      <c r="E5" s="436" t="s">
        <v>15</v>
      </c>
      <c r="F5" s="436" t="s">
        <v>16</v>
      </c>
      <c r="G5" s="436" t="s">
        <v>17</v>
      </c>
      <c r="H5" s="436" t="s">
        <v>18</v>
      </c>
      <c r="I5" s="436" t="s">
        <v>59</v>
      </c>
      <c r="J5" s="436" t="s">
        <v>369</v>
      </c>
      <c r="K5" s="436" t="s">
        <v>363</v>
      </c>
      <c r="L5" s="436" t="s">
        <v>364</v>
      </c>
      <c r="M5" s="436" t="s">
        <v>366</v>
      </c>
      <c r="N5" s="436" t="s">
        <v>370</v>
      </c>
      <c r="O5" s="436" t="s">
        <v>371</v>
      </c>
      <c r="P5" s="436" t="s">
        <v>372</v>
      </c>
    </row>
    <row r="6" spans="1:16" ht="24.75" thickBot="1">
      <c r="A6" t="s">
        <v>20</v>
      </c>
      <c r="B6" s="280" t="s">
        <v>298</v>
      </c>
      <c r="C6" s="281" t="s">
        <v>63</v>
      </c>
      <c r="D6" s="281" t="s">
        <v>299</v>
      </c>
      <c r="E6" s="281" t="s">
        <v>300</v>
      </c>
      <c r="F6" s="281" t="s">
        <v>301</v>
      </c>
      <c r="G6" s="281" t="s">
        <v>302</v>
      </c>
      <c r="H6" s="281" t="s">
        <v>303</v>
      </c>
      <c r="I6" s="281" t="s">
        <v>304</v>
      </c>
      <c r="J6" s="281" t="s">
        <v>305</v>
      </c>
      <c r="K6" s="281" t="s">
        <v>306</v>
      </c>
      <c r="L6" s="281" t="s">
        <v>307</v>
      </c>
      <c r="M6" s="281" t="s">
        <v>308</v>
      </c>
      <c r="N6" s="281" t="s">
        <v>309</v>
      </c>
      <c r="O6" s="281" t="s">
        <v>310</v>
      </c>
      <c r="P6" s="282" t="s">
        <v>311</v>
      </c>
    </row>
    <row r="7" spans="1:16" ht="13.5" thickBot="1">
      <c r="A7" t="s">
        <v>21</v>
      </c>
      <c r="B7" s="283" t="s">
        <v>20</v>
      </c>
      <c r="C7" s="712" t="s">
        <v>93</v>
      </c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  <c r="P7" s="714"/>
    </row>
    <row r="8" spans="1:16" ht="12.75">
      <c r="A8" t="s">
        <v>22</v>
      </c>
      <c r="B8" s="286" t="s">
        <v>21</v>
      </c>
      <c r="C8" s="287" t="s">
        <v>312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9">
        <f>SUM(D8:O8)</f>
        <v>0</v>
      </c>
    </row>
    <row r="9" spans="1:16" ht="12.75">
      <c r="A9" t="s">
        <v>23</v>
      </c>
      <c r="B9" s="290" t="s">
        <v>22</v>
      </c>
      <c r="C9" s="291" t="s">
        <v>313</v>
      </c>
      <c r="D9" s="292">
        <v>7147</v>
      </c>
      <c r="E9" s="292">
        <f>+D9</f>
        <v>7147</v>
      </c>
      <c r="F9" s="292">
        <f aca="true" t="shared" si="0" ref="F9:N9">+E9</f>
        <v>7147</v>
      </c>
      <c r="G9" s="292">
        <f t="shared" si="0"/>
        <v>7147</v>
      </c>
      <c r="H9" s="292">
        <f t="shared" si="0"/>
        <v>7147</v>
      </c>
      <c r="I9" s="292">
        <f t="shared" si="0"/>
        <v>7147</v>
      </c>
      <c r="J9" s="292">
        <f t="shared" si="0"/>
        <v>7147</v>
      </c>
      <c r="K9" s="292">
        <f t="shared" si="0"/>
        <v>7147</v>
      </c>
      <c r="L9" s="292">
        <f t="shared" si="0"/>
        <v>7147</v>
      </c>
      <c r="M9" s="292">
        <f t="shared" si="0"/>
        <v>7147</v>
      </c>
      <c r="N9" s="292">
        <f t="shared" si="0"/>
        <v>7147</v>
      </c>
      <c r="O9" s="292">
        <f>+N9+4</f>
        <v>7151</v>
      </c>
      <c r="P9" s="293">
        <f>SUM(D9:O9)</f>
        <v>85768</v>
      </c>
    </row>
    <row r="10" spans="1:16" ht="12.75">
      <c r="A10" t="s">
        <v>24</v>
      </c>
      <c r="B10" s="290" t="s">
        <v>23</v>
      </c>
      <c r="C10" s="294" t="s">
        <v>314</v>
      </c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3">
        <f aca="true" t="shared" si="1" ref="P10:P16">SUM(D10:O10)</f>
        <v>0</v>
      </c>
    </row>
    <row r="11" spans="1:16" ht="12.75">
      <c r="A11" t="s">
        <v>25</v>
      </c>
      <c r="B11" s="290" t="s">
        <v>24</v>
      </c>
      <c r="C11" s="291" t="s">
        <v>315</v>
      </c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3">
        <f t="shared" si="1"/>
        <v>0</v>
      </c>
    </row>
    <row r="12" spans="1:16" ht="12.75">
      <c r="A12" t="s">
        <v>26</v>
      </c>
      <c r="B12" s="290" t="s">
        <v>25</v>
      </c>
      <c r="C12" s="291" t="s">
        <v>316</v>
      </c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3">
        <f t="shared" si="1"/>
        <v>0</v>
      </c>
    </row>
    <row r="13" spans="1:16" ht="12.75">
      <c r="A13" t="s">
        <v>27</v>
      </c>
      <c r="B13" s="290" t="s">
        <v>26</v>
      </c>
      <c r="C13" s="291" t="s">
        <v>317</v>
      </c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3">
        <f t="shared" si="1"/>
        <v>0</v>
      </c>
    </row>
    <row r="14" spans="1:16" ht="12.75">
      <c r="A14" t="s">
        <v>28</v>
      </c>
      <c r="B14" s="290" t="s">
        <v>27</v>
      </c>
      <c r="C14" s="291" t="s">
        <v>318</v>
      </c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3">
        <f t="shared" si="1"/>
        <v>0</v>
      </c>
    </row>
    <row r="15" spans="1:16" ht="22.5">
      <c r="A15" t="s">
        <v>29</v>
      </c>
      <c r="B15" s="290" t="s">
        <v>28</v>
      </c>
      <c r="C15" s="296" t="s">
        <v>319</v>
      </c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3">
        <f t="shared" si="1"/>
        <v>0</v>
      </c>
    </row>
    <row r="16" spans="1:16" ht="13.5" thickBot="1">
      <c r="A16" t="s">
        <v>30</v>
      </c>
      <c r="B16" s="290" t="s">
        <v>29</v>
      </c>
      <c r="C16" s="291" t="s">
        <v>220</v>
      </c>
      <c r="D16" s="292">
        <f>+D30-D8-D9-D10-D11-D12-D13-D14</f>
        <v>7846</v>
      </c>
      <c r="E16" s="292">
        <f aca="true" t="shared" si="2" ref="E16:O16">+E30-E8-E9-E10-E11-E12-E13-E14</f>
        <v>7846</v>
      </c>
      <c r="F16" s="292">
        <f t="shared" si="2"/>
        <v>7846</v>
      </c>
      <c r="G16" s="292">
        <f t="shared" si="2"/>
        <v>7846</v>
      </c>
      <c r="H16" s="292">
        <f t="shared" si="2"/>
        <v>7846</v>
      </c>
      <c r="I16" s="292">
        <f t="shared" si="2"/>
        <v>7846</v>
      </c>
      <c r="J16" s="292">
        <f t="shared" si="2"/>
        <v>7846</v>
      </c>
      <c r="K16" s="292">
        <f t="shared" si="2"/>
        <v>7846</v>
      </c>
      <c r="L16" s="292">
        <f t="shared" si="2"/>
        <v>7846</v>
      </c>
      <c r="M16" s="292">
        <f t="shared" si="2"/>
        <v>7846</v>
      </c>
      <c r="N16" s="292">
        <f t="shared" si="2"/>
        <v>7846</v>
      </c>
      <c r="O16" s="292">
        <f t="shared" si="2"/>
        <v>7842</v>
      </c>
      <c r="P16" s="293">
        <f t="shared" si="1"/>
        <v>94148</v>
      </c>
    </row>
    <row r="17" spans="1:16" ht="13.5" thickBot="1">
      <c r="A17" t="s">
        <v>31</v>
      </c>
      <c r="B17" s="283" t="s">
        <v>30</v>
      </c>
      <c r="C17" s="298" t="s">
        <v>320</v>
      </c>
      <c r="D17" s="299">
        <f>SUM(D8:D16)</f>
        <v>14993</v>
      </c>
      <c r="E17" s="299">
        <f aca="true" t="shared" si="3" ref="E17:P17">SUM(E8:E16)</f>
        <v>14993</v>
      </c>
      <c r="F17" s="299">
        <f t="shared" si="3"/>
        <v>14993</v>
      </c>
      <c r="G17" s="299">
        <f t="shared" si="3"/>
        <v>14993</v>
      </c>
      <c r="H17" s="299">
        <f t="shared" si="3"/>
        <v>14993</v>
      </c>
      <c r="I17" s="299">
        <f t="shared" si="3"/>
        <v>14993</v>
      </c>
      <c r="J17" s="299">
        <f t="shared" si="3"/>
        <v>14993</v>
      </c>
      <c r="K17" s="299">
        <f t="shared" si="3"/>
        <v>14993</v>
      </c>
      <c r="L17" s="299">
        <f t="shared" si="3"/>
        <v>14993</v>
      </c>
      <c r="M17" s="299">
        <f t="shared" si="3"/>
        <v>14993</v>
      </c>
      <c r="N17" s="299">
        <f t="shared" si="3"/>
        <v>14993</v>
      </c>
      <c r="O17" s="299">
        <f t="shared" si="3"/>
        <v>14993</v>
      </c>
      <c r="P17" s="299">
        <f t="shared" si="3"/>
        <v>179916</v>
      </c>
    </row>
    <row r="18" spans="1:16" ht="13.5" thickBot="1">
      <c r="A18" t="s">
        <v>32</v>
      </c>
      <c r="B18" s="283" t="s">
        <v>31</v>
      </c>
      <c r="C18" s="712" t="s">
        <v>122</v>
      </c>
      <c r="D18" s="713"/>
      <c r="E18" s="713"/>
      <c r="F18" s="713"/>
      <c r="G18" s="713"/>
      <c r="H18" s="713"/>
      <c r="I18" s="713"/>
      <c r="J18" s="713"/>
      <c r="K18" s="713"/>
      <c r="L18" s="713"/>
      <c r="M18" s="713"/>
      <c r="N18" s="713"/>
      <c r="O18" s="713"/>
      <c r="P18" s="715"/>
    </row>
    <row r="19" spans="1:16" ht="12.75">
      <c r="A19" t="s">
        <v>33</v>
      </c>
      <c r="B19" s="301" t="s">
        <v>32</v>
      </c>
      <c r="C19" s="302" t="s">
        <v>213</v>
      </c>
      <c r="D19" s="295">
        <v>3508</v>
      </c>
      <c r="E19" s="295">
        <f>+D19</f>
        <v>3508</v>
      </c>
      <c r="F19" s="295">
        <f aca="true" t="shared" si="4" ref="F19:N19">+E19</f>
        <v>3508</v>
      </c>
      <c r="G19" s="295">
        <f t="shared" si="4"/>
        <v>3508</v>
      </c>
      <c r="H19" s="295">
        <f t="shared" si="4"/>
        <v>3508</v>
      </c>
      <c r="I19" s="295">
        <f t="shared" si="4"/>
        <v>3508</v>
      </c>
      <c r="J19" s="295">
        <f t="shared" si="4"/>
        <v>3508</v>
      </c>
      <c r="K19" s="295">
        <f t="shared" si="4"/>
        <v>3508</v>
      </c>
      <c r="L19" s="295">
        <f t="shared" si="4"/>
        <v>3508</v>
      </c>
      <c r="M19" s="295">
        <f t="shared" si="4"/>
        <v>3508</v>
      </c>
      <c r="N19" s="295">
        <f t="shared" si="4"/>
        <v>3508</v>
      </c>
      <c r="O19" s="295">
        <f>+N19+1</f>
        <v>3509</v>
      </c>
      <c r="P19" s="303">
        <f>SUM(D19:O19)</f>
        <v>42097</v>
      </c>
    </row>
    <row r="20" spans="1:16" ht="24.75" customHeight="1">
      <c r="A20" t="s">
        <v>34</v>
      </c>
      <c r="B20" s="290" t="s">
        <v>33</v>
      </c>
      <c r="C20" s="296" t="s">
        <v>321</v>
      </c>
      <c r="D20" s="292">
        <v>948</v>
      </c>
      <c r="E20" s="292">
        <f>+D20</f>
        <v>948</v>
      </c>
      <c r="F20" s="292">
        <f aca="true" t="shared" si="5" ref="F20:N20">+E20</f>
        <v>948</v>
      </c>
      <c r="G20" s="292">
        <f t="shared" si="5"/>
        <v>948</v>
      </c>
      <c r="H20" s="292">
        <f t="shared" si="5"/>
        <v>948</v>
      </c>
      <c r="I20" s="292">
        <f t="shared" si="5"/>
        <v>948</v>
      </c>
      <c r="J20" s="292">
        <f t="shared" si="5"/>
        <v>948</v>
      </c>
      <c r="K20" s="292">
        <f t="shared" si="5"/>
        <v>948</v>
      </c>
      <c r="L20" s="292">
        <f t="shared" si="5"/>
        <v>948</v>
      </c>
      <c r="M20" s="292">
        <f t="shared" si="5"/>
        <v>948</v>
      </c>
      <c r="N20" s="292">
        <f t="shared" si="5"/>
        <v>948</v>
      </c>
      <c r="O20" s="292">
        <f>+N20</f>
        <v>948</v>
      </c>
      <c r="P20" s="303">
        <f>SUM(D20:O20)</f>
        <v>11376</v>
      </c>
    </row>
    <row r="21" spans="1:16" ht="12.75">
      <c r="A21" t="s">
        <v>35</v>
      </c>
      <c r="B21" s="290" t="s">
        <v>34</v>
      </c>
      <c r="C21" s="291" t="s">
        <v>249</v>
      </c>
      <c r="D21" s="292">
        <v>10537</v>
      </c>
      <c r="E21" s="292">
        <f>+D21</f>
        <v>10537</v>
      </c>
      <c r="F21" s="292">
        <f aca="true" t="shared" si="6" ref="F21:N21">+E21</f>
        <v>10537</v>
      </c>
      <c r="G21" s="292">
        <f t="shared" si="6"/>
        <v>10537</v>
      </c>
      <c r="H21" s="292">
        <f t="shared" si="6"/>
        <v>10537</v>
      </c>
      <c r="I21" s="292">
        <f t="shared" si="6"/>
        <v>10537</v>
      </c>
      <c r="J21" s="292">
        <f t="shared" si="6"/>
        <v>10537</v>
      </c>
      <c r="K21" s="292">
        <f t="shared" si="6"/>
        <v>10537</v>
      </c>
      <c r="L21" s="292">
        <f t="shared" si="6"/>
        <v>10537</v>
      </c>
      <c r="M21" s="292">
        <f t="shared" si="6"/>
        <v>10537</v>
      </c>
      <c r="N21" s="292">
        <f t="shared" si="6"/>
        <v>10537</v>
      </c>
      <c r="O21" s="292">
        <f>+N21-1</f>
        <v>10536</v>
      </c>
      <c r="P21" s="303">
        <f aca="true" t="shared" si="7" ref="P21:P28">SUM(D21:O21)</f>
        <v>126443</v>
      </c>
    </row>
    <row r="22" spans="1:16" ht="12.75">
      <c r="A22" t="s">
        <v>36</v>
      </c>
      <c r="B22" s="290" t="s">
        <v>35</v>
      </c>
      <c r="C22" s="291" t="s">
        <v>322</v>
      </c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303">
        <f t="shared" si="7"/>
        <v>0</v>
      </c>
    </row>
    <row r="23" spans="1:16" ht="12.75">
      <c r="A23" t="s">
        <v>37</v>
      </c>
      <c r="B23" s="290" t="s">
        <v>36</v>
      </c>
      <c r="C23" s="291" t="s">
        <v>323</v>
      </c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303">
        <f t="shared" si="7"/>
        <v>0</v>
      </c>
    </row>
    <row r="24" spans="1:16" ht="12.75">
      <c r="A24" t="s">
        <v>40</v>
      </c>
      <c r="B24" s="290" t="s">
        <v>37</v>
      </c>
      <c r="C24" s="291" t="s">
        <v>324</v>
      </c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303">
        <f t="shared" si="7"/>
        <v>0</v>
      </c>
    </row>
    <row r="25" spans="1:16" ht="21" customHeight="1">
      <c r="A25" t="s">
        <v>42</v>
      </c>
      <c r="B25" s="290" t="s">
        <v>40</v>
      </c>
      <c r="C25" s="296" t="s">
        <v>325</v>
      </c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303">
        <f t="shared" si="7"/>
        <v>0</v>
      </c>
    </row>
    <row r="26" spans="1:16" ht="12.75">
      <c r="A26" t="s">
        <v>43</v>
      </c>
      <c r="B26" s="290" t="s">
        <v>42</v>
      </c>
      <c r="C26" s="291" t="s">
        <v>326</v>
      </c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303">
        <f t="shared" si="7"/>
        <v>0</v>
      </c>
    </row>
    <row r="27" spans="1:16" ht="12.75">
      <c r="A27" t="s">
        <v>44</v>
      </c>
      <c r="B27" s="290" t="s">
        <v>43</v>
      </c>
      <c r="C27" s="291" t="s">
        <v>327</v>
      </c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303">
        <f t="shared" si="7"/>
        <v>0</v>
      </c>
    </row>
    <row r="28" spans="1:16" ht="12.75">
      <c r="A28" t="s">
        <v>45</v>
      </c>
      <c r="B28" s="290" t="s">
        <v>44</v>
      </c>
      <c r="C28" s="291" t="s">
        <v>328</v>
      </c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303">
        <f t="shared" si="7"/>
        <v>0</v>
      </c>
    </row>
    <row r="29" spans="1:16" ht="13.5" thickBot="1">
      <c r="A29" t="s">
        <v>46</v>
      </c>
      <c r="B29" s="290" t="s">
        <v>45</v>
      </c>
      <c r="C29" s="291" t="s">
        <v>329</v>
      </c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303">
        <f>SUM(D29:O29)</f>
        <v>0</v>
      </c>
    </row>
    <row r="30" spans="1:16" ht="13.5" thickBot="1">
      <c r="A30" t="s">
        <v>47</v>
      </c>
      <c r="B30" s="304" t="s">
        <v>46</v>
      </c>
      <c r="C30" s="298" t="s">
        <v>330</v>
      </c>
      <c r="D30" s="299">
        <f>SUM(D19:D29)</f>
        <v>14993</v>
      </c>
      <c r="E30" s="299">
        <f aca="true" t="shared" si="8" ref="E30:O30">SUM(E19:E29)</f>
        <v>14993</v>
      </c>
      <c r="F30" s="299">
        <f t="shared" si="8"/>
        <v>14993</v>
      </c>
      <c r="G30" s="299">
        <f t="shared" si="8"/>
        <v>14993</v>
      </c>
      <c r="H30" s="299">
        <f t="shared" si="8"/>
        <v>14993</v>
      </c>
      <c r="I30" s="299">
        <f t="shared" si="8"/>
        <v>14993</v>
      </c>
      <c r="J30" s="299">
        <f t="shared" si="8"/>
        <v>14993</v>
      </c>
      <c r="K30" s="299">
        <f t="shared" si="8"/>
        <v>14993</v>
      </c>
      <c r="L30" s="299">
        <f t="shared" si="8"/>
        <v>14993</v>
      </c>
      <c r="M30" s="299">
        <f t="shared" si="8"/>
        <v>14993</v>
      </c>
      <c r="N30" s="299">
        <f t="shared" si="8"/>
        <v>14993</v>
      </c>
      <c r="O30" s="299">
        <f t="shared" si="8"/>
        <v>14993</v>
      </c>
      <c r="P30" s="305">
        <f>SUM(P19:P29)</f>
        <v>179916</v>
      </c>
    </row>
    <row r="31" spans="1:16" ht="13.5" thickBot="1">
      <c r="A31" t="s">
        <v>48</v>
      </c>
      <c r="B31" s="304" t="s">
        <v>47</v>
      </c>
      <c r="C31" s="306" t="s">
        <v>331</v>
      </c>
      <c r="D31" s="307">
        <f>+D30-D17</f>
        <v>0</v>
      </c>
      <c r="E31" s="307">
        <f aca="true" t="shared" si="9" ref="E31:P31">+E30-E17</f>
        <v>0</v>
      </c>
      <c r="F31" s="307">
        <f t="shared" si="9"/>
        <v>0</v>
      </c>
      <c r="G31" s="307">
        <f t="shared" si="9"/>
        <v>0</v>
      </c>
      <c r="H31" s="307">
        <f t="shared" si="9"/>
        <v>0</v>
      </c>
      <c r="I31" s="307">
        <f t="shared" si="9"/>
        <v>0</v>
      </c>
      <c r="J31" s="307">
        <f t="shared" si="9"/>
        <v>0</v>
      </c>
      <c r="K31" s="307">
        <f t="shared" si="9"/>
        <v>0</v>
      </c>
      <c r="L31" s="307">
        <f t="shared" si="9"/>
        <v>0</v>
      </c>
      <c r="M31" s="307">
        <f t="shared" si="9"/>
        <v>0</v>
      </c>
      <c r="N31" s="307">
        <f t="shared" si="9"/>
        <v>0</v>
      </c>
      <c r="O31" s="307">
        <f t="shared" si="9"/>
        <v>0</v>
      </c>
      <c r="P31" s="307">
        <f t="shared" si="9"/>
        <v>0</v>
      </c>
    </row>
    <row r="32" spans="2:16" ht="15.75">
      <c r="B32" s="30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7"/>
    </row>
    <row r="33" spans="2:16" ht="15.75">
      <c r="B33" s="277"/>
      <c r="C33" s="309"/>
      <c r="D33" s="311"/>
      <c r="E33" s="310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7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&amp;L19. melléklet a 2014. évi 2/2014.(I.24.) Önkormányzati költségvetési rendelethez&amp;R&amp;D</oddHeader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3" width="35.57421875" style="0" customWidth="1"/>
  </cols>
  <sheetData>
    <row r="1" spans="15:16" ht="12.75">
      <c r="O1" s="716"/>
      <c r="P1" s="716"/>
    </row>
    <row r="2" spans="2:16" ht="15.75">
      <c r="B2" s="717" t="s">
        <v>360</v>
      </c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</row>
    <row r="3" spans="2:16" ht="15.75">
      <c r="B3" s="717" t="s">
        <v>437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</row>
    <row r="4" spans="2:16" ht="15.75"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9" t="s">
        <v>297</v>
      </c>
    </row>
    <row r="5" spans="1:16" ht="16.5" thickBot="1">
      <c r="A5" t="s">
        <v>11</v>
      </c>
      <c r="B5" s="435" t="s">
        <v>12</v>
      </c>
      <c r="C5" s="436" t="s">
        <v>13</v>
      </c>
      <c r="D5" s="436" t="s">
        <v>14</v>
      </c>
      <c r="E5" s="436" t="s">
        <v>15</v>
      </c>
      <c r="F5" s="436" t="s">
        <v>16</v>
      </c>
      <c r="G5" s="436" t="s">
        <v>17</v>
      </c>
      <c r="H5" s="436" t="s">
        <v>18</v>
      </c>
      <c r="I5" s="436" t="s">
        <v>59</v>
      </c>
      <c r="J5" s="436" t="s">
        <v>373</v>
      </c>
      <c r="K5" s="436" t="s">
        <v>363</v>
      </c>
      <c r="L5" s="436" t="s">
        <v>364</v>
      </c>
      <c r="M5" s="436" t="s">
        <v>366</v>
      </c>
      <c r="N5" s="436" t="s">
        <v>370</v>
      </c>
      <c r="O5" s="436" t="s">
        <v>371</v>
      </c>
      <c r="P5" s="436" t="s">
        <v>372</v>
      </c>
    </row>
    <row r="6" spans="1:16" ht="24.75" thickBot="1">
      <c r="A6" t="s">
        <v>20</v>
      </c>
      <c r="B6" s="280" t="s">
        <v>298</v>
      </c>
      <c r="C6" s="281" t="s">
        <v>63</v>
      </c>
      <c r="D6" s="281" t="s">
        <v>299</v>
      </c>
      <c r="E6" s="281" t="s">
        <v>300</v>
      </c>
      <c r="F6" s="281" t="s">
        <v>301</v>
      </c>
      <c r="G6" s="281" t="s">
        <v>302</v>
      </c>
      <c r="H6" s="281" t="s">
        <v>303</v>
      </c>
      <c r="I6" s="281" t="s">
        <v>304</v>
      </c>
      <c r="J6" s="281" t="s">
        <v>305</v>
      </c>
      <c r="K6" s="281" t="s">
        <v>306</v>
      </c>
      <c r="L6" s="281" t="s">
        <v>307</v>
      </c>
      <c r="M6" s="281" t="s">
        <v>308</v>
      </c>
      <c r="N6" s="281" t="s">
        <v>309</v>
      </c>
      <c r="O6" s="281" t="s">
        <v>310</v>
      </c>
      <c r="P6" s="282" t="s">
        <v>311</v>
      </c>
    </row>
    <row r="7" spans="1:16" ht="13.5" thickBot="1">
      <c r="A7" t="s">
        <v>21</v>
      </c>
      <c r="B7" s="283" t="s">
        <v>20</v>
      </c>
      <c r="C7" s="712" t="s">
        <v>93</v>
      </c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  <c r="P7" s="714"/>
    </row>
    <row r="8" spans="1:16" ht="12.75">
      <c r="A8" t="s">
        <v>22</v>
      </c>
      <c r="B8" s="286" t="s">
        <v>21</v>
      </c>
      <c r="C8" s="287" t="s">
        <v>312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9">
        <f>SUM(D8:O8)</f>
        <v>0</v>
      </c>
    </row>
    <row r="9" spans="1:16" ht="12.75">
      <c r="A9" t="s">
        <v>23</v>
      </c>
      <c r="B9" s="290" t="s">
        <v>22</v>
      </c>
      <c r="C9" s="291" t="s">
        <v>313</v>
      </c>
      <c r="D9" s="292">
        <v>183</v>
      </c>
      <c r="E9" s="292">
        <f>+D9</f>
        <v>183</v>
      </c>
      <c r="F9" s="292">
        <f aca="true" t="shared" si="0" ref="F9:N9">+E9</f>
        <v>183</v>
      </c>
      <c r="G9" s="292">
        <f t="shared" si="0"/>
        <v>183</v>
      </c>
      <c r="H9" s="292">
        <f t="shared" si="0"/>
        <v>183</v>
      </c>
      <c r="I9" s="292">
        <f t="shared" si="0"/>
        <v>183</v>
      </c>
      <c r="J9" s="292">
        <f t="shared" si="0"/>
        <v>183</v>
      </c>
      <c r="K9" s="292">
        <f t="shared" si="0"/>
        <v>183</v>
      </c>
      <c r="L9" s="292">
        <f t="shared" si="0"/>
        <v>183</v>
      </c>
      <c r="M9" s="292">
        <f t="shared" si="0"/>
        <v>183</v>
      </c>
      <c r="N9" s="292">
        <f t="shared" si="0"/>
        <v>183</v>
      </c>
      <c r="O9" s="292">
        <f>+N9+6-2</f>
        <v>187</v>
      </c>
      <c r="P9" s="293">
        <f aca="true" t="shared" si="1" ref="P9:P15">SUM(D9:O9)</f>
        <v>2200</v>
      </c>
    </row>
    <row r="10" spans="1:16" ht="12.75">
      <c r="A10" t="s">
        <v>24</v>
      </c>
      <c r="B10" s="290" t="s">
        <v>23</v>
      </c>
      <c r="C10" s="294" t="s">
        <v>314</v>
      </c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3">
        <f t="shared" si="1"/>
        <v>0</v>
      </c>
    </row>
    <row r="11" spans="1:16" ht="12.75">
      <c r="A11" t="s">
        <v>25</v>
      </c>
      <c r="B11" s="290" t="s">
        <v>24</v>
      </c>
      <c r="C11" s="291" t="s">
        <v>315</v>
      </c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3">
        <f t="shared" si="1"/>
        <v>0</v>
      </c>
    </row>
    <row r="12" spans="1:16" ht="12.75">
      <c r="A12" t="s">
        <v>26</v>
      </c>
      <c r="B12" s="290" t="s">
        <v>25</v>
      </c>
      <c r="C12" s="291" t="s">
        <v>316</v>
      </c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3">
        <f t="shared" si="1"/>
        <v>0</v>
      </c>
    </row>
    <row r="13" spans="1:16" ht="12.75">
      <c r="A13" t="s">
        <v>27</v>
      </c>
      <c r="B13" s="290" t="s">
        <v>26</v>
      </c>
      <c r="C13" s="291" t="s">
        <v>317</v>
      </c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3">
        <f t="shared" si="1"/>
        <v>0</v>
      </c>
    </row>
    <row r="14" spans="1:16" ht="12.75">
      <c r="A14" t="s">
        <v>28</v>
      </c>
      <c r="B14" s="290" t="s">
        <v>27</v>
      </c>
      <c r="C14" s="291" t="s">
        <v>318</v>
      </c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3">
        <f t="shared" si="1"/>
        <v>0</v>
      </c>
    </row>
    <row r="15" spans="1:16" ht="22.5">
      <c r="A15" t="s">
        <v>29</v>
      </c>
      <c r="B15" s="290" t="s">
        <v>28</v>
      </c>
      <c r="C15" s="296" t="s">
        <v>319</v>
      </c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3">
        <f t="shared" si="1"/>
        <v>0</v>
      </c>
    </row>
    <row r="16" spans="1:16" ht="13.5" thickBot="1">
      <c r="A16" t="s">
        <v>30</v>
      </c>
      <c r="B16" s="290" t="s">
        <v>29</v>
      </c>
      <c r="C16" s="291" t="s">
        <v>220</v>
      </c>
      <c r="D16" s="292">
        <f>+D30-D8-D9-D10-D11-D12-D13-D14-D15</f>
        <v>1551</v>
      </c>
      <c r="E16" s="292">
        <f aca="true" t="shared" si="2" ref="E16:O16">+E30-E8-E9-E10-E11-E12-E13-E14-E15</f>
        <v>1551</v>
      </c>
      <c r="F16" s="292">
        <f t="shared" si="2"/>
        <v>1551</v>
      </c>
      <c r="G16" s="292">
        <f t="shared" si="2"/>
        <v>1551</v>
      </c>
      <c r="H16" s="292">
        <f t="shared" si="2"/>
        <v>1551</v>
      </c>
      <c r="I16" s="292">
        <f t="shared" si="2"/>
        <v>1551</v>
      </c>
      <c r="J16" s="292">
        <f t="shared" si="2"/>
        <v>1551</v>
      </c>
      <c r="K16" s="292">
        <f t="shared" si="2"/>
        <v>1551</v>
      </c>
      <c r="L16" s="292">
        <f t="shared" si="2"/>
        <v>2251</v>
      </c>
      <c r="M16" s="292">
        <f t="shared" si="2"/>
        <v>1551</v>
      </c>
      <c r="N16" s="292">
        <f t="shared" si="2"/>
        <v>1551</v>
      </c>
      <c r="O16" s="292">
        <f t="shared" si="2"/>
        <v>1557</v>
      </c>
      <c r="P16" s="297">
        <f>SUM(D16:O16)</f>
        <v>19318</v>
      </c>
    </row>
    <row r="17" spans="1:16" ht="13.5" thickBot="1">
      <c r="A17" t="s">
        <v>31</v>
      </c>
      <c r="B17" s="283" t="s">
        <v>30</v>
      </c>
      <c r="C17" s="298" t="s">
        <v>320</v>
      </c>
      <c r="D17" s="299">
        <f>SUM(D8:D16)</f>
        <v>1734</v>
      </c>
      <c r="E17" s="299">
        <f aca="true" t="shared" si="3" ref="E17:P17">SUM(E8:E16)</f>
        <v>1734</v>
      </c>
      <c r="F17" s="299">
        <f t="shared" si="3"/>
        <v>1734</v>
      </c>
      <c r="G17" s="299">
        <f t="shared" si="3"/>
        <v>1734</v>
      </c>
      <c r="H17" s="299">
        <f t="shared" si="3"/>
        <v>1734</v>
      </c>
      <c r="I17" s="299">
        <f t="shared" si="3"/>
        <v>1734</v>
      </c>
      <c r="J17" s="299">
        <f t="shared" si="3"/>
        <v>1734</v>
      </c>
      <c r="K17" s="299">
        <f t="shared" si="3"/>
        <v>1734</v>
      </c>
      <c r="L17" s="299">
        <f t="shared" si="3"/>
        <v>2434</v>
      </c>
      <c r="M17" s="299">
        <f t="shared" si="3"/>
        <v>1734</v>
      </c>
      <c r="N17" s="299">
        <f t="shared" si="3"/>
        <v>1734</v>
      </c>
      <c r="O17" s="299">
        <f t="shared" si="3"/>
        <v>1744</v>
      </c>
      <c r="P17" s="299">
        <f t="shared" si="3"/>
        <v>21518</v>
      </c>
    </row>
    <row r="18" spans="1:16" ht="13.5" thickBot="1">
      <c r="A18" t="s">
        <v>32</v>
      </c>
      <c r="B18" s="283" t="s">
        <v>31</v>
      </c>
      <c r="C18" s="712" t="s">
        <v>122</v>
      </c>
      <c r="D18" s="713"/>
      <c r="E18" s="713"/>
      <c r="F18" s="713"/>
      <c r="G18" s="713"/>
      <c r="H18" s="713"/>
      <c r="I18" s="713"/>
      <c r="J18" s="713"/>
      <c r="K18" s="713"/>
      <c r="L18" s="713"/>
      <c r="M18" s="713"/>
      <c r="N18" s="713"/>
      <c r="O18" s="713"/>
      <c r="P18" s="715"/>
    </row>
    <row r="19" spans="1:16" ht="12.75">
      <c r="A19" t="s">
        <v>33</v>
      </c>
      <c r="B19" s="301" t="s">
        <v>32</v>
      </c>
      <c r="C19" s="302" t="s">
        <v>213</v>
      </c>
      <c r="D19" s="295">
        <v>784</v>
      </c>
      <c r="E19" s="295">
        <f>+D19</f>
        <v>784</v>
      </c>
      <c r="F19" s="295">
        <f aca="true" t="shared" si="4" ref="F19:N19">+E19</f>
        <v>784</v>
      </c>
      <c r="G19" s="295">
        <f t="shared" si="4"/>
        <v>784</v>
      </c>
      <c r="H19" s="295">
        <f t="shared" si="4"/>
        <v>784</v>
      </c>
      <c r="I19" s="295">
        <f t="shared" si="4"/>
        <v>784</v>
      </c>
      <c r="J19" s="295">
        <f t="shared" si="4"/>
        <v>784</v>
      </c>
      <c r="K19" s="295">
        <f t="shared" si="4"/>
        <v>784</v>
      </c>
      <c r="L19" s="295">
        <f t="shared" si="4"/>
        <v>784</v>
      </c>
      <c r="M19" s="295">
        <f t="shared" si="4"/>
        <v>784</v>
      </c>
      <c r="N19" s="295">
        <f t="shared" si="4"/>
        <v>784</v>
      </c>
      <c r="O19" s="295">
        <f>+N19+1</f>
        <v>785</v>
      </c>
      <c r="P19" s="303">
        <f>SUM(D19:O19)</f>
        <v>9409</v>
      </c>
    </row>
    <row r="20" spans="1:16" ht="24.75" customHeight="1">
      <c r="A20" t="s">
        <v>34</v>
      </c>
      <c r="B20" s="290" t="s">
        <v>33</v>
      </c>
      <c r="C20" s="296" t="s">
        <v>321</v>
      </c>
      <c r="D20" s="292">
        <v>211</v>
      </c>
      <c r="E20" s="292">
        <f>+D20</f>
        <v>211</v>
      </c>
      <c r="F20" s="292">
        <f aca="true" t="shared" si="5" ref="F20:N20">+E20</f>
        <v>211</v>
      </c>
      <c r="G20" s="292">
        <f t="shared" si="5"/>
        <v>211</v>
      </c>
      <c r="H20" s="292">
        <f t="shared" si="5"/>
        <v>211</v>
      </c>
      <c r="I20" s="292">
        <f t="shared" si="5"/>
        <v>211</v>
      </c>
      <c r="J20" s="292">
        <f t="shared" si="5"/>
        <v>211</v>
      </c>
      <c r="K20" s="292">
        <f t="shared" si="5"/>
        <v>211</v>
      </c>
      <c r="L20" s="292">
        <f t="shared" si="5"/>
        <v>211</v>
      </c>
      <c r="M20" s="292">
        <f t="shared" si="5"/>
        <v>211</v>
      </c>
      <c r="N20" s="292">
        <f t="shared" si="5"/>
        <v>211</v>
      </c>
      <c r="O20" s="292">
        <f>+N20+7</f>
        <v>218</v>
      </c>
      <c r="P20" s="303">
        <f aca="true" t="shared" si="6" ref="P20:P28">SUM(D20:O20)</f>
        <v>2539</v>
      </c>
    </row>
    <row r="21" spans="1:16" ht="12.75">
      <c r="A21" t="s">
        <v>35</v>
      </c>
      <c r="B21" s="290" t="s">
        <v>34</v>
      </c>
      <c r="C21" s="291" t="s">
        <v>249</v>
      </c>
      <c r="D21" s="292">
        <v>739</v>
      </c>
      <c r="E21" s="292">
        <f>+D21</f>
        <v>739</v>
      </c>
      <c r="F21" s="292">
        <f aca="true" t="shared" si="7" ref="F21:N21">+E21</f>
        <v>739</v>
      </c>
      <c r="G21" s="292">
        <f t="shared" si="7"/>
        <v>739</v>
      </c>
      <c r="H21" s="292">
        <f t="shared" si="7"/>
        <v>739</v>
      </c>
      <c r="I21" s="292">
        <f t="shared" si="7"/>
        <v>739</v>
      </c>
      <c r="J21" s="292">
        <f t="shared" si="7"/>
        <v>739</v>
      </c>
      <c r="K21" s="292">
        <f t="shared" si="7"/>
        <v>739</v>
      </c>
      <c r="L21" s="292">
        <f>+K21+700</f>
        <v>1439</v>
      </c>
      <c r="M21" s="292">
        <f>+K21</f>
        <v>739</v>
      </c>
      <c r="N21" s="292">
        <f t="shared" si="7"/>
        <v>739</v>
      </c>
      <c r="O21" s="292">
        <f>+N21-3+5</f>
        <v>741</v>
      </c>
      <c r="P21" s="303">
        <f t="shared" si="6"/>
        <v>9570</v>
      </c>
    </row>
    <row r="22" spans="1:16" ht="12.75">
      <c r="A22" t="s">
        <v>36</v>
      </c>
      <c r="B22" s="290" t="s">
        <v>35</v>
      </c>
      <c r="C22" s="291" t="s">
        <v>322</v>
      </c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303">
        <f t="shared" si="6"/>
        <v>0</v>
      </c>
    </row>
    <row r="23" spans="1:16" ht="12.75">
      <c r="A23" t="s">
        <v>37</v>
      </c>
      <c r="B23" s="290" t="s">
        <v>36</v>
      </c>
      <c r="C23" s="291" t="s">
        <v>323</v>
      </c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303">
        <f t="shared" si="6"/>
        <v>0</v>
      </c>
    </row>
    <row r="24" spans="1:16" ht="12.75">
      <c r="A24" t="s">
        <v>40</v>
      </c>
      <c r="B24" s="290" t="s">
        <v>37</v>
      </c>
      <c r="C24" s="291" t="s">
        <v>324</v>
      </c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303">
        <f t="shared" si="6"/>
        <v>0</v>
      </c>
    </row>
    <row r="25" spans="1:16" ht="21" customHeight="1">
      <c r="A25" t="s">
        <v>42</v>
      </c>
      <c r="B25" s="290" t="s">
        <v>40</v>
      </c>
      <c r="C25" s="296" t="s">
        <v>325</v>
      </c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303">
        <f t="shared" si="6"/>
        <v>0</v>
      </c>
    </row>
    <row r="26" spans="1:16" ht="12.75">
      <c r="A26" t="s">
        <v>43</v>
      </c>
      <c r="B26" s="290" t="s">
        <v>42</v>
      </c>
      <c r="C26" s="291" t="s">
        <v>326</v>
      </c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303">
        <f t="shared" si="6"/>
        <v>0</v>
      </c>
    </row>
    <row r="27" spans="1:16" ht="12.75">
      <c r="A27" t="s">
        <v>44</v>
      </c>
      <c r="B27" s="290" t="s">
        <v>43</v>
      </c>
      <c r="C27" s="291" t="s">
        <v>327</v>
      </c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303">
        <f t="shared" si="6"/>
        <v>0</v>
      </c>
    </row>
    <row r="28" spans="1:16" ht="12.75">
      <c r="A28" t="s">
        <v>45</v>
      </c>
      <c r="B28" s="290" t="s">
        <v>44</v>
      </c>
      <c r="C28" s="291" t="s">
        <v>328</v>
      </c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303">
        <f t="shared" si="6"/>
        <v>0</v>
      </c>
    </row>
    <row r="29" spans="1:16" ht="13.5" thickBot="1">
      <c r="A29" t="s">
        <v>46</v>
      </c>
      <c r="B29" s="290" t="s">
        <v>45</v>
      </c>
      <c r="C29" s="291" t="s">
        <v>329</v>
      </c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303">
        <f>SUM(D29:O29)</f>
        <v>0</v>
      </c>
    </row>
    <row r="30" spans="1:16" ht="13.5" thickBot="1">
      <c r="A30" t="s">
        <v>47</v>
      </c>
      <c r="B30" s="304" t="s">
        <v>46</v>
      </c>
      <c r="C30" s="298" t="s">
        <v>330</v>
      </c>
      <c r="D30" s="299">
        <f>SUM(D19:D29)</f>
        <v>1734</v>
      </c>
      <c r="E30" s="299">
        <f aca="true" t="shared" si="8" ref="E30:O30">SUM(E19:E29)</f>
        <v>1734</v>
      </c>
      <c r="F30" s="299">
        <f t="shared" si="8"/>
        <v>1734</v>
      </c>
      <c r="G30" s="299">
        <f t="shared" si="8"/>
        <v>1734</v>
      </c>
      <c r="H30" s="299">
        <f t="shared" si="8"/>
        <v>1734</v>
      </c>
      <c r="I30" s="299">
        <f t="shared" si="8"/>
        <v>1734</v>
      </c>
      <c r="J30" s="299">
        <f t="shared" si="8"/>
        <v>1734</v>
      </c>
      <c r="K30" s="299">
        <f t="shared" si="8"/>
        <v>1734</v>
      </c>
      <c r="L30" s="299">
        <f t="shared" si="8"/>
        <v>2434</v>
      </c>
      <c r="M30" s="299">
        <f t="shared" si="8"/>
        <v>1734</v>
      </c>
      <c r="N30" s="299">
        <f t="shared" si="8"/>
        <v>1734</v>
      </c>
      <c r="O30" s="299">
        <f t="shared" si="8"/>
        <v>1744</v>
      </c>
      <c r="P30" s="305">
        <f>SUM(P19:P29)</f>
        <v>21518</v>
      </c>
    </row>
    <row r="31" spans="1:16" ht="13.5" thickBot="1">
      <c r="A31" t="s">
        <v>48</v>
      </c>
      <c r="B31" s="304" t="s">
        <v>47</v>
      </c>
      <c r="C31" s="306" t="s">
        <v>331</v>
      </c>
      <c r="D31" s="307">
        <f>+D30-D17</f>
        <v>0</v>
      </c>
      <c r="E31" s="307">
        <f aca="true" t="shared" si="9" ref="E31:P31">+E30-E17</f>
        <v>0</v>
      </c>
      <c r="F31" s="307">
        <f t="shared" si="9"/>
        <v>0</v>
      </c>
      <c r="G31" s="307">
        <f t="shared" si="9"/>
        <v>0</v>
      </c>
      <c r="H31" s="307">
        <f t="shared" si="9"/>
        <v>0</v>
      </c>
      <c r="I31" s="307">
        <f t="shared" si="9"/>
        <v>0</v>
      </c>
      <c r="J31" s="307">
        <f t="shared" si="9"/>
        <v>0</v>
      </c>
      <c r="K31" s="307">
        <f t="shared" si="9"/>
        <v>0</v>
      </c>
      <c r="L31" s="307">
        <f t="shared" si="9"/>
        <v>0</v>
      </c>
      <c r="M31" s="307">
        <f t="shared" si="9"/>
        <v>0</v>
      </c>
      <c r="N31" s="307">
        <f t="shared" si="9"/>
        <v>0</v>
      </c>
      <c r="O31" s="307">
        <f t="shared" si="9"/>
        <v>0</v>
      </c>
      <c r="P31" s="307">
        <f t="shared" si="9"/>
        <v>0</v>
      </c>
    </row>
    <row r="32" spans="2:16" ht="15.75">
      <c r="B32" s="30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7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75" right="0.75" top="1" bottom="1" header="0.5" footer="0.5"/>
  <pageSetup horizontalDpi="600" verticalDpi="600" orientation="landscape" paperSize="9" scale="78" r:id="rId1"/>
  <headerFooter alignWithMargins="0">
    <oddHeader>&amp;L20. melléklet a 2014. évi 2/2014.(I.24.) Önkormányzati költségvetési rendelethez&amp;R&amp;D</oddHeader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0">
      <selection activeCell="L39" sqref="L39"/>
    </sheetView>
  </sheetViews>
  <sheetFormatPr defaultColWidth="9.140625" defaultRowHeight="12.75"/>
  <cols>
    <col min="1" max="1" width="3.28125" style="133" customWidth="1"/>
    <col min="2" max="2" width="4.00390625" style="133" customWidth="1"/>
    <col min="3" max="3" width="23.421875" style="133" customWidth="1"/>
    <col min="4" max="4" width="17.57421875" style="133" customWidth="1"/>
    <col min="5" max="5" width="9.57421875" style="133" bestFit="1" customWidth="1"/>
    <col min="6" max="7" width="14.7109375" style="133" customWidth="1"/>
    <col min="8" max="8" width="9.421875" style="133" customWidth="1"/>
    <col min="9" max="10" width="9.421875" style="133" hidden="1" customWidth="1"/>
    <col min="11" max="11" width="11.140625" style="133" bestFit="1" customWidth="1"/>
    <col min="12" max="12" width="9.421875" style="133" bestFit="1" customWidth="1"/>
    <col min="13" max="14" width="9.28125" style="133" bestFit="1" customWidth="1"/>
    <col min="15" max="16384" width="9.140625" style="133" customWidth="1"/>
  </cols>
  <sheetData>
    <row r="1" spans="1:14" ht="14.25">
      <c r="A1" s="724" t="s">
        <v>160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</row>
    <row r="2" spans="1:14" ht="31.5" customHeight="1" thickBot="1">
      <c r="A2" s="133" t="s">
        <v>11</v>
      </c>
      <c r="B2" s="134" t="s">
        <v>12</v>
      </c>
      <c r="C2" s="134" t="s">
        <v>13</v>
      </c>
      <c r="D2" s="134" t="s">
        <v>14</v>
      </c>
      <c r="E2" s="134" t="s">
        <v>15</v>
      </c>
      <c r="F2" s="134" t="s">
        <v>16</v>
      </c>
      <c r="G2" s="134"/>
      <c r="H2" s="134" t="s">
        <v>17</v>
      </c>
      <c r="I2" s="134" t="s">
        <v>18</v>
      </c>
      <c r="J2" s="134" t="s">
        <v>368</v>
      </c>
      <c r="K2" s="134" t="s">
        <v>19</v>
      </c>
      <c r="L2" s="134" t="s">
        <v>363</v>
      </c>
      <c r="M2" s="133" t="s">
        <v>364</v>
      </c>
      <c r="N2" s="133" t="s">
        <v>366</v>
      </c>
    </row>
    <row r="3" spans="1:14" ht="18" customHeight="1">
      <c r="A3" s="133" t="s">
        <v>20</v>
      </c>
      <c r="B3" s="250" t="s">
        <v>161</v>
      </c>
      <c r="C3" s="251"/>
      <c r="D3" s="251"/>
      <c r="E3" s="251"/>
      <c r="F3" s="237"/>
      <c r="G3" s="630"/>
      <c r="H3" s="721">
        <v>2013</v>
      </c>
      <c r="I3" s="722"/>
      <c r="J3" s="723"/>
      <c r="K3" s="245">
        <v>2014</v>
      </c>
      <c r="L3" s="245">
        <v>2015</v>
      </c>
      <c r="M3" s="245">
        <v>2016</v>
      </c>
      <c r="N3" s="245">
        <v>2017</v>
      </c>
    </row>
    <row r="4" spans="1:14" ht="15" thickBot="1">
      <c r="A4" s="133" t="s">
        <v>21</v>
      </c>
      <c r="B4" s="260"/>
      <c r="C4" s="259"/>
      <c r="D4" s="259"/>
      <c r="E4" s="241"/>
      <c r="F4" s="273">
        <v>241.06</v>
      </c>
      <c r="G4" s="631"/>
      <c r="H4" s="637"/>
      <c r="I4" s="241" t="s">
        <v>266</v>
      </c>
      <c r="J4" s="638" t="s">
        <v>265</v>
      </c>
      <c r="K4" s="247"/>
      <c r="L4" s="247"/>
      <c r="M4" s="249"/>
      <c r="N4" s="249"/>
    </row>
    <row r="5" spans="2:14" ht="15">
      <c r="B5" s="252"/>
      <c r="C5" s="253"/>
      <c r="D5" s="253"/>
      <c r="E5" s="239"/>
      <c r="F5" s="240"/>
      <c r="G5" s="632"/>
      <c r="H5" s="238"/>
      <c r="I5" s="635"/>
      <c r="J5" s="636"/>
      <c r="K5" s="246"/>
      <c r="L5" s="246"/>
      <c r="M5" s="248"/>
      <c r="N5" s="248"/>
    </row>
    <row r="6" spans="1:14" ht="60">
      <c r="A6" s="133" t="s">
        <v>22</v>
      </c>
      <c r="B6" s="252"/>
      <c r="C6" s="254" t="s">
        <v>162</v>
      </c>
      <c r="D6" s="254" t="s">
        <v>163</v>
      </c>
      <c r="E6" s="255" t="s">
        <v>164</v>
      </c>
      <c r="F6" s="256" t="s">
        <v>165</v>
      </c>
      <c r="G6" s="639" t="s">
        <v>490</v>
      </c>
      <c r="H6" s="238">
        <f>+I6+J6</f>
        <v>24408</v>
      </c>
      <c r="I6" s="238">
        <v>16272</v>
      </c>
      <c r="J6" s="240">
        <v>8136</v>
      </c>
      <c r="K6" s="246">
        <f>675277.56*F4/1000</f>
        <v>162782.4086136</v>
      </c>
      <c r="L6" s="246">
        <v>0</v>
      </c>
      <c r="M6" s="248">
        <v>0</v>
      </c>
      <c r="N6" s="248">
        <v>0</v>
      </c>
    </row>
    <row r="7" spans="2:14" ht="7.5" customHeight="1">
      <c r="B7" s="252"/>
      <c r="C7" s="254"/>
      <c r="D7" s="254"/>
      <c r="E7" s="255"/>
      <c r="F7" s="256"/>
      <c r="G7" s="633"/>
      <c r="H7" s="238"/>
      <c r="I7" s="238"/>
      <c r="J7" s="240"/>
      <c r="K7" s="246"/>
      <c r="L7" s="246"/>
      <c r="M7" s="248"/>
      <c r="N7" s="248"/>
    </row>
    <row r="8" spans="1:14" ht="78" customHeight="1">
      <c r="A8" s="133" t="s">
        <v>23</v>
      </c>
      <c r="B8" s="252"/>
      <c r="C8" s="254" t="s">
        <v>166</v>
      </c>
      <c r="D8" s="254" t="s">
        <v>167</v>
      </c>
      <c r="E8" s="239">
        <v>80000</v>
      </c>
      <c r="F8" s="256" t="s">
        <v>229</v>
      </c>
      <c r="G8" s="639" t="s">
        <v>490</v>
      </c>
      <c r="H8" s="238">
        <f>+I8+J8</f>
        <v>1050</v>
      </c>
      <c r="I8" s="238"/>
      <c r="J8" s="240">
        <v>1050</v>
      </c>
      <c r="K8" s="246">
        <v>70000</v>
      </c>
      <c r="L8" s="246">
        <v>0</v>
      </c>
      <c r="M8" s="248">
        <v>0</v>
      </c>
      <c r="N8" s="248">
        <v>0</v>
      </c>
    </row>
    <row r="9" spans="2:14" ht="10.5" customHeight="1">
      <c r="B9" s="252"/>
      <c r="C9" s="254"/>
      <c r="D9" s="254"/>
      <c r="E9" s="239"/>
      <c r="F9" s="240"/>
      <c r="G9" s="632"/>
      <c r="H9" s="238"/>
      <c r="I9" s="238"/>
      <c r="J9" s="240"/>
      <c r="K9" s="246"/>
      <c r="L9" s="246"/>
      <c r="M9" s="248"/>
      <c r="N9" s="248"/>
    </row>
    <row r="10" spans="2:14" ht="7.5" customHeight="1" thickBot="1">
      <c r="B10" s="252"/>
      <c r="C10" s="253"/>
      <c r="D10" s="253"/>
      <c r="E10" s="239"/>
      <c r="F10" s="240"/>
      <c r="G10" s="632"/>
      <c r="H10" s="238"/>
      <c r="I10" s="238"/>
      <c r="J10" s="240"/>
      <c r="K10" s="246"/>
      <c r="L10" s="246"/>
      <c r="M10" s="248"/>
      <c r="N10" s="248"/>
    </row>
    <row r="11" spans="1:14" ht="15" thickBot="1">
      <c r="A11" s="133" t="s">
        <v>25</v>
      </c>
      <c r="B11" s="261" t="s">
        <v>168</v>
      </c>
      <c r="C11" s="262"/>
      <c r="D11" s="262"/>
      <c r="E11" s="243"/>
      <c r="F11" s="244"/>
      <c r="G11" s="634"/>
      <c r="H11" s="242">
        <f aca="true" t="shared" si="0" ref="H11:N11">SUM(H6:H10)</f>
        <v>25458</v>
      </c>
      <c r="I11" s="242">
        <f t="shared" si="0"/>
        <v>16272</v>
      </c>
      <c r="J11" s="242">
        <f t="shared" si="0"/>
        <v>9186</v>
      </c>
      <c r="K11" s="242">
        <f t="shared" si="0"/>
        <v>232782.4086136</v>
      </c>
      <c r="L11" s="242">
        <f t="shared" si="0"/>
        <v>0</v>
      </c>
      <c r="M11" s="242">
        <f t="shared" si="0"/>
        <v>0</v>
      </c>
      <c r="N11" s="242">
        <f t="shared" si="0"/>
        <v>0</v>
      </c>
    </row>
    <row r="12" spans="2:14" ht="6" customHeight="1">
      <c r="B12" s="252"/>
      <c r="C12" s="253"/>
      <c r="D12" s="253"/>
      <c r="E12" s="239"/>
      <c r="F12" s="240"/>
      <c r="G12" s="632"/>
      <c r="H12" s="238"/>
      <c r="I12" s="238"/>
      <c r="J12" s="240"/>
      <c r="K12" s="246"/>
      <c r="L12" s="246"/>
      <c r="M12" s="248"/>
      <c r="N12" s="248"/>
    </row>
    <row r="13" spans="1:14" ht="15">
      <c r="A13" s="133" t="s">
        <v>26</v>
      </c>
      <c r="B13" s="258" t="s">
        <v>169</v>
      </c>
      <c r="C13" s="253"/>
      <c r="D13" s="253"/>
      <c r="E13" s="239"/>
      <c r="F13" s="240"/>
      <c r="G13" s="632"/>
      <c r="H13" s="238"/>
      <c r="I13" s="238"/>
      <c r="J13" s="240"/>
      <c r="K13" s="246"/>
      <c r="L13" s="246"/>
      <c r="M13" s="248"/>
      <c r="N13" s="248"/>
    </row>
    <row r="14" spans="2:14" ht="15">
      <c r="B14" s="257"/>
      <c r="C14" s="253"/>
      <c r="D14" s="253"/>
      <c r="E14" s="239"/>
      <c r="F14" s="240"/>
      <c r="G14" s="632"/>
      <c r="H14" s="238"/>
      <c r="I14" s="238"/>
      <c r="J14" s="240"/>
      <c r="K14" s="246"/>
      <c r="L14" s="246"/>
      <c r="M14" s="248"/>
      <c r="N14" s="248"/>
    </row>
    <row r="15" spans="1:14" ht="30">
      <c r="A15" s="133" t="s">
        <v>27</v>
      </c>
      <c r="B15" s="252"/>
      <c r="C15" s="254" t="str">
        <f>+C6</f>
        <v>"BATTONYA 2027" kötvény</v>
      </c>
      <c r="D15" s="253"/>
      <c r="E15" s="239"/>
      <c r="F15" s="240"/>
      <c r="G15" s="632"/>
      <c r="H15" s="238">
        <f>+I15+J15</f>
        <v>7644</v>
      </c>
      <c r="I15" s="238">
        <v>5096</v>
      </c>
      <c r="J15" s="240">
        <v>2548</v>
      </c>
      <c r="K15" s="246">
        <f>+9mell!E15</f>
        <v>1867</v>
      </c>
      <c r="L15" s="246">
        <v>0</v>
      </c>
      <c r="M15" s="246">
        <v>0</v>
      </c>
      <c r="N15" s="246">
        <v>0</v>
      </c>
    </row>
    <row r="16" spans="2:14" ht="9" customHeight="1">
      <c r="B16" s="252"/>
      <c r="C16" s="254"/>
      <c r="D16" s="253"/>
      <c r="E16" s="239"/>
      <c r="F16" s="240"/>
      <c r="G16" s="632"/>
      <c r="H16" s="238"/>
      <c r="I16" s="238"/>
      <c r="J16" s="240"/>
      <c r="K16" s="246"/>
      <c r="L16" s="246"/>
      <c r="M16" s="246"/>
      <c r="N16" s="246"/>
    </row>
    <row r="17" spans="1:14" ht="75">
      <c r="A17" s="133" t="s">
        <v>28</v>
      </c>
      <c r="B17" s="252"/>
      <c r="C17" s="254" t="s">
        <v>166</v>
      </c>
      <c r="D17" s="254" t="s">
        <v>167</v>
      </c>
      <c r="E17" s="239"/>
      <c r="F17" s="240"/>
      <c r="G17" s="632"/>
      <c r="H17" s="238">
        <f>+I17+J17</f>
        <v>6450</v>
      </c>
      <c r="I17" s="238">
        <v>4300</v>
      </c>
      <c r="J17" s="240">
        <v>2150</v>
      </c>
      <c r="K17" s="246">
        <f>+9mell!E14</f>
        <v>1200</v>
      </c>
      <c r="L17" s="246">
        <v>0</v>
      </c>
      <c r="M17" s="248">
        <v>0</v>
      </c>
      <c r="N17" s="248">
        <v>0</v>
      </c>
    </row>
    <row r="18" spans="2:14" ht="7.5" customHeight="1" thickBot="1">
      <c r="B18" s="252"/>
      <c r="C18" s="254"/>
      <c r="D18" s="254"/>
      <c r="E18" s="239"/>
      <c r="F18" s="240"/>
      <c r="G18" s="632"/>
      <c r="H18" s="238"/>
      <c r="I18" s="238"/>
      <c r="J18" s="240"/>
      <c r="K18" s="246"/>
      <c r="L18" s="246"/>
      <c r="M18" s="248"/>
      <c r="N18" s="248"/>
    </row>
    <row r="19" spans="1:14" ht="15" thickBot="1">
      <c r="A19" s="133" t="s">
        <v>29</v>
      </c>
      <c r="B19" s="261" t="s">
        <v>170</v>
      </c>
      <c r="C19" s="262"/>
      <c r="D19" s="262"/>
      <c r="E19" s="243"/>
      <c r="F19" s="244"/>
      <c r="G19" s="634"/>
      <c r="H19" s="242">
        <f aca="true" t="shared" si="1" ref="H19:N19">SUM(H15:H18)</f>
        <v>14094</v>
      </c>
      <c r="I19" s="242">
        <f t="shared" si="1"/>
        <v>9396</v>
      </c>
      <c r="J19" s="242">
        <f t="shared" si="1"/>
        <v>4698</v>
      </c>
      <c r="K19" s="242">
        <f t="shared" si="1"/>
        <v>3067</v>
      </c>
      <c r="L19" s="242">
        <f>SUM(L15:L18)</f>
        <v>0</v>
      </c>
      <c r="M19" s="242">
        <f t="shared" si="1"/>
        <v>0</v>
      </c>
      <c r="N19" s="452">
        <f t="shared" si="1"/>
        <v>0</v>
      </c>
    </row>
    <row r="20" spans="2:14" ht="9" customHeight="1" thickBot="1">
      <c r="B20" s="252"/>
      <c r="C20" s="253"/>
      <c r="D20" s="253"/>
      <c r="E20" s="239"/>
      <c r="F20" s="240"/>
      <c r="G20" s="632"/>
      <c r="H20" s="238"/>
      <c r="I20" s="238"/>
      <c r="J20" s="240"/>
      <c r="K20" s="246"/>
      <c r="L20" s="246"/>
      <c r="M20" s="248"/>
      <c r="N20" s="248"/>
    </row>
    <row r="21" spans="1:14" ht="15" thickBot="1">
      <c r="A21" s="133" t="s">
        <v>30</v>
      </c>
      <c r="B21" s="261" t="s">
        <v>171</v>
      </c>
      <c r="C21" s="262"/>
      <c r="D21" s="262"/>
      <c r="E21" s="243"/>
      <c r="F21" s="244"/>
      <c r="G21" s="634"/>
      <c r="H21" s="242">
        <f aca="true" t="shared" si="2" ref="H21:N21">H19+H11</f>
        <v>39552</v>
      </c>
      <c r="I21" s="242">
        <f t="shared" si="2"/>
        <v>25668</v>
      </c>
      <c r="J21" s="242">
        <f t="shared" si="2"/>
        <v>13884</v>
      </c>
      <c r="K21" s="242">
        <f t="shared" si="2"/>
        <v>235849.4086136</v>
      </c>
      <c r="L21" s="242">
        <f t="shared" si="2"/>
        <v>0</v>
      </c>
      <c r="M21" s="242">
        <f t="shared" si="2"/>
        <v>0</v>
      </c>
      <c r="N21" s="452">
        <f t="shared" si="2"/>
        <v>0</v>
      </c>
    </row>
    <row r="22" spans="2:14" ht="15">
      <c r="B22" s="134"/>
      <c r="C22" s="134"/>
      <c r="D22" s="134"/>
      <c r="E22" s="136"/>
      <c r="F22" s="136"/>
      <c r="G22" s="136"/>
      <c r="H22" s="136"/>
      <c r="I22" s="136"/>
      <c r="J22" s="136"/>
      <c r="K22" s="136"/>
      <c r="L22" s="136"/>
      <c r="M22" s="135"/>
      <c r="N22" s="135"/>
    </row>
    <row r="23" spans="5:14" ht="14.25"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</sheetData>
  <sheetProtection/>
  <mergeCells count="2">
    <mergeCell ref="H3:J3"/>
    <mergeCell ref="A1:N1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8" r:id="rId1"/>
  <headerFooter alignWithMargins="0">
    <oddHeader>&amp;L21. melléklet a 2014. évi 2/2014.(I.24.) Önkormányzati költségvetési rendelethez&amp;R&amp;D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60" zoomScalePageLayoutView="0" workbookViewId="0" topLeftCell="A1">
      <selection activeCell="F22" sqref="F22"/>
    </sheetView>
  </sheetViews>
  <sheetFormatPr defaultColWidth="9.140625" defaultRowHeight="15" customHeight="1"/>
  <cols>
    <col min="1" max="1" width="4.57421875" style="17" bestFit="1" customWidth="1"/>
    <col min="2" max="2" width="25.421875" style="17" customWidth="1"/>
    <col min="3" max="3" width="13.28125" style="17" customWidth="1"/>
    <col min="4" max="5" width="9.28125" style="17" customWidth="1"/>
    <col min="6" max="6" width="11.00390625" style="17" customWidth="1"/>
    <col min="7" max="7" width="10.140625" style="17" bestFit="1" customWidth="1"/>
    <col min="8" max="8" width="10.7109375" style="17" customWidth="1"/>
    <col min="9" max="9" width="8.28125" style="17" hidden="1" customWidth="1"/>
    <col min="10" max="10" width="13.8515625" style="17" customWidth="1"/>
    <col min="11" max="11" width="11.421875" style="17" customWidth="1"/>
    <col min="12" max="12" width="11.7109375" style="17" customWidth="1"/>
    <col min="13" max="13" width="12.421875" style="17" customWidth="1"/>
    <col min="14" max="16384" width="9.140625" style="17" customWidth="1"/>
  </cols>
  <sheetData>
    <row r="1" spans="2:13" ht="15" customHeight="1">
      <c r="B1" s="18" t="s">
        <v>0</v>
      </c>
      <c r="C1" s="19"/>
      <c r="D1" s="20" t="s">
        <v>1</v>
      </c>
      <c r="E1" s="20" t="s">
        <v>2</v>
      </c>
      <c r="F1" s="674" t="s">
        <v>3</v>
      </c>
      <c r="G1" s="674"/>
      <c r="H1" s="674"/>
      <c r="I1" s="22" t="e">
        <f>+#REF!</f>
        <v>#REF!</v>
      </c>
      <c r="J1" s="20" t="s">
        <v>4</v>
      </c>
      <c r="K1" s="20"/>
      <c r="L1" s="20" t="s">
        <v>5</v>
      </c>
      <c r="M1" s="20" t="s">
        <v>6</v>
      </c>
    </row>
    <row r="2" spans="2:13" ht="15" customHeight="1">
      <c r="B2" s="23"/>
      <c r="C2" s="24"/>
      <c r="D2" s="25"/>
      <c r="E2" s="25"/>
      <c r="F2" s="21" t="s">
        <v>7</v>
      </c>
      <c r="G2" s="21" t="s">
        <v>8</v>
      </c>
      <c r="H2" s="21" t="s">
        <v>9</v>
      </c>
      <c r="I2" s="22"/>
      <c r="J2" s="25"/>
      <c r="K2" s="25"/>
      <c r="L2" s="25"/>
      <c r="M2" s="25"/>
    </row>
    <row r="3" spans="2:13" s="26" customFormat="1" ht="18.75" customHeight="1">
      <c r="B3" s="18" t="s">
        <v>12</v>
      </c>
      <c r="C3" s="19" t="s">
        <v>13</v>
      </c>
      <c r="D3" s="20" t="s">
        <v>14</v>
      </c>
      <c r="E3" s="20" t="s">
        <v>15</v>
      </c>
      <c r="F3" s="20" t="s">
        <v>16</v>
      </c>
      <c r="G3" s="20" t="s">
        <v>17</v>
      </c>
      <c r="H3" s="20" t="s">
        <v>18</v>
      </c>
      <c r="I3" s="27"/>
      <c r="J3" s="20" t="s">
        <v>59</v>
      </c>
      <c r="K3" s="20" t="s">
        <v>19</v>
      </c>
      <c r="L3" s="20" t="s">
        <v>363</v>
      </c>
      <c r="M3" s="20" t="s">
        <v>364</v>
      </c>
    </row>
    <row r="4" spans="3:13" ht="15" customHeight="1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32.25" customHeight="1">
      <c r="A5" s="17" t="s">
        <v>20</v>
      </c>
      <c r="B5" s="28" t="str">
        <f>+'[1]2mell 1ápr'!A28</f>
        <v>Városellátó  Szervezet</v>
      </c>
      <c r="C5" s="28" t="s">
        <v>50</v>
      </c>
      <c r="D5" s="29">
        <v>87890</v>
      </c>
      <c r="J5" s="29">
        <f>+M5-D5-E5-F5-G5-H5-K5</f>
        <v>94220</v>
      </c>
      <c r="K5" s="29"/>
      <c r="L5" s="29">
        <f>SUM(D5:J5)</f>
        <v>182110</v>
      </c>
      <c r="M5" s="29">
        <f>+4mell!M4</f>
        <v>182110</v>
      </c>
    </row>
    <row r="6" spans="1:13" ht="15">
      <c r="A6" s="17" t="s">
        <v>21</v>
      </c>
      <c r="B6" s="28"/>
      <c r="C6" s="28" t="s">
        <v>374</v>
      </c>
      <c r="D6" s="29">
        <f>+D5</f>
        <v>87890</v>
      </c>
      <c r="E6" s="29">
        <v>1114</v>
      </c>
      <c r="F6" s="29">
        <f>+F5</f>
        <v>0</v>
      </c>
      <c r="G6" s="29">
        <v>1346</v>
      </c>
      <c r="H6" s="29">
        <f>+H5</f>
        <v>0</v>
      </c>
      <c r="J6" s="29">
        <f>+M6-D6-E6-F6-G6-H6-K6</f>
        <v>137989</v>
      </c>
      <c r="K6" s="29"/>
      <c r="L6" s="29">
        <f>SUM(D6:J6)</f>
        <v>228339</v>
      </c>
      <c r="M6" s="29">
        <f>+4mell!M5</f>
        <v>228339</v>
      </c>
    </row>
    <row r="7" spans="1:13" ht="30">
      <c r="A7" s="17" t="s">
        <v>22</v>
      </c>
      <c r="B7" s="28"/>
      <c r="C7" s="28" t="s">
        <v>389</v>
      </c>
      <c r="D7" s="29">
        <v>85768</v>
      </c>
      <c r="E7" s="29"/>
      <c r="F7" s="29">
        <v>0</v>
      </c>
      <c r="G7" s="29"/>
      <c r="H7" s="29"/>
      <c r="J7" s="33">
        <f>+M7-K7-H7-G7-F7-E7-D7</f>
        <v>94148</v>
      </c>
      <c r="K7" s="29"/>
      <c r="L7" s="29">
        <f>SUM(D7:J7)</f>
        <v>179916</v>
      </c>
      <c r="M7" s="29">
        <f>+4mell!M6</f>
        <v>179916</v>
      </c>
    </row>
    <row r="8" ht="15">
      <c r="J8" s="29"/>
    </row>
    <row r="9" spans="2:13" ht="15" customHeight="1">
      <c r="B9" s="28"/>
      <c r="D9" s="29"/>
      <c r="F9" s="29"/>
      <c r="J9" s="29"/>
      <c r="K9" s="29"/>
      <c r="L9" s="29"/>
      <c r="M9" s="29"/>
    </row>
    <row r="10" spans="1:13" ht="30" customHeight="1">
      <c r="A10" s="17" t="s">
        <v>23</v>
      </c>
      <c r="B10" s="28" t="str">
        <f>+'[1]2mell 1ápr'!A32</f>
        <v>Egészségügyi és Szociális Ellátó Szervezet</v>
      </c>
      <c r="C10" s="28" t="s">
        <v>50</v>
      </c>
      <c r="D10" s="29">
        <v>19283</v>
      </c>
      <c r="F10" s="33">
        <f>+1mell!E29+1mell!E33+1mell!E34</f>
        <v>46745</v>
      </c>
      <c r="J10" s="29">
        <f>+M10-D10-E10-F10-G10-H10-K10</f>
        <v>52974</v>
      </c>
      <c r="K10" s="29"/>
      <c r="L10" s="29">
        <f>SUM(D10:J10)</f>
        <v>119002</v>
      </c>
      <c r="M10" s="29">
        <f>+4mell!M8</f>
        <v>119002</v>
      </c>
    </row>
    <row r="11" spans="1:13" ht="15">
      <c r="A11" s="17" t="s">
        <v>24</v>
      </c>
      <c r="B11" s="28"/>
      <c r="C11" s="28" t="s">
        <v>374</v>
      </c>
      <c r="D11" s="29">
        <f aca="true" t="shared" si="0" ref="D11:I11">+D10</f>
        <v>19283</v>
      </c>
      <c r="E11" s="29">
        <v>4065</v>
      </c>
      <c r="F11" s="33">
        <f>+F10-5671</f>
        <v>41074</v>
      </c>
      <c r="G11" s="29">
        <v>1349</v>
      </c>
      <c r="H11" s="29">
        <f t="shared" si="0"/>
        <v>0</v>
      </c>
      <c r="I11" s="29">
        <f t="shared" si="0"/>
        <v>0</v>
      </c>
      <c r="J11" s="29">
        <f>+M11-D11-E11-F11-G11-H11-K11</f>
        <v>69211</v>
      </c>
      <c r="K11" s="29"/>
      <c r="L11" s="29">
        <f>SUM(D11:J11)</f>
        <v>134982</v>
      </c>
      <c r="M11" s="29">
        <f>+4mell!M9</f>
        <v>134982</v>
      </c>
    </row>
    <row r="12" spans="1:13" ht="30">
      <c r="A12" s="17" t="s">
        <v>25</v>
      </c>
      <c r="B12" s="28"/>
      <c r="C12" s="28" t="s">
        <v>389</v>
      </c>
      <c r="D12" s="33">
        <v>8903</v>
      </c>
      <c r="E12" s="29">
        <v>0</v>
      </c>
      <c r="F12" s="33">
        <v>32500</v>
      </c>
      <c r="G12" s="29">
        <v>0</v>
      </c>
      <c r="H12" s="29">
        <v>0</v>
      </c>
      <c r="I12" s="29"/>
      <c r="J12" s="33">
        <f>+M12-K12-H12-G12-F12-E12-D12</f>
        <v>84865</v>
      </c>
      <c r="K12" s="29"/>
      <c r="L12" s="29">
        <f>SUM(D12:J12)</f>
        <v>126268</v>
      </c>
      <c r="M12" s="29">
        <f>+4mell!M10</f>
        <v>126268</v>
      </c>
    </row>
    <row r="14" spans="4:13" ht="15" customHeight="1">
      <c r="D14" s="29"/>
      <c r="J14" s="29"/>
      <c r="K14" s="29"/>
      <c r="L14" s="29"/>
      <c r="M14" s="29"/>
    </row>
    <row r="15" spans="1:13" ht="28.5" customHeight="1">
      <c r="A15" s="17" t="s">
        <v>26</v>
      </c>
      <c r="B15" s="28" t="str">
        <f>+'[2]kiadás'!B24</f>
        <v>Városi Művelődési Központ és Könyvtár</v>
      </c>
      <c r="C15" s="28" t="s">
        <v>50</v>
      </c>
      <c r="D15" s="29">
        <v>1290</v>
      </c>
      <c r="J15" s="29">
        <f>+M15-D15-E15-F15-G15-H15-K15</f>
        <v>17458</v>
      </c>
      <c r="K15" s="29"/>
      <c r="L15" s="29">
        <f>SUM(D15:J15)</f>
        <v>18748</v>
      </c>
      <c r="M15" s="29">
        <f>+4mell!M12</f>
        <v>18748</v>
      </c>
    </row>
    <row r="16" spans="1:13" ht="28.5" customHeight="1">
      <c r="A16" s="17" t="s">
        <v>27</v>
      </c>
      <c r="C16" s="28" t="s">
        <v>374</v>
      </c>
      <c r="D16" s="29">
        <f>+D15</f>
        <v>1290</v>
      </c>
      <c r="E16" s="29">
        <f>+E15</f>
        <v>0</v>
      </c>
      <c r="F16" s="29">
        <f>+F15+4878</f>
        <v>4878</v>
      </c>
      <c r="G16" s="29">
        <v>806</v>
      </c>
      <c r="H16" s="29">
        <f>+H15+3122</f>
        <v>3122</v>
      </c>
      <c r="J16" s="29">
        <f>+M16-D16-E16-F16-G16-H16-K16</f>
        <v>20900</v>
      </c>
      <c r="K16" s="29"/>
      <c r="L16" s="29">
        <f>SUM(D16:J16)</f>
        <v>30996</v>
      </c>
      <c r="M16" s="29">
        <f>+4mell!M13</f>
        <v>30996</v>
      </c>
    </row>
    <row r="17" spans="1:13" ht="28.5" customHeight="1">
      <c r="A17" s="17" t="s">
        <v>28</v>
      </c>
      <c r="C17" s="28" t="s">
        <v>389</v>
      </c>
      <c r="D17" s="29">
        <v>2200</v>
      </c>
      <c r="E17" s="29"/>
      <c r="F17" s="29">
        <v>0</v>
      </c>
      <c r="G17" s="29"/>
      <c r="H17" s="29"/>
      <c r="J17" s="33">
        <f>+M17-K17-H17-G17-F17-E17-D17</f>
        <v>19318</v>
      </c>
      <c r="K17" s="29"/>
      <c r="L17" s="29">
        <f>SUM(D17:J17)</f>
        <v>21518</v>
      </c>
      <c r="M17" s="29">
        <f>+4mell!M14</f>
        <v>21518</v>
      </c>
    </row>
    <row r="18" spans="3:13" ht="15"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4:13" ht="15" customHeight="1">
      <c r="D19" s="31"/>
      <c r="E19" s="31"/>
      <c r="F19" s="32"/>
      <c r="G19" s="31"/>
      <c r="H19" s="32"/>
      <c r="I19" s="31"/>
      <c r="J19" s="32"/>
      <c r="L19" s="31"/>
      <c r="M19" s="31"/>
    </row>
    <row r="20" spans="1:13" ht="28.5" customHeight="1">
      <c r="A20" s="17" t="s">
        <v>29</v>
      </c>
      <c r="B20" s="28" t="s">
        <v>41</v>
      </c>
      <c r="C20" s="28" t="s">
        <v>50</v>
      </c>
      <c r="D20" s="31">
        <f>122+2014+2061+48-1</f>
        <v>4244</v>
      </c>
      <c r="E20" s="31"/>
      <c r="F20" s="32">
        <f>+1mell!E31+1mell!E32+1mell!E33+1mell!E34</f>
        <v>19345</v>
      </c>
      <c r="G20" s="31"/>
      <c r="H20" s="32"/>
      <c r="I20" s="31"/>
      <c r="J20" s="32"/>
      <c r="L20" s="31">
        <f>SUM(D20:J20)</f>
        <v>23589</v>
      </c>
      <c r="M20" s="31">
        <f>+4mell!M16</f>
        <v>102806</v>
      </c>
    </row>
    <row r="21" spans="1:13" ht="15">
      <c r="A21" s="17" t="s">
        <v>30</v>
      </c>
      <c r="C21" s="28" t="s">
        <v>374</v>
      </c>
      <c r="D21" s="31">
        <f>+D20</f>
        <v>4244</v>
      </c>
      <c r="E21" s="31">
        <v>40813</v>
      </c>
      <c r="F21" s="32">
        <f>+F20-8000-5671+420+2000+384+93588+39-6500+66445+19+3248</f>
        <v>165317</v>
      </c>
      <c r="G21" s="31">
        <f>+G20</f>
        <v>0</v>
      </c>
      <c r="H21" s="32">
        <v>20200</v>
      </c>
      <c r="I21" s="31"/>
      <c r="J21" s="32"/>
      <c r="L21" s="31">
        <f>SUM(D21:J21)</f>
        <v>230574</v>
      </c>
      <c r="M21" s="31">
        <f>+4mell!M17</f>
        <v>378492</v>
      </c>
    </row>
    <row r="22" spans="1:13" ht="30">
      <c r="A22" s="17" t="s">
        <v>31</v>
      </c>
      <c r="C22" s="28" t="s">
        <v>389</v>
      </c>
      <c r="D22" s="31">
        <v>500</v>
      </c>
      <c r="E22" s="31"/>
      <c r="F22" s="32">
        <f>+1mell!E30+1mell!E31+1mell!E32+1mell!E33+1mell!E34+1mell!E35</f>
        <v>117844</v>
      </c>
      <c r="G22" s="31"/>
      <c r="H22" s="32"/>
      <c r="I22" s="31"/>
      <c r="J22" s="32"/>
      <c r="K22" s="30">
        <f>+1mell!E6-1mell!E7+1mell!E19+1mell!E23+1mell!E37</f>
        <v>447916</v>
      </c>
      <c r="L22" s="31">
        <f>SUM(D22:K22)</f>
        <v>566260</v>
      </c>
      <c r="M22" s="31">
        <f>+4mell!M18</f>
        <v>89097</v>
      </c>
    </row>
    <row r="23" spans="3:13" ht="15">
      <c r="C23" s="28"/>
      <c r="D23" s="31"/>
      <c r="E23" s="31"/>
      <c r="F23" s="32"/>
      <c r="G23" s="31"/>
      <c r="H23" s="32"/>
      <c r="I23" s="31"/>
      <c r="J23" s="32"/>
      <c r="L23" s="31"/>
      <c r="M23" s="31"/>
    </row>
    <row r="24" spans="2:13" ht="15" customHeight="1">
      <c r="B24" s="18" t="s">
        <v>0</v>
      </c>
      <c r="C24" s="19"/>
      <c r="D24" s="20" t="s">
        <v>1</v>
      </c>
      <c r="E24" s="20" t="s">
        <v>2</v>
      </c>
      <c r="F24" s="674" t="s">
        <v>3</v>
      </c>
      <c r="G24" s="674"/>
      <c r="H24" s="674"/>
      <c r="I24" s="22" t="e">
        <f>+#REF!</f>
        <v>#REF!</v>
      </c>
      <c r="J24" s="20" t="s">
        <v>4</v>
      </c>
      <c r="K24" s="20"/>
      <c r="L24" s="20" t="s">
        <v>5</v>
      </c>
      <c r="M24" s="20" t="s">
        <v>6</v>
      </c>
    </row>
    <row r="25" spans="2:13" ht="15" customHeight="1">
      <c r="B25" s="23"/>
      <c r="C25" s="24"/>
      <c r="D25" s="25"/>
      <c r="E25" s="25"/>
      <c r="F25" s="21" t="s">
        <v>7</v>
      </c>
      <c r="G25" s="21" t="s">
        <v>8</v>
      </c>
      <c r="H25" s="21" t="s">
        <v>9</v>
      </c>
      <c r="I25" s="22"/>
      <c r="J25" s="25"/>
      <c r="K25" s="25"/>
      <c r="L25" s="25"/>
      <c r="M25" s="25"/>
    </row>
    <row r="26" spans="1:13" s="26" customFormat="1" ht="18.75" customHeight="1">
      <c r="A26" s="17"/>
      <c r="B26" s="18" t="s">
        <v>12</v>
      </c>
      <c r="C26" s="19" t="s">
        <v>13</v>
      </c>
      <c r="D26" s="20" t="s">
        <v>14</v>
      </c>
      <c r="E26" s="20" t="s">
        <v>15</v>
      </c>
      <c r="F26" s="20" t="s">
        <v>16</v>
      </c>
      <c r="G26" s="20" t="s">
        <v>17</v>
      </c>
      <c r="H26" s="20" t="s">
        <v>18</v>
      </c>
      <c r="I26" s="27"/>
      <c r="J26" s="20" t="s">
        <v>59</v>
      </c>
      <c r="K26" s="20" t="s">
        <v>19</v>
      </c>
      <c r="L26" s="20" t="s">
        <v>363</v>
      </c>
      <c r="M26" s="20" t="s">
        <v>364</v>
      </c>
    </row>
    <row r="28" spans="1:13" ht="31.5" customHeight="1">
      <c r="A28" s="17" t="s">
        <v>32</v>
      </c>
      <c r="B28" s="28" t="s">
        <v>337</v>
      </c>
      <c r="C28" s="28" t="s">
        <v>50</v>
      </c>
      <c r="D28" s="29">
        <f>216+1375-1</f>
        <v>1590</v>
      </c>
      <c r="F28" s="30">
        <f>+1mell!D30</f>
        <v>146826</v>
      </c>
      <c r="J28" s="33">
        <f>+M28-D28-E28-F28-G28-H28-K28</f>
        <v>175377</v>
      </c>
      <c r="K28" s="32"/>
      <c r="L28" s="29">
        <f>SUM(D28:J28)</f>
        <v>323793</v>
      </c>
      <c r="M28" s="29">
        <f>+4mell!M23</f>
        <v>323793</v>
      </c>
    </row>
    <row r="29" spans="1:13" ht="31.5" customHeight="1">
      <c r="A29" s="17" t="s">
        <v>33</v>
      </c>
      <c r="C29" s="28" t="s">
        <v>374</v>
      </c>
      <c r="D29" s="29">
        <f>+D28</f>
        <v>1590</v>
      </c>
      <c r="E29" s="29">
        <v>6610</v>
      </c>
      <c r="F29" s="33">
        <f>+F28-84005+9981-26912-16962+11548</f>
        <v>40476</v>
      </c>
      <c r="G29" s="29">
        <v>225</v>
      </c>
      <c r="H29" s="29">
        <f>+H28</f>
        <v>0</v>
      </c>
      <c r="J29" s="33">
        <f>+M29-K29-H29-G29-F29-E29-D29</f>
        <v>311996</v>
      </c>
      <c r="K29" s="32"/>
      <c r="L29" s="29">
        <f>SUM(D29:J29)</f>
        <v>360897</v>
      </c>
      <c r="M29" s="29">
        <f>+4mell!M24</f>
        <v>360897</v>
      </c>
    </row>
    <row r="30" spans="1:13" ht="15" customHeight="1">
      <c r="A30" s="17" t="s">
        <v>34</v>
      </c>
      <c r="C30" s="28" t="s">
        <v>389</v>
      </c>
      <c r="D30" s="17">
        <v>2100</v>
      </c>
      <c r="F30" s="17">
        <v>0</v>
      </c>
      <c r="J30" s="33">
        <f>+M30-K30-H30-G30-F30-E30-D30</f>
        <v>278832</v>
      </c>
      <c r="L30" s="29">
        <f>SUM(D30:J30)</f>
        <v>280932</v>
      </c>
      <c r="M30" s="17">
        <f>+4mell!M25</f>
        <v>280932</v>
      </c>
    </row>
    <row r="31" spans="3:12" ht="15" customHeight="1">
      <c r="C31" s="28"/>
      <c r="L31" s="29"/>
    </row>
    <row r="32" spans="1:13" ht="32.25" customHeight="1">
      <c r="A32" s="17" t="s">
        <v>35</v>
      </c>
      <c r="B32" s="34" t="s">
        <v>49</v>
      </c>
      <c r="C32" s="28" t="s">
        <v>50</v>
      </c>
      <c r="D32" s="31">
        <f aca="true" t="shared" si="1" ref="D32:M32">+D28+D20+D15+D10+D5</f>
        <v>114297</v>
      </c>
      <c r="E32" s="31">
        <f t="shared" si="1"/>
        <v>0</v>
      </c>
      <c r="F32" s="31">
        <f t="shared" si="1"/>
        <v>212916</v>
      </c>
      <c r="G32" s="31">
        <f t="shared" si="1"/>
        <v>0</v>
      </c>
      <c r="H32" s="31">
        <f t="shared" si="1"/>
        <v>0</v>
      </c>
      <c r="I32" s="31">
        <f t="shared" si="1"/>
        <v>0</v>
      </c>
      <c r="J32" s="32">
        <f t="shared" si="1"/>
        <v>340029</v>
      </c>
      <c r="K32" s="31">
        <f t="shared" si="1"/>
        <v>0</v>
      </c>
      <c r="L32" s="31">
        <f t="shared" si="1"/>
        <v>667242</v>
      </c>
      <c r="M32" s="31">
        <f t="shared" si="1"/>
        <v>746459</v>
      </c>
    </row>
    <row r="33" spans="1:13" ht="15">
      <c r="A33" s="17" t="s">
        <v>36</v>
      </c>
      <c r="B33" s="31"/>
      <c r="C33" s="28" t="s">
        <v>374</v>
      </c>
      <c r="D33" s="31">
        <f aca="true" t="shared" si="2" ref="D33:M34">+D29+D21+D16+D11+D6</f>
        <v>114297</v>
      </c>
      <c r="E33" s="31">
        <f t="shared" si="2"/>
        <v>52602</v>
      </c>
      <c r="F33" s="32">
        <f t="shared" si="2"/>
        <v>251745</v>
      </c>
      <c r="G33" s="31">
        <f t="shared" si="2"/>
        <v>3726</v>
      </c>
      <c r="H33" s="31">
        <f t="shared" si="2"/>
        <v>23322</v>
      </c>
      <c r="I33" s="31">
        <f t="shared" si="2"/>
        <v>0</v>
      </c>
      <c r="J33" s="31">
        <f t="shared" si="2"/>
        <v>540096</v>
      </c>
      <c r="K33" s="31">
        <f t="shared" si="2"/>
        <v>0</v>
      </c>
      <c r="L33" s="31">
        <f t="shared" si="2"/>
        <v>985788</v>
      </c>
      <c r="M33" s="31">
        <f t="shared" si="2"/>
        <v>1133706</v>
      </c>
    </row>
    <row r="34" spans="1:13" ht="30">
      <c r="A34" s="17" t="s">
        <v>37</v>
      </c>
      <c r="B34" s="31"/>
      <c r="C34" s="28" t="s">
        <v>389</v>
      </c>
      <c r="D34" s="31">
        <f t="shared" si="2"/>
        <v>99471</v>
      </c>
      <c r="E34" s="31">
        <f t="shared" si="2"/>
        <v>0</v>
      </c>
      <c r="F34" s="31">
        <f t="shared" si="2"/>
        <v>150344</v>
      </c>
      <c r="G34" s="31">
        <f t="shared" si="2"/>
        <v>0</v>
      </c>
      <c r="H34" s="31">
        <f t="shared" si="2"/>
        <v>0</v>
      </c>
      <c r="I34" s="31">
        <f t="shared" si="2"/>
        <v>0</v>
      </c>
      <c r="J34" s="32">
        <f>+J30+J22+J17+J12+J7</f>
        <v>477163</v>
      </c>
      <c r="K34" s="31">
        <f t="shared" si="2"/>
        <v>447916</v>
      </c>
      <c r="L34" s="31">
        <f>+K34+H34+G34+F34+E34+D34</f>
        <v>697731</v>
      </c>
      <c r="M34" s="31">
        <f t="shared" si="2"/>
        <v>697731</v>
      </c>
    </row>
  </sheetData>
  <sheetProtection/>
  <mergeCells count="2">
    <mergeCell ref="F24:H24"/>
    <mergeCell ref="F1:H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&amp;L3. melléklet a 2014. évi 3/2014.(I.24.) Önkormányzati költségvetési rendelethez&amp;R&amp;D</oddHeader>
    <oddFooter>&amp;R&amp;F</oddFooter>
  </headerFooter>
  <rowBreaks count="1" manualBreakCount="1">
    <brk id="2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A18">
      <selection activeCell="N3" sqref="N1:AI16384"/>
    </sheetView>
  </sheetViews>
  <sheetFormatPr defaultColWidth="9.140625" defaultRowHeight="15" customHeight="1"/>
  <cols>
    <col min="1" max="1" width="4.57421875" style="8" bestFit="1" customWidth="1"/>
    <col min="2" max="2" width="25.57421875" style="1" customWidth="1"/>
    <col min="3" max="3" width="15.140625" style="38" bestFit="1" customWidth="1"/>
    <col min="4" max="4" width="11.421875" style="1" customWidth="1"/>
    <col min="5" max="5" width="10.140625" style="1" customWidth="1"/>
    <col min="6" max="6" width="10.28125" style="1" bestFit="1" customWidth="1"/>
    <col min="7" max="7" width="12.8515625" style="1" customWidth="1"/>
    <col min="8" max="8" width="9.57421875" style="1" bestFit="1" customWidth="1"/>
    <col min="9" max="9" width="11.00390625" style="1" customWidth="1"/>
    <col min="10" max="10" width="10.8515625" style="1" customWidth="1"/>
    <col min="11" max="11" width="9.00390625" style="1" customWidth="1"/>
    <col min="12" max="12" width="11.140625" style="1" bestFit="1" customWidth="1"/>
    <col min="13" max="13" width="11.8515625" style="1" customWidth="1"/>
    <col min="14" max="16384" width="9.140625" style="1" customWidth="1"/>
  </cols>
  <sheetData>
    <row r="1" spans="2:13" ht="15" customHeight="1">
      <c r="B1" s="2" t="s">
        <v>0</v>
      </c>
      <c r="C1" s="453" t="s">
        <v>51</v>
      </c>
      <c r="D1" s="9" t="s">
        <v>52</v>
      </c>
      <c r="E1" s="3" t="s">
        <v>53</v>
      </c>
      <c r="F1" s="35" t="s">
        <v>54</v>
      </c>
      <c r="G1" s="4" t="s">
        <v>55</v>
      </c>
      <c r="H1" s="675" t="s">
        <v>56</v>
      </c>
      <c r="I1" s="675"/>
      <c r="J1" s="675"/>
      <c r="K1" s="675"/>
      <c r="L1" s="3" t="s">
        <v>39</v>
      </c>
      <c r="M1" s="3" t="s">
        <v>57</v>
      </c>
    </row>
    <row r="2" spans="2:13" ht="15" customHeight="1">
      <c r="B2" s="5"/>
      <c r="C2" s="454"/>
      <c r="D2" s="7"/>
      <c r="E2" s="7"/>
      <c r="F2" s="7"/>
      <c r="G2" s="7"/>
      <c r="H2" s="7" t="s">
        <v>7</v>
      </c>
      <c r="I2" s="7" t="s">
        <v>58</v>
      </c>
      <c r="J2" s="7" t="s">
        <v>8</v>
      </c>
      <c r="K2" s="7" t="s">
        <v>9</v>
      </c>
      <c r="L2" s="7"/>
      <c r="M2" s="7"/>
    </row>
    <row r="3" spans="1:13" s="8" customFormat="1" ht="20.25" customHeight="1">
      <c r="A3" s="8" t="s">
        <v>365</v>
      </c>
      <c r="B3" s="2" t="s">
        <v>12</v>
      </c>
      <c r="C3" s="45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59</v>
      </c>
      <c r="J3" s="3" t="s">
        <v>19</v>
      </c>
      <c r="K3" s="3" t="s">
        <v>363</v>
      </c>
      <c r="L3" s="3" t="s">
        <v>364</v>
      </c>
      <c r="M3" s="3" t="s">
        <v>366</v>
      </c>
    </row>
    <row r="4" spans="1:13" ht="31.5" customHeight="1">
      <c r="A4" s="8" t="s">
        <v>20</v>
      </c>
      <c r="B4" s="10" t="str">
        <f>+'[1]2mell 1ápr'!A28</f>
        <v>Városellátó  Szervezet</v>
      </c>
      <c r="C4" s="446" t="s">
        <v>50</v>
      </c>
      <c r="D4" s="107">
        <v>41905</v>
      </c>
      <c r="E4" s="107">
        <v>11238</v>
      </c>
      <c r="F4" s="107">
        <f>130967-4000+2000</f>
        <v>128967</v>
      </c>
      <c r="G4" s="107">
        <f>SUM(D4:F4)</f>
        <v>182110</v>
      </c>
      <c r="H4" s="107"/>
      <c r="I4" s="107"/>
      <c r="J4" s="107"/>
      <c r="K4" s="107"/>
      <c r="L4" s="107"/>
      <c r="M4" s="107">
        <f>SUM(G4:L4)</f>
        <v>182110</v>
      </c>
    </row>
    <row r="5" spans="1:13" ht="30.75">
      <c r="A5" s="8" t="s">
        <v>21</v>
      </c>
      <c r="B5" s="10"/>
      <c r="C5" s="449" t="s">
        <v>375</v>
      </c>
      <c r="D5" s="107">
        <f>+D4+713+364+235+449</f>
        <v>43666</v>
      </c>
      <c r="E5" s="107">
        <f>+E4+192+462+63+122</f>
        <v>12077</v>
      </c>
      <c r="F5" s="107">
        <f>+F4+43132</f>
        <v>172099</v>
      </c>
      <c r="G5" s="107">
        <f>SUM(D5:F5)</f>
        <v>227842</v>
      </c>
      <c r="H5" s="107"/>
      <c r="I5" s="107"/>
      <c r="J5" s="107"/>
      <c r="K5" s="107"/>
      <c r="L5" s="107">
        <v>497</v>
      </c>
      <c r="M5" s="107">
        <f>SUM(G5:L5)</f>
        <v>228339</v>
      </c>
    </row>
    <row r="6" spans="1:13" s="11" customFormat="1" ht="15.75">
      <c r="A6" s="40" t="s">
        <v>22</v>
      </c>
      <c r="B6" s="455"/>
      <c r="C6" s="11" t="s">
        <v>389</v>
      </c>
      <c r="D6" s="11">
        <v>42097</v>
      </c>
      <c r="E6" s="11">
        <v>11376</v>
      </c>
      <c r="F6" s="11">
        <v>126443</v>
      </c>
      <c r="G6" s="11">
        <f>SUM(D6:F6)</f>
        <v>179916</v>
      </c>
      <c r="L6" s="11">
        <v>0</v>
      </c>
      <c r="M6" s="11">
        <f>SUM(G6:L6)</f>
        <v>179916</v>
      </c>
    </row>
    <row r="7" spans="3:13" ht="15.75"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33" customHeight="1">
      <c r="A8" s="8" t="s">
        <v>23</v>
      </c>
      <c r="B8" s="10" t="str">
        <f>+'[1]2mell 1ápr'!A32</f>
        <v>Egészségügyi és Szociális Ellátó Szervezet</v>
      </c>
      <c r="C8" s="446" t="s">
        <v>50</v>
      </c>
      <c r="D8" s="107">
        <v>62208</v>
      </c>
      <c r="E8" s="107">
        <v>14440</v>
      </c>
      <c r="F8" s="107">
        <f>42090+274+3846+144-4000</f>
        <v>42354</v>
      </c>
      <c r="G8" s="107">
        <f>SUM(D8:F8)</f>
        <v>119002</v>
      </c>
      <c r="H8" s="107"/>
      <c r="I8" s="107"/>
      <c r="J8" s="107"/>
      <c r="K8" s="107"/>
      <c r="L8" s="107"/>
      <c r="M8" s="107">
        <f>SUM(G8:L8)</f>
        <v>119002</v>
      </c>
    </row>
    <row r="9" spans="1:13" ht="30.75">
      <c r="A9" s="8" t="s">
        <v>24</v>
      </c>
      <c r="B9" s="10"/>
      <c r="C9" s="449" t="s">
        <v>375</v>
      </c>
      <c r="D9" s="107">
        <f>+D8+1303+360+462+669</f>
        <v>65002</v>
      </c>
      <c r="E9" s="107">
        <f>+E8+352+97+125+180</f>
        <v>15194</v>
      </c>
      <c r="F9" s="107">
        <f>+F8+8867+1674+1891</f>
        <v>54786</v>
      </c>
      <c r="G9" s="107">
        <f>SUM(D9:F9)</f>
        <v>134982</v>
      </c>
      <c r="H9" s="107"/>
      <c r="I9" s="107"/>
      <c r="J9" s="107"/>
      <c r="K9" s="107"/>
      <c r="L9" s="107"/>
      <c r="M9" s="107">
        <f>SUM(G9:L9)</f>
        <v>134982</v>
      </c>
    </row>
    <row r="10" spans="1:13" s="11" customFormat="1" ht="15.75">
      <c r="A10" s="40" t="s">
        <v>25</v>
      </c>
      <c r="B10" s="455"/>
      <c r="C10" s="11" t="s">
        <v>389</v>
      </c>
      <c r="D10" s="15">
        <v>66502</v>
      </c>
      <c r="E10" s="15">
        <v>17794</v>
      </c>
      <c r="F10" s="15">
        <v>41972</v>
      </c>
      <c r="G10" s="15">
        <f>SUM(D10:F10)</f>
        <v>126268</v>
      </c>
      <c r="M10" s="15">
        <f>SUM(G10:L10)</f>
        <v>126268</v>
      </c>
    </row>
    <row r="11" spans="3:13" ht="15.75"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1"/>
    </row>
    <row r="12" spans="1:13" ht="31.5" customHeight="1">
      <c r="A12" s="8" t="s">
        <v>26</v>
      </c>
      <c r="B12" s="10" t="s">
        <v>60</v>
      </c>
      <c r="C12" s="446" t="s">
        <v>50</v>
      </c>
      <c r="D12" s="107">
        <v>9313</v>
      </c>
      <c r="E12" s="107">
        <v>2514</v>
      </c>
      <c r="F12" s="107">
        <f>8521-2000+400</f>
        <v>6921</v>
      </c>
      <c r="G12" s="107">
        <f>SUM(D12:F12)</f>
        <v>18748</v>
      </c>
      <c r="H12" s="107"/>
      <c r="I12" s="107"/>
      <c r="J12" s="107"/>
      <c r="K12" s="107"/>
      <c r="L12" s="107"/>
      <c r="M12" s="107">
        <f>SUM(G12:L12)</f>
        <v>18748</v>
      </c>
    </row>
    <row r="13" spans="1:13" ht="30.75">
      <c r="A13" s="8" t="s">
        <v>27</v>
      </c>
      <c r="B13" s="10"/>
      <c r="C13" s="449" t="s">
        <v>375</v>
      </c>
      <c r="D13" s="107">
        <f>+D12+95+32+756+72</f>
        <v>10268</v>
      </c>
      <c r="E13" s="107">
        <f>+E12+25+8+204+21</f>
        <v>2772</v>
      </c>
      <c r="F13" s="107">
        <f>+F12+2408+408-408+179+3918+1000</f>
        <v>14426</v>
      </c>
      <c r="G13" s="107">
        <f>SUM(D13:F13)</f>
        <v>27466</v>
      </c>
      <c r="H13" s="107"/>
      <c r="I13" s="107"/>
      <c r="J13" s="107"/>
      <c r="K13" s="107"/>
      <c r="L13" s="107">
        <f>408+3122</f>
        <v>3530</v>
      </c>
      <c r="M13" s="107">
        <f>SUM(G13:L13)</f>
        <v>30996</v>
      </c>
    </row>
    <row r="14" spans="1:13" s="11" customFormat="1" ht="15.75">
      <c r="A14" s="40" t="s">
        <v>28</v>
      </c>
      <c r="B14" s="455"/>
      <c r="C14" s="11" t="s">
        <v>389</v>
      </c>
      <c r="D14" s="11">
        <v>9409</v>
      </c>
      <c r="E14" s="11">
        <v>2539</v>
      </c>
      <c r="F14" s="11">
        <f>8870+700</f>
        <v>9570</v>
      </c>
      <c r="G14" s="11">
        <f>SUM(D14:F14)</f>
        <v>21518</v>
      </c>
      <c r="L14" s="11">
        <v>0</v>
      </c>
      <c r="M14" s="11">
        <f>SUM(G14:L14)</f>
        <v>21518</v>
      </c>
    </row>
    <row r="15" spans="3:13" ht="15.75">
      <c r="C15" s="447"/>
      <c r="D15" s="447"/>
      <c r="E15" s="447"/>
      <c r="F15" s="447"/>
      <c r="G15" s="447"/>
      <c r="H15" s="448"/>
      <c r="I15" s="448"/>
      <c r="J15" s="448"/>
      <c r="K15" s="448"/>
      <c r="L15" s="448"/>
      <c r="M15" s="447"/>
    </row>
    <row r="16" spans="1:13" ht="29.25" customHeight="1">
      <c r="A16" s="8" t="s">
        <v>29</v>
      </c>
      <c r="B16" s="16" t="str">
        <f>+'[2]bevétel'!B34</f>
        <v>Battonya Város Önkormányzata</v>
      </c>
      <c r="C16" s="449" t="s">
        <v>50</v>
      </c>
      <c r="D16" s="447">
        <v>15988</v>
      </c>
      <c r="E16" s="447">
        <v>2561</v>
      </c>
      <c r="F16" s="447">
        <f>54260-2000</f>
        <v>52260</v>
      </c>
      <c r="G16" s="447">
        <f>SUM(D16:F16)</f>
        <v>70809</v>
      </c>
      <c r="H16" s="448">
        <f>+5mell!C17</f>
        <v>26169</v>
      </c>
      <c r="I16" s="448">
        <v>5828</v>
      </c>
      <c r="J16" s="448"/>
      <c r="K16" s="448"/>
      <c r="L16" s="448">
        <v>0</v>
      </c>
      <c r="M16" s="447">
        <f>SUM(G16:L16)</f>
        <v>102806</v>
      </c>
    </row>
    <row r="17" spans="1:13" ht="30.75">
      <c r="A17" s="8" t="s">
        <v>30</v>
      </c>
      <c r="B17" s="13"/>
      <c r="C17" s="449" t="s">
        <v>375</v>
      </c>
      <c r="D17" s="447">
        <f>+D16+21+302+62985+214+45000+21+37</f>
        <v>124568</v>
      </c>
      <c r="E17" s="447">
        <f>+E16+6+82+8503+52+6300+6</f>
        <v>17510</v>
      </c>
      <c r="F17" s="447">
        <f>+F16+55665+15600-4751+15145-323-2252-347+9</f>
        <v>131006</v>
      </c>
      <c r="G17" s="447">
        <f>SUM(D17:F17)</f>
        <v>273084</v>
      </c>
      <c r="H17" s="448">
        <v>29562</v>
      </c>
      <c r="I17" s="448">
        <v>18442</v>
      </c>
      <c r="J17" s="448">
        <v>3726</v>
      </c>
      <c r="K17" s="448">
        <v>3000</v>
      </c>
      <c r="L17" s="448">
        <v>50678</v>
      </c>
      <c r="M17" s="447">
        <f>SUM(G17:L17)</f>
        <v>378492</v>
      </c>
    </row>
    <row r="18" spans="1:13" ht="15.75">
      <c r="A18" s="8" t="s">
        <v>31</v>
      </c>
      <c r="B18" s="13"/>
      <c r="C18" s="1" t="s">
        <v>389</v>
      </c>
      <c r="D18" s="14">
        <f>1620+1412</f>
        <v>3032</v>
      </c>
      <c r="E18" s="14">
        <f>381+394</f>
        <v>775</v>
      </c>
      <c r="F18" s="14">
        <f>2105+507+3067+9450</f>
        <v>15129</v>
      </c>
      <c r="G18" s="13">
        <f>SUM(D18:F18)</f>
        <v>18936</v>
      </c>
      <c r="H18" s="14">
        <f>+5mell!C17</f>
        <v>26169</v>
      </c>
      <c r="I18" s="14">
        <f>+6mell!J31</f>
        <v>5114</v>
      </c>
      <c r="J18" s="14">
        <v>0</v>
      </c>
      <c r="K18" s="14">
        <f>+2mell!E19</f>
        <v>3000</v>
      </c>
      <c r="L18" s="14">
        <f>+7mell!C21</f>
        <v>35878</v>
      </c>
      <c r="M18" s="13">
        <f>SUM(G18:L18)</f>
        <v>89097</v>
      </c>
    </row>
    <row r="19" spans="2:13" ht="15" customHeight="1">
      <c r="B19" s="2" t="s">
        <v>0</v>
      </c>
      <c r="C19" s="453" t="s">
        <v>51</v>
      </c>
      <c r="D19" s="9" t="s">
        <v>52</v>
      </c>
      <c r="E19" s="3" t="s">
        <v>53</v>
      </c>
      <c r="F19" s="35" t="s">
        <v>54</v>
      </c>
      <c r="G19" s="4" t="s">
        <v>55</v>
      </c>
      <c r="H19" s="675" t="s">
        <v>56</v>
      </c>
      <c r="I19" s="675"/>
      <c r="J19" s="675"/>
      <c r="K19" s="675"/>
      <c r="L19" s="3" t="s">
        <v>39</v>
      </c>
      <c r="M19" s="3" t="s">
        <v>57</v>
      </c>
    </row>
    <row r="20" spans="2:13" ht="15" customHeight="1">
      <c r="B20" s="5"/>
      <c r="C20" s="454"/>
      <c r="D20" s="7"/>
      <c r="E20" s="7"/>
      <c r="F20" s="7"/>
      <c r="G20" s="7"/>
      <c r="H20" s="7" t="s">
        <v>7</v>
      </c>
      <c r="I20" s="7" t="s">
        <v>58</v>
      </c>
      <c r="J20" s="7" t="s">
        <v>8</v>
      </c>
      <c r="K20" s="7" t="s">
        <v>9</v>
      </c>
      <c r="L20" s="7"/>
      <c r="M20" s="7"/>
    </row>
    <row r="21" spans="1:13" s="8" customFormat="1" ht="20.25" customHeight="1">
      <c r="A21" s="8" t="s">
        <v>365</v>
      </c>
      <c r="B21" s="2" t="s">
        <v>12</v>
      </c>
      <c r="C21" s="453" t="s">
        <v>13</v>
      </c>
      <c r="D21" s="3" t="s">
        <v>14</v>
      </c>
      <c r="E21" s="3" t="s">
        <v>15</v>
      </c>
      <c r="F21" s="3" t="s">
        <v>16</v>
      </c>
      <c r="G21" s="3" t="s">
        <v>17</v>
      </c>
      <c r="H21" s="3" t="s">
        <v>18</v>
      </c>
      <c r="I21" s="3" t="s">
        <v>59</v>
      </c>
      <c r="J21" s="3" t="s">
        <v>19</v>
      </c>
      <c r="K21" s="3" t="s">
        <v>363</v>
      </c>
      <c r="L21" s="3" t="s">
        <v>364</v>
      </c>
      <c r="M21" s="3" t="s">
        <v>366</v>
      </c>
    </row>
    <row r="22" spans="2:13" s="8" customFormat="1" ht="20.25" customHeight="1">
      <c r="B22" s="2"/>
      <c r="C22" s="45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>
      <c r="A23" s="8" t="s">
        <v>32</v>
      </c>
      <c r="B23" s="10" t="str">
        <f>+3mell!B28</f>
        <v>Battonyai Polgármesteri Hivatal</v>
      </c>
      <c r="C23" s="449" t="s">
        <v>50</v>
      </c>
      <c r="D23" s="38">
        <f>95148-565+1430</f>
        <v>96013</v>
      </c>
      <c r="E23" s="38">
        <f>25853-153+386</f>
        <v>26086</v>
      </c>
      <c r="F23" s="38">
        <v>23222</v>
      </c>
      <c r="G23" s="38">
        <f>SUM(D23:F23)</f>
        <v>145321</v>
      </c>
      <c r="H23" s="38"/>
      <c r="I23" s="43">
        <v>178472</v>
      </c>
      <c r="J23" s="43"/>
      <c r="K23" s="38"/>
      <c r="L23" s="38"/>
      <c r="M23" s="38">
        <f>SUM(G23:L23)</f>
        <v>323793</v>
      </c>
    </row>
    <row r="24" spans="1:13" ht="31.5" customHeight="1">
      <c r="A24" s="8" t="s">
        <v>33</v>
      </c>
      <c r="C24" s="449" t="s">
        <v>375</v>
      </c>
      <c r="D24" s="38">
        <f>+D23+377+7152+151+248+8883</f>
        <v>112824</v>
      </c>
      <c r="E24" s="38">
        <f>+E23+102+1813+41+67+2177</f>
        <v>30286</v>
      </c>
      <c r="F24" s="38">
        <f>+F23+14159+1016+488</f>
        <v>38885</v>
      </c>
      <c r="G24" s="38">
        <f>SUM(D24:F24)</f>
        <v>181995</v>
      </c>
      <c r="H24" s="38"/>
      <c r="I24" s="43">
        <v>178902</v>
      </c>
      <c r="J24" s="43"/>
      <c r="K24" s="38"/>
      <c r="L24" s="38"/>
      <c r="M24" s="38">
        <f>SUM(G24:L24)</f>
        <v>360897</v>
      </c>
    </row>
    <row r="25" spans="1:13" s="11" customFormat="1" ht="15.75">
      <c r="A25" s="40" t="s">
        <v>34</v>
      </c>
      <c r="C25" s="11" t="s">
        <v>389</v>
      </c>
      <c r="D25" s="15">
        <f>101076+3364</f>
        <v>104440</v>
      </c>
      <c r="E25" s="15">
        <f>27015+908</f>
        <v>27923</v>
      </c>
      <c r="F25" s="15">
        <v>35344</v>
      </c>
      <c r="G25" s="11">
        <f>SUM(D25:F25)</f>
        <v>167707</v>
      </c>
      <c r="I25" s="15">
        <f>+6mell!I31</f>
        <v>113225</v>
      </c>
      <c r="M25" s="11">
        <f>SUM(G25:L25)</f>
        <v>280932</v>
      </c>
    </row>
    <row r="26" spans="3:13" ht="15" customHeight="1">
      <c r="C26" s="107"/>
      <c r="D26" s="447"/>
      <c r="E26" s="447"/>
      <c r="F26" s="447"/>
      <c r="G26" s="447"/>
      <c r="H26" s="447"/>
      <c r="I26" s="447"/>
      <c r="J26" s="447"/>
      <c r="K26" s="447"/>
      <c r="L26" s="447"/>
      <c r="M26" s="447"/>
    </row>
    <row r="27" spans="1:13" ht="33" customHeight="1">
      <c r="A27" s="8" t="s">
        <v>35</v>
      </c>
      <c r="B27" s="16" t="s">
        <v>61</v>
      </c>
      <c r="C27" s="449" t="s">
        <v>50</v>
      </c>
      <c r="D27" s="447">
        <f aca="true" t="shared" si="0" ref="D27:M27">+D23+D16+D12+D8+D4</f>
        <v>225427</v>
      </c>
      <c r="E27" s="447">
        <f t="shared" si="0"/>
        <v>56839</v>
      </c>
      <c r="F27" s="447">
        <f t="shared" si="0"/>
        <v>253724</v>
      </c>
      <c r="G27" s="447">
        <f t="shared" si="0"/>
        <v>535990</v>
      </c>
      <c r="H27" s="448">
        <f t="shared" si="0"/>
        <v>26169</v>
      </c>
      <c r="I27" s="447">
        <f t="shared" si="0"/>
        <v>184300</v>
      </c>
      <c r="J27" s="447">
        <f t="shared" si="0"/>
        <v>0</v>
      </c>
      <c r="K27" s="447">
        <f t="shared" si="0"/>
        <v>0</v>
      </c>
      <c r="L27" s="447">
        <f t="shared" si="0"/>
        <v>0</v>
      </c>
      <c r="M27" s="447">
        <f t="shared" si="0"/>
        <v>746459</v>
      </c>
    </row>
    <row r="28" spans="1:13" ht="33" customHeight="1">
      <c r="A28" s="8" t="s">
        <v>36</v>
      </c>
      <c r="C28" s="449" t="s">
        <v>375</v>
      </c>
      <c r="D28" s="447">
        <f>+D24+D17+D13+D9+D5</f>
        <v>356328</v>
      </c>
      <c r="E28" s="447">
        <f aca="true" t="shared" si="1" ref="E28:M28">+E24+E17+E13+E9+E5</f>
        <v>77839</v>
      </c>
      <c r="F28" s="447">
        <f t="shared" si="1"/>
        <v>411202</v>
      </c>
      <c r="G28" s="447">
        <f t="shared" si="1"/>
        <v>845369</v>
      </c>
      <c r="H28" s="447">
        <f t="shared" si="1"/>
        <v>29562</v>
      </c>
      <c r="I28" s="447">
        <f t="shared" si="1"/>
        <v>197344</v>
      </c>
      <c r="J28" s="447">
        <f t="shared" si="1"/>
        <v>3726</v>
      </c>
      <c r="K28" s="447">
        <f t="shared" si="1"/>
        <v>3000</v>
      </c>
      <c r="L28" s="448">
        <f t="shared" si="1"/>
        <v>54705</v>
      </c>
      <c r="M28" s="447">
        <f t="shared" si="1"/>
        <v>1133706</v>
      </c>
    </row>
    <row r="29" spans="1:13" ht="15.75">
      <c r="A29" s="8" t="s">
        <v>37</v>
      </c>
      <c r="C29" s="1" t="s">
        <v>389</v>
      </c>
      <c r="D29" s="13">
        <f>+D25+D18+D14+D10+D6</f>
        <v>225480</v>
      </c>
      <c r="E29" s="13">
        <f aca="true" t="shared" si="2" ref="E29:L29">+E25+E18+E14+E10+E6</f>
        <v>60407</v>
      </c>
      <c r="F29" s="13">
        <f t="shared" si="2"/>
        <v>228458</v>
      </c>
      <c r="G29" s="13">
        <f>+G25+G18+G14+G10+G6</f>
        <v>514345</v>
      </c>
      <c r="H29" s="13">
        <f t="shared" si="2"/>
        <v>26169</v>
      </c>
      <c r="I29" s="13">
        <f t="shared" si="2"/>
        <v>118339</v>
      </c>
      <c r="J29" s="13">
        <f t="shared" si="2"/>
        <v>0</v>
      </c>
      <c r="K29" s="13">
        <f t="shared" si="2"/>
        <v>3000</v>
      </c>
      <c r="L29" s="13">
        <f t="shared" si="2"/>
        <v>35878</v>
      </c>
      <c r="M29" s="14">
        <f>+M25+M18+M14+M10+M6</f>
        <v>697731</v>
      </c>
    </row>
  </sheetData>
  <sheetProtection/>
  <mergeCells count="2">
    <mergeCell ref="H1:K1"/>
    <mergeCell ref="H19:K19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1" r:id="rId1"/>
  <headerFooter alignWithMargins="0">
    <oddHeader>&amp;L4. melléklet a 2014. évi 2/2014.(I.24.) Önkormányzati költségvetési rendelethez&amp;R&amp;D</oddHeader>
    <oddFooter>&amp;R&amp;F</oddFooter>
  </headerFooter>
  <rowBreaks count="1" manualBreakCount="1">
    <brk id="1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4.8515625" style="231" customWidth="1"/>
    <col min="2" max="2" width="47.140625" style="231" customWidth="1"/>
    <col min="3" max="3" width="16.140625" style="231" customWidth="1"/>
    <col min="4" max="4" width="15.57421875" style="231" customWidth="1"/>
    <col min="5" max="5" width="9.140625" style="231" customWidth="1"/>
    <col min="6" max="6" width="13.7109375" style="231" bestFit="1" customWidth="1"/>
    <col min="7" max="16384" width="9.140625" style="231" customWidth="1"/>
  </cols>
  <sheetData>
    <row r="1" spans="1:3" ht="12.75">
      <c r="A1" s="676" t="s">
        <v>342</v>
      </c>
      <c r="B1" s="676"/>
      <c r="C1" s="676"/>
    </row>
    <row r="2" spans="2:3" ht="12.75">
      <c r="B2" s="329"/>
      <c r="C2" s="329"/>
    </row>
    <row r="3" spans="2:3" ht="12.75">
      <c r="B3" s="329"/>
      <c r="C3" s="329"/>
    </row>
    <row r="5" spans="2:7" ht="52.5" customHeight="1">
      <c r="B5" s="402" t="s">
        <v>339</v>
      </c>
      <c r="C5" s="403" t="s">
        <v>341</v>
      </c>
      <c r="D5" s="398" t="s">
        <v>389</v>
      </c>
      <c r="E5" s="274"/>
      <c r="F5" s="398"/>
      <c r="G5" s="398"/>
    </row>
    <row r="6" spans="1:7" s="430" customFormat="1" ht="24" customHeight="1">
      <c r="A6" s="430" t="s">
        <v>11</v>
      </c>
      <c r="B6" s="433" t="s">
        <v>12</v>
      </c>
      <c r="C6" s="401" t="s">
        <v>14</v>
      </c>
      <c r="D6" s="431"/>
      <c r="E6" s="432"/>
      <c r="F6" s="401"/>
      <c r="G6" s="401"/>
    </row>
    <row r="7" spans="1:4" ht="12.75">
      <c r="A7" s="231" t="s">
        <v>20</v>
      </c>
      <c r="B7" s="399" t="str">
        <f>+'[3]bevétel'!A40</f>
        <v>Városellátó  Szervezet</v>
      </c>
      <c r="C7" s="654">
        <v>30</v>
      </c>
      <c r="D7" s="330">
        <v>28</v>
      </c>
    </row>
    <row r="8" spans="2:4" ht="12.75">
      <c r="B8" s="399"/>
      <c r="C8" s="330"/>
      <c r="D8" s="330"/>
    </row>
    <row r="9" spans="1:4" ht="12.75">
      <c r="A9" s="231" t="s">
        <v>21</v>
      </c>
      <c r="B9" s="399" t="str">
        <f>+'[3]bevétel'!A46</f>
        <v>Egészségügyi és Szociális Ellátó Szervezet</v>
      </c>
      <c r="C9" s="339">
        <v>34</v>
      </c>
      <c r="D9" s="330">
        <v>35</v>
      </c>
    </row>
    <row r="10" spans="2:4" ht="12.75">
      <c r="B10" s="399" t="s">
        <v>387</v>
      </c>
      <c r="C10" s="339">
        <v>4</v>
      </c>
      <c r="D10" s="330">
        <v>4</v>
      </c>
    </row>
    <row r="11" spans="2:4" ht="12.75">
      <c r="B11" s="400"/>
      <c r="C11" s="330"/>
      <c r="D11" s="330"/>
    </row>
    <row r="12" spans="1:4" ht="12.75">
      <c r="A12" s="231" t="s">
        <v>22</v>
      </c>
      <c r="B12" s="399" t="str">
        <f>+'[3]bevétel'!A62</f>
        <v>Városi Művelődési Központ és Könyvtár</v>
      </c>
      <c r="C12" s="330">
        <v>4</v>
      </c>
      <c r="D12" s="330">
        <v>4</v>
      </c>
    </row>
    <row r="13" spans="2:4" s="270" customFormat="1" ht="12.75">
      <c r="B13" s="401"/>
      <c r="C13" s="385"/>
      <c r="D13" s="385"/>
    </row>
    <row r="14" spans="1:4" ht="12.75">
      <c r="A14" s="231" t="s">
        <v>23</v>
      </c>
      <c r="B14" s="399" t="str">
        <f>+'[3]bevétel'!A76</f>
        <v>Battonya Város Önkormányzata</v>
      </c>
      <c r="C14" s="330">
        <v>1</v>
      </c>
      <c r="D14" s="330">
        <v>1</v>
      </c>
    </row>
    <row r="15" spans="2:4" s="270" customFormat="1" ht="12.75">
      <c r="B15" s="401"/>
      <c r="C15" s="385"/>
      <c r="D15" s="385"/>
    </row>
    <row r="16" spans="1:4" ht="12.75">
      <c r="A16" s="231" t="s">
        <v>24</v>
      </c>
      <c r="B16" s="399" t="s">
        <v>337</v>
      </c>
      <c r="C16" s="330">
        <v>23</v>
      </c>
      <c r="D16" s="330">
        <v>23</v>
      </c>
    </row>
    <row r="17" spans="2:4" ht="12.75">
      <c r="B17" s="400"/>
      <c r="C17" s="330"/>
      <c r="D17" s="330"/>
    </row>
    <row r="18" spans="2:4" s="270" customFormat="1" ht="12.75">
      <c r="B18" s="401"/>
      <c r="C18" s="385"/>
      <c r="D18" s="385"/>
    </row>
    <row r="19" spans="2:4" ht="12.75">
      <c r="B19" s="330"/>
      <c r="C19" s="330"/>
      <c r="D19" s="330"/>
    </row>
    <row r="20" spans="1:4" ht="12.75">
      <c r="A20" s="231" t="s">
        <v>25</v>
      </c>
      <c r="B20" s="385" t="s">
        <v>340</v>
      </c>
      <c r="C20" s="507">
        <f>SUM(C7:C19)</f>
        <v>96</v>
      </c>
      <c r="D20" s="385">
        <f>SUM(D7:D19)</f>
        <v>95</v>
      </c>
    </row>
    <row r="21" spans="2:4" ht="12.75">
      <c r="B21" s="330"/>
      <c r="C21" s="330"/>
      <c r="D21" s="330"/>
    </row>
    <row r="22" spans="2:4" ht="12.75">
      <c r="B22" s="330"/>
      <c r="C22" s="330"/>
      <c r="D22" s="330"/>
    </row>
    <row r="23" spans="1:4" ht="12.75">
      <c r="A23" s="231" t="s">
        <v>26</v>
      </c>
      <c r="B23" s="330" t="s">
        <v>343</v>
      </c>
      <c r="C23" s="330">
        <v>220</v>
      </c>
      <c r="D23" s="330">
        <v>250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&amp;L4/1. melléklet a 2014. évi 2/2014.(I.24.) Önkormányzati költségvetési rendelethez&amp;R&amp;D</oddHeader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E30" sqref="E30"/>
    </sheetView>
  </sheetViews>
  <sheetFormatPr defaultColWidth="9.140625" defaultRowHeight="15" customHeight="1"/>
  <cols>
    <col min="1" max="1" width="5.140625" style="38" customWidth="1"/>
    <col min="2" max="2" width="63.140625" style="37" customWidth="1"/>
    <col min="3" max="3" width="19.8515625" style="38" customWidth="1"/>
    <col min="4" max="4" width="13.28125" style="38" customWidth="1"/>
    <col min="5" max="5" width="10.28125" style="38" bestFit="1" customWidth="1"/>
    <col min="6" max="7" width="9.140625" style="38" customWidth="1"/>
    <col min="8" max="8" width="10.140625" style="38" bestFit="1" customWidth="1"/>
    <col min="9" max="13" width="13.00390625" style="43" bestFit="1" customWidth="1"/>
    <col min="14" max="29" width="9.140625" style="43" customWidth="1"/>
    <col min="30" max="16384" width="9.140625" style="38" customWidth="1"/>
  </cols>
  <sheetData>
    <row r="1" ht="15" customHeight="1">
      <c r="A1" s="36" t="s">
        <v>62</v>
      </c>
    </row>
    <row r="2" ht="15" customHeight="1">
      <c r="B2" s="39"/>
    </row>
    <row r="3" spans="2:4" ht="15" customHeight="1">
      <c r="B3" s="39" t="s">
        <v>63</v>
      </c>
      <c r="C3" s="40" t="s">
        <v>390</v>
      </c>
      <c r="D3" s="40"/>
    </row>
    <row r="4" spans="3:4" ht="21" customHeight="1">
      <c r="C4" s="41" t="s">
        <v>64</v>
      </c>
      <c r="D4" s="40"/>
    </row>
    <row r="6" spans="1:4" ht="15" customHeight="1">
      <c r="A6" s="11" t="s">
        <v>365</v>
      </c>
      <c r="B6" s="42" t="s">
        <v>12</v>
      </c>
      <c r="C6" s="40" t="s">
        <v>13</v>
      </c>
      <c r="D6" s="40"/>
    </row>
    <row r="8" spans="1:3" ht="15" customHeight="1">
      <c r="A8" s="38" t="s">
        <v>20</v>
      </c>
      <c r="B8" s="37" t="s">
        <v>69</v>
      </c>
      <c r="C8" s="38">
        <f>13319+5</f>
        <v>13324</v>
      </c>
    </row>
    <row r="9" spans="1:3" ht="15" customHeight="1">
      <c r="A9" s="38" t="s">
        <v>21</v>
      </c>
      <c r="B9" s="37" t="s">
        <v>230</v>
      </c>
      <c r="C9" s="38">
        <v>5000</v>
      </c>
    </row>
    <row r="10" spans="1:3" ht="15" customHeight="1">
      <c r="A10" s="46" t="s">
        <v>22</v>
      </c>
      <c r="B10" s="44" t="s">
        <v>491</v>
      </c>
      <c r="C10" s="46">
        <f>4000-700-50+1600-45-5</f>
        <v>4800</v>
      </c>
    </row>
    <row r="11" spans="1:3" ht="15" customHeight="1">
      <c r="A11" s="46" t="s">
        <v>23</v>
      </c>
      <c r="B11" s="86" t="s">
        <v>493</v>
      </c>
      <c r="C11" s="46">
        <v>300</v>
      </c>
    </row>
    <row r="12" spans="1:3" ht="15" customHeight="1">
      <c r="A12" s="46" t="s">
        <v>24</v>
      </c>
      <c r="B12" s="86" t="s">
        <v>494</v>
      </c>
      <c r="C12" s="46">
        <v>300</v>
      </c>
    </row>
    <row r="13" spans="1:3" ht="15" customHeight="1">
      <c r="A13" s="46" t="s">
        <v>25</v>
      </c>
      <c r="B13" s="86" t="s">
        <v>495</v>
      </c>
      <c r="C13" s="46">
        <v>1000</v>
      </c>
    </row>
    <row r="14" spans="1:3" ht="15" customHeight="1">
      <c r="A14" s="46" t="s">
        <v>26</v>
      </c>
      <c r="B14" s="44" t="s">
        <v>458</v>
      </c>
      <c r="C14" s="46">
        <v>3000</v>
      </c>
    </row>
    <row r="15" spans="1:3" ht="32.25" customHeight="1">
      <c r="A15" s="46" t="s">
        <v>27</v>
      </c>
      <c r="B15" s="666" t="s">
        <v>502</v>
      </c>
      <c r="C15" s="46">
        <f>15*3</f>
        <v>45</v>
      </c>
    </row>
    <row r="16" spans="1:3" ht="15" customHeight="1">
      <c r="A16" s="46"/>
      <c r="B16" s="44"/>
      <c r="C16" s="46"/>
    </row>
    <row r="17" spans="1:4" ht="15" customHeight="1">
      <c r="A17" s="46" t="s">
        <v>28</v>
      </c>
      <c r="B17" s="5" t="s">
        <v>65</v>
      </c>
      <c r="C17" s="7">
        <f>SUM(C8:C16)-C11-C12-C13</f>
        <v>26169</v>
      </c>
      <c r="D17" s="7"/>
    </row>
    <row r="18" spans="1:4" ht="15" customHeight="1">
      <c r="A18" s="46"/>
      <c r="B18" s="5"/>
      <c r="C18" s="7"/>
      <c r="D18" s="7"/>
    </row>
    <row r="19" spans="1:4" ht="15" customHeight="1">
      <c r="A19" s="46" t="s">
        <v>29</v>
      </c>
      <c r="B19" s="5" t="s">
        <v>66</v>
      </c>
      <c r="C19" s="7">
        <f>SUM(C21)</f>
        <v>3000</v>
      </c>
      <c r="D19" s="7"/>
    </row>
    <row r="20" spans="1:4" ht="15" customHeight="1">
      <c r="A20" s="46"/>
      <c r="B20" s="5"/>
      <c r="C20" s="7"/>
      <c r="D20" s="7"/>
    </row>
    <row r="21" spans="1:4" ht="15" customHeight="1">
      <c r="A21" s="46" t="s">
        <v>30</v>
      </c>
      <c r="B21" s="44" t="s">
        <v>456</v>
      </c>
      <c r="C21" s="47">
        <v>3000</v>
      </c>
      <c r="D21" s="7"/>
    </row>
    <row r="22" spans="1:4" ht="15" customHeight="1">
      <c r="A22" s="46"/>
      <c r="B22" s="44"/>
      <c r="C22" s="47"/>
      <c r="D22" s="7"/>
    </row>
    <row r="23" spans="1:3" ht="15" customHeight="1">
      <c r="A23" s="46"/>
      <c r="B23" s="5"/>
      <c r="C23" s="46"/>
    </row>
    <row r="24" spans="1:4" ht="15" customHeight="1">
      <c r="A24" s="46" t="s">
        <v>31</v>
      </c>
      <c r="B24" s="48" t="s">
        <v>67</v>
      </c>
      <c r="C24" s="7">
        <f>+C17+C19</f>
        <v>29169</v>
      </c>
      <c r="D24" s="7"/>
    </row>
    <row r="35" ht="15" customHeight="1">
      <c r="B35" s="37" t="s">
        <v>377</v>
      </c>
    </row>
    <row r="36" spans="2:3" ht="15" customHeight="1">
      <c r="B36" s="37" t="s">
        <v>378</v>
      </c>
      <c r="C36" s="38">
        <v>28045</v>
      </c>
    </row>
    <row r="37" spans="2:3" ht="15" customHeight="1">
      <c r="B37" s="37" t="s">
        <v>379</v>
      </c>
      <c r="C37" s="38">
        <v>335600</v>
      </c>
    </row>
    <row r="38" spans="2:3" ht="15" customHeight="1">
      <c r="B38" s="37" t="s">
        <v>380</v>
      </c>
      <c r="C38" s="38">
        <v>583944</v>
      </c>
    </row>
    <row r="39" spans="2:3" ht="15" customHeight="1">
      <c r="B39" s="37" t="s">
        <v>381</v>
      </c>
      <c r="C39" s="38">
        <v>1493588</v>
      </c>
    </row>
    <row r="47" ht="15" customHeight="1">
      <c r="B47" s="444" t="s">
        <v>382</v>
      </c>
    </row>
    <row r="48" ht="15" customHeight="1">
      <c r="B48" s="37" t="s">
        <v>383</v>
      </c>
    </row>
    <row r="49" ht="15" customHeight="1">
      <c r="B49" s="37" t="s">
        <v>336</v>
      </c>
    </row>
    <row r="50" spans="2:29" s="1" customFormat="1" ht="15" customHeight="1">
      <c r="B50" s="445" t="s">
        <v>376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2" ht="15" customHeight="1">
      <c r="B52" s="37" t="s">
        <v>384</v>
      </c>
    </row>
    <row r="53" ht="15" customHeight="1">
      <c r="B53" s="37" t="s">
        <v>385</v>
      </c>
    </row>
    <row r="54" spans="2:29" s="1" customFormat="1" ht="15" customHeight="1">
      <c r="B54" s="445" t="s">
        <v>386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&amp;L5. melléklet a 2014. évi 2/2014.(I.24.) Önkormányzati költségvetési rendelethez&amp;R&amp;D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0">
      <selection activeCell="I40" sqref="I40"/>
    </sheetView>
  </sheetViews>
  <sheetFormatPr defaultColWidth="9.140625" defaultRowHeight="15" customHeight="1"/>
  <cols>
    <col min="1" max="1" width="4.140625" style="53" bestFit="1" customWidth="1"/>
    <col min="2" max="2" width="52.57421875" style="53" customWidth="1"/>
    <col min="3" max="3" width="11.00390625" style="53" bestFit="1" customWidth="1"/>
    <col min="4" max="4" width="10.28125" style="53" customWidth="1"/>
    <col min="5" max="5" width="11.28125" style="53" bestFit="1" customWidth="1"/>
    <col min="6" max="6" width="11.00390625" style="53" bestFit="1" customWidth="1"/>
    <col min="7" max="7" width="10.28125" style="53" customWidth="1"/>
    <col min="8" max="8" width="11.28125" style="53" bestFit="1" customWidth="1"/>
    <col min="9" max="9" width="10.57421875" style="53" bestFit="1" customWidth="1"/>
    <col min="10" max="10" width="9.421875" style="53" bestFit="1" customWidth="1"/>
    <col min="11" max="16384" width="9.140625" style="53" customWidth="1"/>
  </cols>
  <sheetData>
    <row r="1" spans="1:10" ht="22.5" customHeight="1" thickBot="1">
      <c r="A1" s="51" t="s">
        <v>70</v>
      </c>
      <c r="B1" s="534"/>
      <c r="C1" s="52"/>
      <c r="D1" s="52"/>
      <c r="E1" s="52"/>
      <c r="F1" s="52"/>
      <c r="G1" s="52"/>
      <c r="H1" s="52"/>
      <c r="I1" s="52"/>
      <c r="J1" s="52"/>
    </row>
    <row r="2" spans="1:10" ht="15" customHeight="1">
      <c r="A2" s="54"/>
      <c r="B2" s="528"/>
      <c r="C2" s="677" t="s">
        <v>375</v>
      </c>
      <c r="D2" s="678"/>
      <c r="E2" s="679"/>
      <c r="F2" s="681" t="s">
        <v>389</v>
      </c>
      <c r="G2" s="682"/>
      <c r="H2" s="683"/>
      <c r="I2" s="677" t="str">
        <f>+F2</f>
        <v>2014.évi er.ei.</v>
      </c>
      <c r="J2" s="680"/>
    </row>
    <row r="3" spans="1:10" ht="43.5" customHeight="1" thickBot="1">
      <c r="A3" s="55"/>
      <c r="B3" s="56"/>
      <c r="C3" s="529" t="s">
        <v>71</v>
      </c>
      <c r="D3" s="530" t="s">
        <v>72</v>
      </c>
      <c r="E3" s="531" t="s">
        <v>5</v>
      </c>
      <c r="F3" s="59" t="s">
        <v>71</v>
      </c>
      <c r="G3" s="59" t="s">
        <v>72</v>
      </c>
      <c r="H3" s="57" t="s">
        <v>5</v>
      </c>
      <c r="I3" s="60" t="s">
        <v>73</v>
      </c>
      <c r="J3" s="58" t="s">
        <v>74</v>
      </c>
    </row>
    <row r="4" spans="1:10" s="29" customFormat="1" ht="15" customHeight="1">
      <c r="A4" s="665" t="s">
        <v>11</v>
      </c>
      <c r="B4" s="61" t="s">
        <v>12</v>
      </c>
      <c r="C4" s="466" t="s">
        <v>16</v>
      </c>
      <c r="D4" s="62" t="s">
        <v>17</v>
      </c>
      <c r="E4" s="467" t="s">
        <v>18</v>
      </c>
      <c r="F4" s="466" t="s">
        <v>16</v>
      </c>
      <c r="G4" s="62" t="s">
        <v>17</v>
      </c>
      <c r="H4" s="467" t="s">
        <v>18</v>
      </c>
      <c r="I4" s="63" t="s">
        <v>59</v>
      </c>
      <c r="J4" s="464" t="s">
        <v>19</v>
      </c>
    </row>
    <row r="5" spans="1:10" ht="15" customHeight="1">
      <c r="A5" s="64"/>
      <c r="B5" s="482"/>
      <c r="C5" s="78"/>
      <c r="D5" s="65"/>
      <c r="E5" s="465"/>
      <c r="F5" s="78"/>
      <c r="G5" s="65"/>
      <c r="H5" s="465"/>
      <c r="I5" s="66"/>
      <c r="J5" s="465"/>
    </row>
    <row r="6" spans="1:10" ht="15" customHeight="1">
      <c r="A6" s="64" t="s">
        <v>20</v>
      </c>
      <c r="B6" s="482" t="s">
        <v>75</v>
      </c>
      <c r="C6" s="78">
        <f>+E6-D6</f>
        <v>1188.7999999999993</v>
      </c>
      <c r="D6" s="65">
        <f>+E6*0.9</f>
        <v>10699.2</v>
      </c>
      <c r="E6" s="460">
        <f>3140+337+8411</f>
        <v>11888</v>
      </c>
      <c r="F6" s="78">
        <f>+H6-G6</f>
        <v>1690</v>
      </c>
      <c r="G6" s="65">
        <f>+H6*0.9</f>
        <v>15210</v>
      </c>
      <c r="H6" s="460">
        <v>16900</v>
      </c>
      <c r="I6" s="68">
        <v>16900</v>
      </c>
      <c r="J6" s="460"/>
    </row>
    <row r="7" spans="1:10" ht="15" customHeight="1">
      <c r="A7" s="64" t="s">
        <v>21</v>
      </c>
      <c r="B7" s="482" t="s">
        <v>499</v>
      </c>
      <c r="C7" s="78">
        <f>+E7-D7</f>
        <v>264.9000000000001</v>
      </c>
      <c r="D7" s="65">
        <f>+E7*0.9</f>
        <v>2384.1</v>
      </c>
      <c r="E7" s="460">
        <f>2407+242</f>
        <v>2649</v>
      </c>
      <c r="F7" s="78">
        <f>+H7-G7</f>
        <v>264.9000000000001</v>
      </c>
      <c r="G7" s="65">
        <f>+H7*0.9</f>
        <v>2384.1</v>
      </c>
      <c r="H7" s="460">
        <f>2407+242</f>
        <v>2649</v>
      </c>
      <c r="I7" s="68">
        <v>2649</v>
      </c>
      <c r="J7" s="460"/>
    </row>
    <row r="8" spans="1:10" ht="15" customHeight="1">
      <c r="A8" s="64" t="s">
        <v>22</v>
      </c>
      <c r="B8" s="459" t="s">
        <v>498</v>
      </c>
      <c r="C8" s="468">
        <f>+E8-D8</f>
        <v>28174.59999999999</v>
      </c>
      <c r="D8" s="65">
        <f>+E8*0.8</f>
        <v>112698.40000000001</v>
      </c>
      <c r="E8" s="460">
        <f>128536+12337</f>
        <v>140873</v>
      </c>
      <c r="F8" s="468">
        <f>+H8-G8</f>
        <v>14700</v>
      </c>
      <c r="G8" s="65">
        <f>+H8*0.8</f>
        <v>58800</v>
      </c>
      <c r="H8" s="460">
        <v>73500</v>
      </c>
      <c r="I8" s="68">
        <v>73500</v>
      </c>
      <c r="J8" s="460"/>
    </row>
    <row r="9" spans="1:10" s="80" customFormat="1" ht="15" customHeight="1">
      <c r="A9" s="64" t="s">
        <v>23</v>
      </c>
      <c r="B9" s="459" t="s">
        <v>76</v>
      </c>
      <c r="C9" s="469">
        <f>+E9-D9</f>
        <v>2017.5999999999985</v>
      </c>
      <c r="D9" s="65">
        <f>+E9*0.9</f>
        <v>18158.4</v>
      </c>
      <c r="E9" s="460">
        <f>18399+1777</f>
        <v>20176</v>
      </c>
      <c r="F9" s="469">
        <f>+H9-G9</f>
        <v>2017.5999999999985</v>
      </c>
      <c r="G9" s="65">
        <f>+H9*0.9</f>
        <v>18158.4</v>
      </c>
      <c r="H9" s="460">
        <f>18399+1777</f>
        <v>20176</v>
      </c>
      <c r="I9" s="68">
        <v>20176</v>
      </c>
      <c r="J9" s="460"/>
    </row>
    <row r="10" spans="1:10" ht="15" customHeight="1">
      <c r="A10" s="64" t="s">
        <v>24</v>
      </c>
      <c r="B10" s="459" t="s">
        <v>394</v>
      </c>
      <c r="C10" s="468"/>
      <c r="D10" s="65">
        <v>264</v>
      </c>
      <c r="E10" s="460">
        <f>+D10</f>
        <v>264</v>
      </c>
      <c r="F10" s="468"/>
      <c r="G10" s="65"/>
      <c r="H10" s="460"/>
      <c r="I10" s="68"/>
      <c r="J10" s="460"/>
    </row>
    <row r="11" spans="1:10" ht="15" customHeight="1" thickBot="1">
      <c r="A11" s="69" t="s">
        <v>25</v>
      </c>
      <c r="B11" s="483" t="s">
        <v>395</v>
      </c>
      <c r="C11" s="468"/>
      <c r="D11" s="65">
        <v>2622</v>
      </c>
      <c r="E11" s="460">
        <f>+D11</f>
        <v>2622</v>
      </c>
      <c r="F11" s="468"/>
      <c r="G11" s="65"/>
      <c r="H11" s="460"/>
      <c r="I11" s="71"/>
      <c r="J11" s="470"/>
    </row>
    <row r="12" spans="1:10" ht="30" customHeight="1">
      <c r="A12" s="72" t="s">
        <v>26</v>
      </c>
      <c r="B12" s="643" t="s">
        <v>77</v>
      </c>
      <c r="C12" s="541">
        <f>SUM(C6:C11)</f>
        <v>31645.89999999999</v>
      </c>
      <c r="D12" s="542">
        <f aca="true" t="shared" si="0" ref="D12:J12">SUM(D6:D11)</f>
        <v>146826.1</v>
      </c>
      <c r="E12" s="543">
        <f t="shared" si="0"/>
        <v>178472</v>
      </c>
      <c r="F12" s="542">
        <f t="shared" si="0"/>
        <v>18672.5</v>
      </c>
      <c r="G12" s="542">
        <f t="shared" si="0"/>
        <v>94552.5</v>
      </c>
      <c r="H12" s="542">
        <f t="shared" si="0"/>
        <v>113225</v>
      </c>
      <c r="I12" s="484">
        <f>SUM(I6:I11)</f>
        <v>113225</v>
      </c>
      <c r="J12" s="484">
        <f t="shared" si="0"/>
        <v>0</v>
      </c>
    </row>
    <row r="13" spans="1:10" ht="15" customHeight="1">
      <c r="A13" s="64"/>
      <c r="C13" s="544"/>
      <c r="D13" s="73"/>
      <c r="E13" s="545">
        <f>SUM(C12:D12)</f>
        <v>178472</v>
      </c>
      <c r="F13" s="538"/>
      <c r="G13" s="73"/>
      <c r="H13" s="538">
        <f>SUM(F12:G12)</f>
        <v>113225</v>
      </c>
      <c r="I13" s="74"/>
      <c r="J13" s="74"/>
    </row>
    <row r="14" spans="1:10" ht="7.5" customHeight="1">
      <c r="A14" s="64"/>
      <c r="B14" s="644"/>
      <c r="C14" s="546"/>
      <c r="D14" s="75"/>
      <c r="E14" s="547"/>
      <c r="F14" s="539"/>
      <c r="G14" s="75"/>
      <c r="H14" s="539"/>
      <c r="I14" s="76"/>
      <c r="J14" s="76"/>
    </row>
    <row r="15" spans="1:10" ht="15" customHeight="1">
      <c r="A15" s="64" t="s">
        <v>27</v>
      </c>
      <c r="B15" s="645" t="s">
        <v>78</v>
      </c>
      <c r="C15" s="469">
        <f>+E15</f>
        <v>280</v>
      </c>
      <c r="D15" s="65"/>
      <c r="E15" s="548">
        <v>280</v>
      </c>
      <c r="F15" s="641"/>
      <c r="G15" s="65"/>
      <c r="H15" s="540"/>
      <c r="I15" s="68"/>
      <c r="J15" s="68"/>
    </row>
    <row r="16" spans="1:10" ht="15" customHeight="1">
      <c r="A16" s="64" t="s">
        <v>28</v>
      </c>
      <c r="B16" s="645" t="s">
        <v>79</v>
      </c>
      <c r="C16" s="469">
        <f>+E16</f>
        <v>2814</v>
      </c>
      <c r="D16" s="65"/>
      <c r="E16" s="548">
        <v>2814</v>
      </c>
      <c r="F16" s="641"/>
      <c r="G16" s="65"/>
      <c r="H16" s="540"/>
      <c r="I16" s="68"/>
      <c r="J16" s="68"/>
    </row>
    <row r="17" spans="1:10" ht="15" customHeight="1">
      <c r="A17" s="64" t="s">
        <v>29</v>
      </c>
      <c r="B17" s="646" t="s">
        <v>80</v>
      </c>
      <c r="C17" s="469">
        <f>+E17</f>
        <v>552</v>
      </c>
      <c r="D17" s="65"/>
      <c r="E17" s="548">
        <v>552</v>
      </c>
      <c r="F17" s="641">
        <v>100</v>
      </c>
      <c r="G17" s="65"/>
      <c r="H17" s="540">
        <f>SUM(F17:G17)</f>
        <v>100</v>
      </c>
      <c r="I17" s="68"/>
      <c r="J17" s="68">
        <f>+H17</f>
        <v>100</v>
      </c>
    </row>
    <row r="18" spans="1:10" s="80" customFormat="1" ht="15" customHeight="1">
      <c r="A18" s="64" t="s">
        <v>30</v>
      </c>
      <c r="B18" s="640" t="s">
        <v>81</v>
      </c>
      <c r="C18" s="469">
        <f>+E18</f>
        <v>1832</v>
      </c>
      <c r="D18" s="65"/>
      <c r="E18" s="548">
        <v>1832</v>
      </c>
      <c r="F18" s="641"/>
      <c r="G18" s="65"/>
      <c r="H18" s="540"/>
      <c r="I18" s="653"/>
      <c r="J18" s="68"/>
    </row>
    <row r="19" spans="1:10" ht="16.5" customHeight="1">
      <c r="A19" s="64" t="s">
        <v>31</v>
      </c>
      <c r="B19" s="642" t="s">
        <v>501</v>
      </c>
      <c r="C19" s="469"/>
      <c r="D19" s="65"/>
      <c r="E19" s="548"/>
      <c r="F19" s="641">
        <f>4764+350-100</f>
        <v>5014</v>
      </c>
      <c r="G19" s="65"/>
      <c r="H19" s="540">
        <f>SUM(F19:G19)</f>
        <v>5014</v>
      </c>
      <c r="I19" s="68"/>
      <c r="J19" s="68">
        <f>+H19</f>
        <v>5014</v>
      </c>
    </row>
    <row r="20" spans="1:10" ht="15" customHeight="1">
      <c r="A20" s="64" t="s">
        <v>32</v>
      </c>
      <c r="B20" s="647" t="s">
        <v>82</v>
      </c>
      <c r="C20" s="535">
        <f>SUM(C15:C18)</f>
        <v>5478</v>
      </c>
      <c r="D20" s="536">
        <f>SUM(D15:D18)</f>
        <v>0</v>
      </c>
      <c r="E20" s="537">
        <f>SUM(E15:E18)</f>
        <v>5478</v>
      </c>
      <c r="F20" s="549">
        <f>SUM(F15:F19)</f>
        <v>5114</v>
      </c>
      <c r="G20" s="536">
        <f>SUM(G15:G19)</f>
        <v>0</v>
      </c>
      <c r="H20" s="650">
        <f>SUM(H15:H19)</f>
        <v>5114</v>
      </c>
      <c r="I20" s="74">
        <f>SUM(I15:I19)</f>
        <v>0</v>
      </c>
      <c r="J20" s="74">
        <f>SUM(J15:J19)</f>
        <v>5114</v>
      </c>
    </row>
    <row r="21" spans="1:10" ht="7.5" customHeight="1">
      <c r="A21" s="64"/>
      <c r="B21" s="645"/>
      <c r="C21" s="78"/>
      <c r="D21" s="65"/>
      <c r="E21" s="79"/>
      <c r="F21" s="648"/>
      <c r="G21" s="65"/>
      <c r="H21" s="651"/>
      <c r="I21" s="66"/>
      <c r="J21" s="66"/>
    </row>
    <row r="22" spans="1:10" ht="15" customHeight="1" thickBot="1">
      <c r="A22" s="64" t="s">
        <v>33</v>
      </c>
      <c r="B22" s="645" t="s">
        <v>83</v>
      </c>
      <c r="C22" s="456">
        <v>350</v>
      </c>
      <c r="D22" s="70"/>
      <c r="E22" s="457">
        <f>+C22</f>
        <v>350</v>
      </c>
      <c r="F22" s="649"/>
      <c r="G22" s="70"/>
      <c r="H22" s="652"/>
      <c r="I22" s="71"/>
      <c r="J22" s="71"/>
    </row>
    <row r="23" spans="1:10" ht="31.5" customHeight="1">
      <c r="A23" s="662" t="s">
        <v>34</v>
      </c>
      <c r="B23" s="655" t="s">
        <v>84</v>
      </c>
      <c r="C23" s="471">
        <f aca="true" t="shared" si="1" ref="C23:J23">SUM(C22:C22)</f>
        <v>350</v>
      </c>
      <c r="D23" s="472">
        <f t="shared" si="1"/>
        <v>0</v>
      </c>
      <c r="E23" s="473">
        <f t="shared" si="1"/>
        <v>350</v>
      </c>
      <c r="F23" s="73">
        <f t="shared" si="1"/>
        <v>0</v>
      </c>
      <c r="G23" s="73">
        <f t="shared" si="1"/>
        <v>0</v>
      </c>
      <c r="H23" s="73">
        <f t="shared" si="1"/>
        <v>0</v>
      </c>
      <c r="I23" s="77">
        <f t="shared" si="1"/>
        <v>0</v>
      </c>
      <c r="J23" s="77">
        <f t="shared" si="1"/>
        <v>0</v>
      </c>
    </row>
    <row r="24" spans="1:10" ht="7.5" customHeight="1">
      <c r="A24" s="663"/>
      <c r="B24" s="656"/>
      <c r="C24" s="474"/>
      <c r="D24" s="73"/>
      <c r="E24" s="475"/>
      <c r="F24" s="73"/>
      <c r="G24" s="73"/>
      <c r="H24" s="73"/>
      <c r="I24" s="74"/>
      <c r="J24" s="74"/>
    </row>
    <row r="25" spans="1:10" ht="15" customHeight="1">
      <c r="A25" s="663" t="s">
        <v>35</v>
      </c>
      <c r="B25" s="656" t="s">
        <v>85</v>
      </c>
      <c r="C25" s="474"/>
      <c r="D25" s="73">
        <v>430</v>
      </c>
      <c r="E25" s="475">
        <f>SUM(C25:D25)</f>
        <v>430</v>
      </c>
      <c r="F25" s="73"/>
      <c r="G25" s="73"/>
      <c r="H25" s="73">
        <f>SUM(F25:G25)</f>
        <v>0</v>
      </c>
      <c r="I25" s="74"/>
      <c r="J25" s="74"/>
    </row>
    <row r="26" spans="1:10" ht="6" customHeight="1">
      <c r="A26" s="64"/>
      <c r="B26" s="656"/>
      <c r="C26" s="474"/>
      <c r="D26" s="73"/>
      <c r="E26" s="475"/>
      <c r="F26" s="73"/>
      <c r="G26" s="73"/>
      <c r="H26" s="73"/>
      <c r="I26" s="74"/>
      <c r="J26" s="74"/>
    </row>
    <row r="27" spans="1:10" ht="15" customHeight="1">
      <c r="A27" s="64" t="s">
        <v>36</v>
      </c>
      <c r="B27" s="657" t="s">
        <v>388</v>
      </c>
      <c r="C27" s="458"/>
      <c r="D27" s="80">
        <v>3248</v>
      </c>
      <c r="E27" s="475">
        <f>SUM(C27:D27)</f>
        <v>3248</v>
      </c>
      <c r="I27" s="64"/>
      <c r="J27" s="81"/>
    </row>
    <row r="28" spans="1:10" ht="15" customHeight="1">
      <c r="A28" s="663" t="s">
        <v>37</v>
      </c>
      <c r="B28" s="658" t="s">
        <v>86</v>
      </c>
      <c r="C28" s="474"/>
      <c r="D28" s="73">
        <v>9366</v>
      </c>
      <c r="E28" s="475">
        <f>SUM(C28:D28)</f>
        <v>9366</v>
      </c>
      <c r="F28" s="73"/>
      <c r="G28" s="73"/>
      <c r="H28" s="73">
        <f>SUM(F28:G28)</f>
        <v>0</v>
      </c>
      <c r="I28" s="74"/>
      <c r="J28" s="74"/>
    </row>
    <row r="29" spans="1:10" ht="15" customHeight="1">
      <c r="A29" s="663" t="s">
        <v>40</v>
      </c>
      <c r="B29" s="659" t="s">
        <v>87</v>
      </c>
      <c r="C29" s="476">
        <f aca="true" t="shared" si="2" ref="C29:J29">SUM(C23:C28)+C20+C12</f>
        <v>37473.899999999994</v>
      </c>
      <c r="D29" s="75">
        <f t="shared" si="2"/>
        <v>159870.1</v>
      </c>
      <c r="E29" s="477">
        <f t="shared" si="2"/>
        <v>197344</v>
      </c>
      <c r="F29" s="75">
        <f t="shared" si="2"/>
        <v>23786.5</v>
      </c>
      <c r="G29" s="75">
        <f t="shared" si="2"/>
        <v>94552.5</v>
      </c>
      <c r="H29" s="75">
        <f t="shared" si="2"/>
        <v>118339</v>
      </c>
      <c r="I29" s="76">
        <f t="shared" si="2"/>
        <v>113225</v>
      </c>
      <c r="J29" s="76">
        <f t="shared" si="2"/>
        <v>5114</v>
      </c>
    </row>
    <row r="30" spans="1:10" ht="15.75" thickBot="1">
      <c r="A30" s="663"/>
      <c r="B30" s="660"/>
      <c r="C30" s="478"/>
      <c r="D30" s="479"/>
      <c r="E30" s="480">
        <f>SUM(C29:D29)</f>
        <v>197344</v>
      </c>
      <c r="F30" s="75"/>
      <c r="G30" s="75"/>
      <c r="H30" s="75">
        <f>SUM(F29:G29)</f>
        <v>118339</v>
      </c>
      <c r="I30" s="481"/>
      <c r="J30" s="481"/>
    </row>
    <row r="31" spans="1:10" ht="15.75" thickBot="1">
      <c r="A31" s="664" t="s">
        <v>47</v>
      </c>
      <c r="B31" s="661" t="s">
        <v>88</v>
      </c>
      <c r="C31" s="82">
        <f aca="true" t="shared" si="3" ref="C31:J31">+C29</f>
        <v>37473.899999999994</v>
      </c>
      <c r="D31" s="82">
        <f t="shared" si="3"/>
        <v>159870.1</v>
      </c>
      <c r="E31" s="82">
        <f t="shared" si="3"/>
        <v>197344</v>
      </c>
      <c r="F31" s="532">
        <f t="shared" si="3"/>
        <v>23786.5</v>
      </c>
      <c r="G31" s="82">
        <f t="shared" si="3"/>
        <v>94552.5</v>
      </c>
      <c r="H31" s="533">
        <f t="shared" si="3"/>
        <v>118339</v>
      </c>
      <c r="I31" s="83">
        <f>+I29</f>
        <v>113225</v>
      </c>
      <c r="J31" s="83">
        <f t="shared" si="3"/>
        <v>5114</v>
      </c>
    </row>
  </sheetData>
  <sheetProtection/>
  <mergeCells count="3">
    <mergeCell ref="C2:E2"/>
    <mergeCell ref="I2:J2"/>
    <mergeCell ref="F2:H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&amp;L6. melléklet a 2014. évi 2/2014.(I.24.) Önkormányzati költségvetési rendelethez&amp;R&amp;D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E28" sqref="E28"/>
    </sheetView>
  </sheetViews>
  <sheetFormatPr defaultColWidth="9.140625" defaultRowHeight="15" customHeight="1"/>
  <cols>
    <col min="1" max="1" width="7.28125" style="133" customWidth="1"/>
    <col min="2" max="2" width="56.8515625" style="133" customWidth="1"/>
    <col min="3" max="3" width="17.421875" style="133" customWidth="1"/>
    <col min="4" max="16384" width="9.140625" style="133" customWidth="1"/>
  </cols>
  <sheetData>
    <row r="1" spans="1:2" ht="15" customHeight="1">
      <c r="A1" s="511" t="s">
        <v>89</v>
      </c>
      <c r="B1" s="157"/>
    </row>
    <row r="2" spans="1:4" ht="15" customHeight="1">
      <c r="A2" s="511"/>
      <c r="B2" s="157"/>
      <c r="C2" s="512" t="s">
        <v>390</v>
      </c>
      <c r="D2" s="512"/>
    </row>
    <row r="3" spans="1:4" ht="15" customHeight="1">
      <c r="A3" s="159"/>
      <c r="B3" s="157" t="s">
        <v>367</v>
      </c>
      <c r="C3" s="513" t="s">
        <v>64</v>
      </c>
      <c r="D3" s="513"/>
    </row>
    <row r="4" spans="1:2" s="516" customFormat="1" ht="15" customHeight="1">
      <c r="A4" s="514"/>
      <c r="B4" s="515"/>
    </row>
    <row r="5" spans="1:3" s="517" customFormat="1" ht="15" customHeight="1">
      <c r="A5" s="551" t="s">
        <v>11</v>
      </c>
      <c r="B5" s="551" t="s">
        <v>12</v>
      </c>
      <c r="C5" s="552" t="s">
        <v>13</v>
      </c>
    </row>
    <row r="6" spans="2:4" ht="15" customHeight="1">
      <c r="B6" s="518"/>
      <c r="C6" s="519"/>
      <c r="D6" s="519"/>
    </row>
    <row r="7" spans="1:3" ht="15" customHeight="1">
      <c r="A7" s="520" t="s">
        <v>20</v>
      </c>
      <c r="B7" s="521" t="s">
        <v>391</v>
      </c>
      <c r="C7" s="135">
        <f>+8mell!C7+22863-1000-1000-4272-500</f>
        <v>16241</v>
      </c>
    </row>
    <row r="8" spans="1:3" ht="15" customHeight="1">
      <c r="A8" s="520" t="s">
        <v>21</v>
      </c>
      <c r="B8" s="521" t="s">
        <v>459</v>
      </c>
      <c r="C8" s="135">
        <v>5000</v>
      </c>
    </row>
    <row r="9" spans="1:3" ht="15" customHeight="1">
      <c r="A9" s="520" t="s">
        <v>22</v>
      </c>
      <c r="B9" s="521" t="s">
        <v>497</v>
      </c>
      <c r="C9" s="135">
        <v>1000</v>
      </c>
    </row>
    <row r="10" spans="1:3" ht="15" customHeight="1">
      <c r="A10" s="520"/>
      <c r="B10" s="521"/>
      <c r="C10" s="135"/>
    </row>
    <row r="11" spans="1:3" ht="15" customHeight="1">
      <c r="A11" s="520"/>
      <c r="B11" s="521"/>
      <c r="C11" s="135"/>
    </row>
    <row r="12" spans="1:3" ht="15" customHeight="1">
      <c r="A12" s="520"/>
      <c r="B12" s="521"/>
      <c r="C12" s="135"/>
    </row>
    <row r="13" spans="1:4" ht="15" customHeight="1">
      <c r="A13" s="520" t="s">
        <v>23</v>
      </c>
      <c r="B13" s="522" t="s">
        <v>90</v>
      </c>
      <c r="C13" s="519">
        <f>SUM(C7:C12)</f>
        <v>22241</v>
      </c>
      <c r="D13" s="519"/>
    </row>
    <row r="14" ht="15" customHeight="1">
      <c r="A14" s="516"/>
    </row>
    <row r="15" spans="1:3" ht="15" customHeight="1">
      <c r="A15" s="520" t="s">
        <v>24</v>
      </c>
      <c r="B15" s="523" t="s">
        <v>460</v>
      </c>
      <c r="C15" s="53">
        <f>9041+3096</f>
        <v>12137</v>
      </c>
    </row>
    <row r="16" spans="1:3" ht="15" customHeight="1">
      <c r="A16" s="520" t="s">
        <v>25</v>
      </c>
      <c r="B16" s="523" t="s">
        <v>496</v>
      </c>
      <c r="C16" s="53">
        <v>1500</v>
      </c>
    </row>
    <row r="17" spans="1:3" ht="15" customHeight="1">
      <c r="A17" s="520"/>
      <c r="B17" s="523"/>
      <c r="C17" s="53"/>
    </row>
    <row r="18" spans="1:3" ht="15" customHeight="1">
      <c r="A18" s="516"/>
      <c r="B18" s="523"/>
      <c r="C18" s="135"/>
    </row>
    <row r="19" spans="1:4" ht="15" customHeight="1">
      <c r="A19" s="550" t="s">
        <v>26</v>
      </c>
      <c r="B19" s="524" t="s">
        <v>91</v>
      </c>
      <c r="C19" s="525">
        <f>SUM(C15:C18)</f>
        <v>13637</v>
      </c>
      <c r="D19" s="525"/>
    </row>
    <row r="20" spans="1:4" ht="15" customHeight="1">
      <c r="A20" s="516"/>
      <c r="B20" s="524"/>
      <c r="C20" s="525"/>
      <c r="D20" s="525"/>
    </row>
    <row r="21" spans="1:4" ht="15" customHeight="1">
      <c r="A21" s="550" t="s">
        <v>27</v>
      </c>
      <c r="B21" s="525" t="s">
        <v>92</v>
      </c>
      <c r="C21" s="526">
        <f>+C19+C13</f>
        <v>35878</v>
      </c>
      <c r="D21" s="5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&amp;L7. melléklet a 2014. évi 2/2014.(I.24.) Önkormányzati költségvetési rendelethez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7109375" style="112" bestFit="1" customWidth="1"/>
    <col min="2" max="2" width="73.28125" style="111" customWidth="1"/>
    <col min="3" max="3" width="12.140625" style="111" customWidth="1"/>
    <col min="4" max="16384" width="9.140625" style="111" customWidth="1"/>
  </cols>
  <sheetData>
    <row r="1" ht="15.75">
      <c r="A1" s="110" t="s">
        <v>148</v>
      </c>
    </row>
    <row r="2" ht="15.75">
      <c r="B2" s="113"/>
    </row>
    <row r="3" spans="2:4" ht="15.75">
      <c r="B3" s="114" t="s">
        <v>149</v>
      </c>
      <c r="C3" s="508" t="s">
        <v>390</v>
      </c>
      <c r="D3" s="112"/>
    </row>
    <row r="4" spans="3:4" ht="15.75">
      <c r="C4" s="508" t="s">
        <v>64</v>
      </c>
      <c r="D4" s="112"/>
    </row>
    <row r="5" spans="1:4" ht="15.75">
      <c r="A5" s="112" t="s">
        <v>11</v>
      </c>
      <c r="B5" s="509" t="s">
        <v>12</v>
      </c>
      <c r="C5" s="508" t="s">
        <v>13</v>
      </c>
      <c r="D5" s="112"/>
    </row>
    <row r="7" spans="1:4" ht="15.75">
      <c r="A7" s="112" t="s">
        <v>20</v>
      </c>
      <c r="B7" s="111" t="s">
        <v>150</v>
      </c>
      <c r="C7" s="115">
        <f>+1mell!E37</f>
        <v>150</v>
      </c>
      <c r="D7" s="115"/>
    </row>
    <row r="8" spans="1:3" ht="15.75">
      <c r="A8" s="112" t="s">
        <v>21</v>
      </c>
      <c r="B8" s="111" t="s">
        <v>466</v>
      </c>
      <c r="C8" s="115">
        <v>7000</v>
      </c>
    </row>
    <row r="9" spans="1:3" ht="15.75">
      <c r="A9" s="112" t="s">
        <v>22</v>
      </c>
      <c r="B9" s="111" t="s">
        <v>465</v>
      </c>
      <c r="C9" s="111">
        <f>35000+9450</f>
        <v>44450</v>
      </c>
    </row>
    <row r="10" spans="1:3" ht="15.75">
      <c r="A10" s="112" t="s">
        <v>23</v>
      </c>
      <c r="B10" s="112" t="s">
        <v>488</v>
      </c>
      <c r="C10" s="111">
        <v>9450</v>
      </c>
    </row>
    <row r="18" spans="1:4" ht="15.75">
      <c r="A18" s="112" t="s">
        <v>24</v>
      </c>
      <c r="B18" s="114" t="s">
        <v>151</v>
      </c>
      <c r="C18" s="451">
        <f>SUM(C7:C17)-C10</f>
        <v>51600</v>
      </c>
      <c r="D18" s="451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&amp;L8. melléklet a 2014. évi 2/2014.(I.24.) Önkormányzati költségvetési rendelethez&amp;R&amp;D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</cp:lastModifiedBy>
  <cp:lastPrinted>2014-01-22T14:18:11Z</cp:lastPrinted>
  <dcterms:created xsi:type="dcterms:W3CDTF">2013-01-09T15:47:27Z</dcterms:created>
  <dcterms:modified xsi:type="dcterms:W3CDTF">2014-01-24T08:29:41Z</dcterms:modified>
  <cp:category/>
  <cp:version/>
  <cp:contentType/>
  <cp:contentStatus/>
</cp:coreProperties>
</file>